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Budget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Vendors" sheetId="6" state="visible" r:id="rId6"/>
    <sheet xmlns:r="http://schemas.openxmlformats.org/officeDocument/2006/relationships" name="Guests" sheetId="7" state="visible" r:id="rId7"/>
    <sheet xmlns:r="http://schemas.openxmlformats.org/officeDocument/2006/relationships" name="RSVP Inbox" sheetId="8" state="visible" r:id="rId8"/>
    <sheet xmlns:r="http://schemas.openxmlformats.org/officeDocument/2006/relationships" name="RSVP Follow-Up" sheetId="9" state="visible" r:id="rId9"/>
    <sheet xmlns:r="http://schemas.openxmlformats.org/officeDocument/2006/relationships" name="Seating" sheetId="10" state="visible" r:id="rId10"/>
    <sheet xmlns:r="http://schemas.openxmlformats.org/officeDocument/2006/relationships" name="Events" sheetId="11" state="visible" r:id="rId11"/>
    <sheet xmlns:r="http://schemas.openxmlformats.org/officeDocument/2006/relationships" name="Stay &amp; Travel" sheetId="12" state="visible" r:id="rId12"/>
    <sheet xmlns:r="http://schemas.openxmlformats.org/officeDocument/2006/relationships" name="Timeline" sheetId="13" state="visible" r:id="rId13"/>
    <sheet xmlns:r="http://schemas.openxmlformats.org/officeDocument/2006/relationships" name="Day-Of Kit" sheetId="14" state="visible" r:id="rId14"/>
    <sheet xmlns:r="http://schemas.openxmlformats.org/officeDocument/2006/relationships" name="Gifts" sheetId="15" state="visible" r:id="rId15"/>
    <sheet xmlns:r="http://schemas.openxmlformats.org/officeDocument/2006/relationships" name="Lists" sheetId="16" state="visible" r:id="rId16"/>
    <sheet xmlns:r="http://schemas.openxmlformats.org/officeDocument/2006/relationships" name="Form Responses" sheetId="17" state="visible" r:id="rId17"/>
    <sheet xmlns:r="http://schemas.openxmlformats.org/officeDocument/2006/relationships" name="Form Calc" sheetId="18" state="hidden" r:id="rId18"/>
  </sheets>
  <definedNames>
    <definedName name="_xlnm.Print_Area" localSheetId="0">'Start Here'!$A$1:$C$120</definedName>
    <definedName name="_xlnm.Print_Area" localSheetId="1">'Dashboard'!$A$1:$C$62</definedName>
    <definedName name="_xlnm.Print_Titles" localSheetId="2">'Checklist'!$5:$5</definedName>
    <definedName name="_xlnm.Print_Area" localSheetId="2">'Checklist'!$A$1:$G$125</definedName>
    <definedName name="_xlnm.Print_Titles" localSheetId="3">'Budget'!$5:$5</definedName>
    <definedName name="_xlnm.Print_Area" localSheetId="3">'Budget'!$A$1:$H$105</definedName>
    <definedName name="_xlnm.Print_Titles" localSheetId="4">'Payments'!$5:$5</definedName>
    <definedName name="_xlnm.Print_Area" localSheetId="4">'Payments'!$A$1:$I$85</definedName>
    <definedName name="_xlnm.Print_Titles" localSheetId="5">'Vendors'!$5:$5</definedName>
    <definedName name="_xlnm.Print_Area" localSheetId="5">'Vendors'!$A$1:$L$45</definedName>
    <definedName name="_xlnm.Print_Titles" localSheetId="6">'Guests'!$5:$5</definedName>
    <definedName name="_xlnm.Print_Area" localSheetId="6">'Guests'!$A$1:$Q$505</definedName>
    <definedName name="_xlnm.Print_Titles" localSheetId="7">'RSVP Inbox'!$5:$5</definedName>
    <definedName name="_xlnm.Print_Area" localSheetId="7">'RSVP Inbox'!$A$1:$L$305</definedName>
    <definedName name="_xlnm.Print_Titles" localSheetId="8">'RSVP Follow-Up'!$8:$8</definedName>
    <definedName name="_xlnm.Print_Area" localSheetId="8">'RSVP Follow-Up'!$A$1:$G$308</definedName>
    <definedName name="_xlnm.Print_Titles" localSheetId="9">'Seating'!$5:$5</definedName>
    <definedName name="_xlnm.Print_Area" localSheetId="9">'Seating'!$A$1:$K$55</definedName>
    <definedName name="_xlnm.Print_Titles" localSheetId="10">'Events'!$5:$5</definedName>
    <definedName name="_xlnm.Print_Area" localSheetId="10">'Events'!$A$1:$I$25</definedName>
    <definedName name="_xlnm.Print_Area" localSheetId="11">'Stay &amp; Travel'!$A$1:$J$33</definedName>
    <definedName name="_xlnm.Print_Titles" localSheetId="12">'Timeline'!$5:$5</definedName>
    <definedName name="_xlnm.Print_Area" localSheetId="12">'Timeline'!$A$1:$F$45</definedName>
    <definedName name="_xlnm.Print_Titles" localSheetId="13">'Day-Of Kit'!$5:$5</definedName>
    <definedName name="_xlnm.Print_Area" localSheetId="13">'Day-Of Kit'!$A$1:$E$85</definedName>
    <definedName name="_xlnm.Print_Titles" localSheetId="14">'Gifts'!$5:$5</definedName>
    <definedName name="_xlnm.Print_Area" localSheetId="14">'Gifts'!$A$1:$J$305</definedName>
    <definedName name="_xlnm.Print_Titles" localSheetId="15">'Lists'!$4:$4</definedName>
    <definedName name="_xlnm.Print_Area" localSheetId="15">'Lists'!$A$1:$M$30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"/>
    <numFmt numFmtId="166" formatCode="$#,##0;[Red]-$#,##0"/>
    <numFmt numFmtId="167" formatCode="$#,##0.00"/>
  </numFmts>
  <fonts count="31">
    <font>
      <name val="Calibri"/>
      <family val="2"/>
      <color theme="1"/>
      <sz val="11"/>
      <scheme val="minor"/>
    </font>
    <font>
      <name val="Georgia"/>
      <color rgb="006F7F61"/>
      <sz val="20"/>
    </font>
    <font>
      <name val="Arial"/>
      <i val="1"/>
      <color rgb="007A7A7A"/>
      <sz val="9"/>
    </font>
    <font>
      <name val="Arial"/>
      <b val="1"/>
      <color rgb="00FFFFFF"/>
      <sz val="10"/>
    </font>
    <font>
      <name val="Arial"/>
      <color rgb="003D3D3D"/>
      <sz val="10"/>
    </font>
    <font>
      <name val="Arial"/>
      <color rgb="00555555"/>
      <sz val="10"/>
    </font>
    <font>
      <name val="Georgia"/>
      <b val="1"/>
      <color rgb="006F7F61"/>
      <sz val="11"/>
    </font>
    <font>
      <name val="Arial"/>
      <b val="1"/>
      <color rgb="003D3D3D"/>
      <sz val="10"/>
    </font>
    <font>
      <name val="Arial"/>
      <color rgb="00999999"/>
      <sz val="8"/>
    </font>
    <font>
      <name val="Arial"/>
      <b val="1"/>
      <color rgb="006F7F61"/>
      <sz val="10"/>
    </font>
    <font>
      <name val="Arial"/>
      <i val="1"/>
      <color rgb="006F7F61"/>
      <sz val="10"/>
    </font>
    <font>
      <name val="Arial"/>
      <b val="1"/>
      <color rgb="006F7F61"/>
      <sz val="12"/>
    </font>
    <font>
      <name val="Arial"/>
      <b val="1"/>
      <color rgb="00B5524B"/>
      <sz val="14"/>
    </font>
    <font>
      <name val="Arial"/>
      <b val="1"/>
      <color rgb="002F5E25"/>
      <sz val="10"/>
    </font>
    <font>
      <name val="Arial"/>
      <b val="1"/>
      <color rgb="009B2C2C"/>
      <sz val="10"/>
    </font>
    <font>
      <name val="Arial"/>
      <b val="1"/>
      <color rgb="006B5200"/>
      <sz val="10"/>
    </font>
    <font>
      <name val="Arial"/>
      <b val="1"/>
      <color rgb="007A6A2A"/>
      <sz val="10"/>
    </font>
    <font>
      <name val="Arial"/>
      <b val="1"/>
      <color rgb="008A5A00"/>
      <sz val="10"/>
    </font>
    <font>
      <name val="Arial"/>
      <b val="1"/>
      <color rgb="00555555"/>
      <sz val="10"/>
    </font>
    <font>
      <name val="Arial"/>
      <color rgb="006F7F61"/>
      <sz val="8"/>
    </font>
    <font>
      <name val="Arial"/>
      <i val="1"/>
      <color rgb="009B2C2C"/>
      <sz val="9"/>
    </font>
    <font>
      <name val="Arial"/>
      <b val="1"/>
      <color rgb="003D3D3D"/>
      <sz val="9"/>
    </font>
    <font>
      <name val="Arial"/>
      <color rgb="007A7A7A"/>
      <sz val="8"/>
    </font>
    <font>
      <name val="Arial"/>
      <i val="1"/>
      <color rgb="00555555"/>
      <sz val="9"/>
    </font>
    <font>
      <name val="Arial"/>
      <i val="1"/>
      <color rgb="003D3D3D"/>
      <sz val="10"/>
    </font>
    <font>
      <name val="Arial"/>
      <color rgb="007A7A7A"/>
      <sz val="9"/>
    </font>
    <font>
      <name val="Arial"/>
      <i val="1"/>
      <color rgb="007A7A7A"/>
      <sz val="10"/>
    </font>
    <font>
      <name val="Georgia"/>
      <b val="1"/>
      <color rgb="003D3D3D"/>
      <sz val="14"/>
    </font>
    <font>
      <name val="Arial"/>
      <b val="1"/>
      <color rgb="003D3D3D"/>
      <sz val="11"/>
    </font>
    <font>
      <name val="Arial"/>
      <color rgb="006F7F61"/>
      <sz val="9"/>
    </font>
    <font>
      <name val="Arial"/>
      <b val="1"/>
      <color rgb="007A7A7A"/>
      <sz val="9"/>
    </font>
  </fonts>
  <fills count="13">
    <fill>
      <patternFill/>
    </fill>
    <fill>
      <patternFill patternType="gray125"/>
    </fill>
    <fill>
      <patternFill patternType="solid">
        <fgColor rgb="008A9A7B"/>
      </patternFill>
    </fill>
    <fill>
      <patternFill patternType="solid">
        <fgColor rgb="00FBF7F0"/>
      </patternFill>
    </fill>
    <fill>
      <patternFill patternType="solid">
        <fgColor rgb="00F6E3E1"/>
      </patternFill>
    </fill>
    <fill>
      <patternFill patternType="solid">
        <fgColor rgb="00EEF2EA"/>
      </patternFill>
    </fill>
    <fill>
      <patternFill patternType="solid">
        <fgColor rgb="00DCEBD5"/>
      </patternFill>
    </fill>
    <fill>
      <patternFill patternType="solid">
        <fgColor rgb="00F4D3D0"/>
      </patternFill>
    </fill>
    <fill>
      <patternFill patternType="solid">
        <fgColor rgb="00FFE98A"/>
      </patternFill>
    </fill>
    <fill>
      <patternFill patternType="solid">
        <fgColor rgb="00FFF6CC"/>
      </patternFill>
    </fill>
    <fill>
      <patternFill patternType="solid">
        <fgColor rgb="00FCE3C0"/>
      </patternFill>
    </fill>
    <fill>
      <patternFill patternType="solid">
        <fgColor rgb="00FFFFFF"/>
      </patternFill>
    </fill>
    <fill>
      <patternFill patternType="solid">
        <fgColor rgb="00EFEFEF"/>
      </patternFill>
    </fill>
  </fills>
  <borders count="6">
    <border>
      <left/>
      <right/>
      <top/>
      <bottom/>
      <diagonal/>
    </border>
    <border>
      <left style="thin">
        <color rgb="00E3DCCF"/>
      </left>
      <right style="thin">
        <color rgb="00E3DCCF"/>
      </right>
      <top style="thin">
        <color rgb="00E3DCCF"/>
      </top>
      <bottom style="thin">
        <color rgb="00E3DCCF"/>
      </bottom>
    </border>
    <border>
      <left style="medium">
        <color rgb="008A9A7B"/>
      </left>
      <top style="medium">
        <color rgb="008A9A7B"/>
      </top>
      <bottom style="medium">
        <color rgb="008A9A7B"/>
      </bottom>
    </border>
    <border>
      <top style="medium">
        <color rgb="008A9A7B"/>
      </top>
      <bottom style="medium">
        <color rgb="008A9A7B"/>
      </bottom>
    </border>
    <border>
      <left style="medium">
        <color rgb="008A9A7B"/>
      </left>
      <right style="medium">
        <color rgb="008A9A7B"/>
      </right>
      <top style="medium">
        <color rgb="008A9A7B"/>
      </top>
    </border>
    <border>
      <right style="medium">
        <color rgb="008A9A7B"/>
      </right>
      <bottom style="medium">
        <color rgb="008A9A7B"/>
      </bottom>
    </border>
  </borders>
  <cellStyleXfs count="1">
    <xf numFmtId="0" fontId="0" fillId="0" borderId="0"/>
  </cellStyleXfs>
  <cellXfs count="78">
    <xf numFmtId="0" fontId="0" fillId="0" borderId="0" pivotButton="0" quotePrefix="0" xfId="0"/>
    <xf numFmtId="0" fontId="1" fillId="0" borderId="0" pivotButton="0" quotePrefix="0" xfId="0"/>
    <xf numFmtId="0" fontId="10" fillId="0" borderId="0" pivotButton="0" quotePrefix="0" xfId="0"/>
    <xf numFmtId="0" fontId="11" fillId="5" borderId="4" applyAlignment="1" pivotButton="0" quotePrefix="0" xfId="0">
      <alignment vertical="center" wrapText="1" indent="1"/>
    </xf>
    <xf numFmtId="0" fontId="11" fillId="5" borderId="2" applyAlignment="1" pivotButton="0" quotePrefix="0" xfId="0">
      <alignment vertical="center" wrapText="1" indent="1"/>
    </xf>
    <xf numFmtId="0" fontId="12" fillId="5" borderId="3" applyAlignment="1" pivotButton="0" quotePrefix="0" xfId="0">
      <alignment vertical="center" wrapText="1" indent="1"/>
    </xf>
    <xf numFmtId="0" fontId="11" fillId="5" borderId="5" applyAlignment="1" pivotButton="0" quotePrefix="0" xfId="0">
      <alignment vertical="center" wrapText="1" indent="1"/>
    </xf>
    <xf numFmtId="0" fontId="6" fillId="4" borderId="0" pivotButton="0" quotePrefix="0" xfId="0"/>
    <xf numFmtId="0" fontId="0" fillId="4" borderId="0" pivotButton="0" quotePrefix="0" xfId="0"/>
    <xf numFmtId="0" fontId="7" fillId="0" borderId="0" applyAlignment="1" pivotButton="0" quotePrefix="0" xfId="0">
      <alignment vertical="top" wrapText="1"/>
    </xf>
    <xf numFmtId="0" fontId="4" fillId="3" borderId="1" pivotButton="0" quotePrefix="0" xfId="0"/>
    <xf numFmtId="0" fontId="2" fillId="0" borderId="0" pivotButton="0" quotePrefix="0" xfId="0"/>
    <xf numFmtId="164" fontId="4" fillId="3" borderId="1" pivotButton="0" quotePrefix="0" xfId="0"/>
    <xf numFmtId="18" fontId="4" fillId="3" borderId="1" pivotButton="0" quotePrefix="0" xfId="0"/>
    <xf numFmtId="165" fontId="4" fillId="3" borderId="1" pivotButton="0" quotePrefix="0" xfId="0"/>
    <xf numFmtId="0" fontId="0" fillId="0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9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3" fillId="6" borderId="1" pivotButton="0" quotePrefix="0" xfId="0"/>
    <xf numFmtId="0" fontId="14" fillId="7" borderId="1" pivotButton="0" quotePrefix="0" xfId="0"/>
    <xf numFmtId="0" fontId="15" fillId="8" borderId="1" pivotButton="0" quotePrefix="0" xfId="0"/>
    <xf numFmtId="0" fontId="16" fillId="9" borderId="1" pivotButton="0" quotePrefix="0" xfId="0"/>
    <xf numFmtId="0" fontId="17" fillId="10" borderId="1" pivotButton="0" quotePrefix="0" xfId="0"/>
    <xf numFmtId="0" fontId="7" fillId="3" borderId="1" pivotButton="0" quotePrefix="0" xfId="0"/>
    <xf numFmtId="0" fontId="18" fillId="11" borderId="1" pivotButton="0" quotePrefix="0" xfId="0"/>
    <xf numFmtId="0" fontId="26" fillId="0" borderId="0" pivotButton="0" quotePrefix="0" xfId="0"/>
    <xf numFmtId="0" fontId="4" fillId="0" borderId="0" pivotButton="0" quotePrefix="0" xfId="0"/>
    <xf numFmtId="0" fontId="27" fillId="0" borderId="0" applyAlignment="1" pivotButton="0" quotePrefix="0" xfId="0">
      <alignment horizontal="right"/>
    </xf>
    <xf numFmtId="165" fontId="28" fillId="0" borderId="0" applyAlignment="1" pivotButton="0" quotePrefix="0" xfId="0">
      <alignment horizontal="right"/>
    </xf>
    <xf numFmtId="0" fontId="29" fillId="0" borderId="0" pivotButton="0" quotePrefix="0" xfId="0"/>
    <xf numFmtId="166" fontId="28" fillId="0" borderId="0" applyAlignment="1" pivotButton="0" quotePrefix="0" xfId="0">
      <alignment horizontal="right"/>
    </xf>
    <xf numFmtId="0" fontId="28" fillId="0" borderId="0" applyAlignment="1" pivotButton="0" quotePrefix="0" xfId="0">
      <alignment horizontal="right"/>
    </xf>
    <xf numFmtId="9" fontId="28" fillId="0" borderId="0" applyAlignment="1" pivotButton="0" quotePrefix="0" xfId="0">
      <alignment horizontal="right"/>
    </xf>
    <xf numFmtId="0" fontId="30" fillId="0" borderId="0" pivotButton="0" quotePrefix="0" xfId="0"/>
    <xf numFmtId="164" fontId="4" fillId="0" borderId="0" pivotButton="0" quotePrefix="0" xfId="0"/>
    <xf numFmtId="167" fontId="4" fillId="0" borderId="0" pivotButton="0" quotePrefix="0" xfId="0"/>
    <xf numFmtId="0" fontId="9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pivotButton="0" quotePrefix="0" xfId="0"/>
    <xf numFmtId="0" fontId="3" fillId="2" borderId="1" applyAlignment="1" pivotButton="0" quotePrefix="0" xfId="0">
      <alignment wrapText="1"/>
    </xf>
    <xf numFmtId="165" fontId="5" fillId="0" borderId="1" pivotButton="0" quotePrefix="0" xfId="0"/>
    <xf numFmtId="0" fontId="5" fillId="0" borderId="1" pivotButton="0" quotePrefix="0" xfId="0"/>
    <xf numFmtId="9" fontId="4" fillId="3" borderId="1" pivotButton="0" quotePrefix="0" xfId="0"/>
    <xf numFmtId="166" fontId="5" fillId="0" borderId="1" pivotButton="0" quotePrefix="0" xfId="0"/>
    <xf numFmtId="0" fontId="19" fillId="0" borderId="1" pivotButton="0" quotePrefix="0" xfId="0"/>
    <xf numFmtId="0" fontId="7" fillId="0" borderId="0" pivotButton="0" quotePrefix="0" xfId="0"/>
    <xf numFmtId="9" fontId="18" fillId="0" borderId="1" pivotButton="0" quotePrefix="0" xfId="0"/>
    <xf numFmtId="166" fontId="18" fillId="0" borderId="1" pivotButton="0" quotePrefix="0" xfId="0"/>
    <xf numFmtId="0" fontId="20" fillId="0" borderId="0" pivotButton="0" quotePrefix="0" xfId="0"/>
    <xf numFmtId="167" fontId="4" fillId="3" borderId="1" pivotButton="0" quotePrefix="0" xfId="0"/>
    <xf numFmtId="0" fontId="4" fillId="3" borderId="1" applyAlignment="1" pivotButton="0" quotePrefix="0" xfId="0">
      <alignment horizontal="center"/>
    </xf>
    <xf numFmtId="1" fontId="5" fillId="0" borderId="1" pivotButton="0" quotePrefix="0" xfId="0"/>
    <xf numFmtId="49" fontId="4" fillId="3" borderId="1" pivotButton="0" quotePrefix="0" xfId="0"/>
    <xf numFmtId="0" fontId="22" fillId="0" borderId="0" pivotButton="0" quotePrefix="0" xfId="0"/>
    <xf numFmtId="0" fontId="9" fillId="0" borderId="1" pivotButton="0" quotePrefix="0" xfId="0"/>
    <xf numFmtId="0" fontId="23" fillId="0" borderId="1" pivotButton="0" quotePrefix="0" xfId="0"/>
    <xf numFmtId="0" fontId="7" fillId="0" borderId="1" pivotButton="0" quotePrefix="0" xfId="0"/>
    <xf numFmtId="0" fontId="5" fillId="0" borderId="1" applyAlignment="1" pivotButton="0" quotePrefix="0" xfId="0">
      <alignment/>
    </xf>
    <xf numFmtId="0" fontId="18" fillId="0" borderId="1" pivotButton="0" quotePrefix="0" xfId="0"/>
    <xf numFmtId="0" fontId="3" fillId="2" borderId="0" pivotButton="0" quotePrefix="0" xfId="0"/>
    <xf numFmtId="0" fontId="7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0" fontId="24" fillId="0" borderId="0" applyAlignment="1" pivotButton="0" quotePrefix="0" xfId="0">
      <alignment vertical="top" wrapText="1"/>
    </xf>
    <xf numFmtId="0" fontId="25" fillId="0" borderId="0" pivotButton="0" quotePrefix="0" xfId="0"/>
    <xf numFmtId="1" fontId="4" fillId="3" borderId="1" pivotButton="0" quotePrefix="0" xfId="0"/>
    <xf numFmtId="0" fontId="3" fillId="2" borderId="1" pivotButton="0" quotePrefix="0" xfId="0"/>
    <xf numFmtId="18" fontId="5" fillId="0" borderId="1" pivotButton="0" quotePrefix="0" xfId="0"/>
    <xf numFmtId="0" fontId="3" fillId="2" borderId="0" applyAlignment="1" pivotButton="0" quotePrefix="0" xfId="0">
      <alignment wrapText="1"/>
    </xf>
    <xf numFmtId="0" fontId="7" fillId="12" borderId="0" pivotButton="0" quotePrefix="0" xfId="0"/>
    <xf numFmtId="0" fontId="21" fillId="0" borderId="0" pivotButton="0" quotePrefix="0" xfId="0"/>
  </cellXfs>
  <cellStyles count="1">
    <cellStyle name="Normal" xfId="0" builtinId="0" hidden="0"/>
  </cellStyles>
  <dxfs count="10">
    <dxf>
      <font>
        <color rgb="008A5A00"/>
      </font>
      <fill>
        <patternFill patternType="solid">
          <fgColor rgb="00FCE3C0"/>
          <bgColor rgb="00FCE3C0"/>
        </patternFill>
      </fill>
    </dxf>
    <dxf>
      <font>
        <color rgb="009B2C2C"/>
      </font>
      <fill>
        <patternFill patternType="solid">
          <fgColor rgb="00F4D3D0"/>
          <bgColor rgb="00F4D3D0"/>
        </patternFill>
      </fill>
    </dxf>
    <dxf>
      <font>
        <color rgb="006B5200"/>
      </font>
      <fill>
        <patternFill patternType="solid">
          <fgColor rgb="00FFE98A"/>
          <bgColor rgb="00FFE98A"/>
        </patternFill>
      </fill>
    </dxf>
    <dxf>
      <font>
        <color rgb="007A6A2A"/>
      </font>
      <fill>
        <patternFill patternType="solid">
          <fgColor rgb="00FFF6CC"/>
          <bgColor rgb="00FFF6CC"/>
        </patternFill>
      </fill>
    </dxf>
    <dxf>
      <font>
        <color rgb="002F5E25"/>
      </font>
      <fill>
        <patternFill patternType="solid">
          <fgColor rgb="00DCEBD5"/>
          <bgColor rgb="00DCEBD5"/>
        </patternFill>
      </fill>
    </dxf>
    <dxf>
      <font>
        <strike val="1"/>
        <color rgb="00A0A0A0"/>
      </font>
    </dxf>
    <dxf>
      <font>
        <color rgb="00A0A0A0"/>
      </font>
    </dxf>
    <dxf>
      <font>
        <color rgb="00B0A090"/>
      </font>
    </dxf>
    <dxf>
      <font>
        <b val="1"/>
        <color rgb="009B2C2C"/>
      </font>
      <fill>
        <patternFill patternType="solid">
          <fgColor rgb="00F6E3E1"/>
          <bgColor rgb="00F6E3E1"/>
        </patternFill>
      </fill>
    </dxf>
    <dxf>
      <font>
        <b val="1"/>
        <color rgb="006F7F61"/>
      </font>
      <fill>
        <patternFill patternType="solid">
          <fgColor rgb="00F6E3E1"/>
          <bgColor rgb="00F6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A7B"/>
    <outlinePr summaryBelow="1" summaryRight="1"/>
    <pageSetUpPr fitToPage="1"/>
  </sheetPr>
  <dimension ref="A1:C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52" customWidth="1" min="3" max="3"/>
  </cols>
  <sheetData>
    <row r="1" ht="30" customHeight="1">
      <c r="A1" s="1" t="inlineStr">
        <is>
          <t>Our Wedding Planner</t>
        </is>
      </c>
    </row>
    <row r="2" ht="26" customHeight="1">
      <c r="A2" s="2">
        <f>IF(OR($B$5="",$B$6=""),"Congratulations on your engagement! Fill in the champagne cells — the rest is automatic.","Congratulations, "&amp;$B$5&amp;" &amp; "&amp;$B$6&amp;"! Wishing you a beautiful wedding day 💍")</f>
        <v/>
      </c>
      <c r="C2" s="3">
        <f>IF($B$15="","Set it up (1 minute, on a computer):",HYPERLINK("https://wa.me/?text="&amp;SUBSTITUTE(SUBSTITUTE(SUBSTITUTE(SUBSTITUTE(SUBSTITUTE(SUBSTITUTE(SUBSTITUTE(SUBSTITUTE(SUBSTITUTE(SUBSTITUTE(SUBSTITUTE($B$16,"{link}",$B$15),"%","%25"),"&amp;","%26"),"#","%23"),"+","%2B"),"=","%3D"),"?","%3F"),CHAR(34),"%22"),CHAR(10),"%0A"),CHAR(13),"")," ","%20"),"Share on WhatsApp ›"))</f>
        <v/>
      </c>
    </row>
    <row r="3" ht="34" customHeight="1">
      <c r="A3" s="4">
        <f>IF($B$15="","📩 Your guest RSVP link","📩 Send this link to your guests:")</f>
        <v/>
      </c>
      <c r="B3" s="5">
        <f>IF($B$15="","will appear here once set up →",HYPERLINK(IF(LEFT($B$15,4)="http",$B$15,"https://"&amp;$B$15),$B$15))</f>
        <v/>
      </c>
      <c r="C3" s="6">
        <f>IF($B$15="","menu Wedding Planner › Set up RSVP form",HYPERLINK("mailto:?subject=RSVP%20for%20our%20wedding&amp;body="&amp;SUBSTITUTE(SUBSTITUTE(SUBSTITUTE(SUBSTITUTE(SUBSTITUTE(SUBSTITUTE(SUBSTITUTE(SUBSTITUTE(SUBSTITUTE(SUBSTITUTE(SUBSTITUTE($B$16,"{link}",$B$15),"%","%25"),"&amp;","%26"),"#","%23"),"+","%2B"),"=","%3D"),"?","%3F"),CHAR(34),"%22"),CHAR(10),"%0A"),CHAR(13),"")," ","%20"),"Share by email ›"))</f>
        <v/>
      </c>
    </row>
    <row r="4" ht="22" customHeight="1">
      <c r="A4" s="7" t="inlineStr">
        <is>
          <t>1 · YOUR WEDDING DETAILS</t>
        </is>
      </c>
      <c r="B4" s="8" t="n"/>
      <c r="C4" s="8" t="n"/>
    </row>
    <row r="5">
      <c r="A5" s="9" t="inlineStr">
        <is>
          <t>Partner 1 name</t>
        </is>
      </c>
      <c r="B5" s="10" t="n"/>
      <c r="C5" s="11" t="inlineStr">
        <is>
          <t>Used in titles and messages</t>
        </is>
      </c>
    </row>
    <row r="6">
      <c r="A6" s="9" t="inlineStr">
        <is>
          <t>Partner 2 name</t>
        </is>
      </c>
      <c r="B6" s="10" t="n"/>
      <c r="C6" s="11" t="inlineStr"/>
    </row>
    <row r="7">
      <c r="A7" s="9" t="inlineStr">
        <is>
          <t>Wedding date</t>
        </is>
      </c>
      <c r="B7" s="12" t="n"/>
      <c r="C7" s="11" t="inlineStr">
        <is>
          <t>Drives the countdown and every checklist due date</t>
        </is>
      </c>
    </row>
    <row r="8">
      <c r="A8" s="9" t="inlineStr">
        <is>
          <t>Ceremony time</t>
        </is>
      </c>
      <c r="B8" s="13" t="n"/>
      <c r="C8" s="11" t="inlineStr"/>
    </row>
    <row r="9">
      <c r="A9" s="9" t="inlineStr">
        <is>
          <t>Venue</t>
        </is>
      </c>
      <c r="B9" s="10" t="n"/>
      <c r="C9" s="11" t="inlineStr"/>
    </row>
    <row r="10">
      <c r="A10" s="9" t="inlineStr">
        <is>
          <t>City, State</t>
        </is>
      </c>
      <c r="B10" s="10" t="n"/>
      <c r="C10" s="11" t="inlineStr"/>
    </row>
    <row r="11">
      <c r="A11" s="9" t="inlineStr">
        <is>
          <t>Total budget</t>
        </is>
      </c>
      <c r="B11" s="14" t="n"/>
      <c r="C11" s="11" t="inlineStr">
        <is>
          <t>Your all-in budget in USD</t>
        </is>
      </c>
    </row>
    <row r="12">
      <c r="A12" s="9" t="inlineStr">
        <is>
          <t>RSVP deadline</t>
        </is>
      </c>
      <c r="B12" s="12" t="n"/>
      <c r="C12" s="11" t="inlineStr"/>
    </row>
    <row r="13">
      <c r="A13" s="15" t="n"/>
    </row>
    <row r="14" ht="22" customHeight="1">
      <c r="A14" s="16" t="inlineStr">
        <is>
          <t>2 · RSVP LINK &amp; TEXT REMINDERS</t>
        </is>
      </c>
      <c r="B14" s="8" t="n"/>
      <c r="C14" s="8" t="n"/>
    </row>
    <row r="15">
      <c r="A15" s="9" t="inlineStr">
        <is>
          <t>RSVP form link</t>
        </is>
      </c>
      <c r="B15" s="17" t="n"/>
      <c r="C15" s="18" t="inlineStr">
        <is>
          <t>Google Sheets: menu Wedding Planner › Set up RSVP form fills this in. Or paste any RSVP link.</t>
        </is>
      </c>
    </row>
    <row r="16" ht="42" customHeight="1">
      <c r="A16" s="9" t="inlineStr">
        <is>
          <t>Share-the-link message</t>
        </is>
      </c>
      <c r="B16" s="17" t="inlineStr">
        <is>
          <t>We can't wait to celebrate with you! Please RSVP here: {link} Feel free to forward this to everyone in your party.</t>
        </is>
      </c>
      <c r="C16" s="18" t="inlineStr">
        <is>
          <t>{link} = your RSVP link</t>
        </is>
      </c>
    </row>
    <row r="17">
      <c r="A17" s="9" t="inlineStr">
        <is>
          <t>Share on WhatsApp</t>
        </is>
      </c>
      <c r="B17" s="19">
        <f>IF($B$15="","Add your RSVP link first",HYPERLINK("https://wa.me/?text="&amp;SUBSTITUTE(SUBSTITUTE(SUBSTITUTE(SUBSTITUTE(SUBSTITUTE(SUBSTITUTE(SUBSTITUTE(SUBSTITUTE(SUBSTITUTE(SUBSTITUTE(SUBSTITUTE($B$16,"{link}",$B$15),"%","%25"),"&amp;","%26"),"#","%23"),"+","%2B"),"=","%3D"),"?","%3F"),CHAR(34),"%22"),CHAR(10),"%0A"),CHAR(13),"")," ","%20"),"Share RSVP link on WhatsApp ›"))</f>
        <v/>
      </c>
      <c r="C17" s="18" t="n"/>
    </row>
    <row r="18">
      <c r="A18" s="9" t="inlineStr">
        <is>
          <t>Share by email</t>
        </is>
      </c>
      <c r="B18" s="19">
        <f>IF($B$15="","",HYPERLINK("mailto:?subject=RSVP%20for%20our%20wedding&amp;body="&amp;SUBSTITUTE(SUBSTITUTE(SUBSTITUTE(SUBSTITUTE(SUBSTITUTE(SUBSTITUTE(SUBSTITUTE(SUBSTITUTE(SUBSTITUTE(SUBSTITUTE(SUBSTITUTE($B$16,"{link}",$B$15),"%","%25"),"&amp;","%26"),"#","%23"),"+","%2B"),"=","%3D"),"?","%3F"),CHAR(34),"%22"),CHAR(10),"%0A"),CHAR(13),"")," ","%20"),"Share RSVP link by email ›"))</f>
        <v/>
      </c>
      <c r="C18" s="18" t="n"/>
    </row>
    <row r="19" ht="42" customHeight="1">
      <c r="A19" s="9" t="inlineStr">
        <is>
          <t>Reminder text message</t>
        </is>
      </c>
      <c r="B19" s="17" t="inlineStr">
        <is>
          <t>Hi {name}! Friendly reminder to RSVP for our wedding on {date}: {link} Thank you!</t>
        </is>
      </c>
      <c r="C19" s="18" t="inlineStr">
        <is>
          <t>{name} = guest greeting, {date} = wedding date, {link} = RSVP link. Keep it short.</t>
        </is>
      </c>
    </row>
    <row r="20">
      <c r="A20" s="9" t="inlineStr">
        <is>
          <t>Reminder page address</t>
        </is>
      </c>
      <c r="B20" s="17" t="inlineStr">
        <is>
          <t>https://rsvp-reminder-demo.pages.dev/</t>
        </is>
      </c>
      <c r="C20" s="18" t="inlineStr">
        <is>
          <t>Opens the text/WhatsApp/call page. Leave as is.</t>
        </is>
      </c>
    </row>
    <row r="21" ht="42" customHeight="1">
      <c r="A21" s="9" t="inlineStr">
        <is>
          <t>Message preview</t>
        </is>
      </c>
      <c r="B21" s="20">
        <f>SUBSTITUTE(SUBSTITUTE(SUBSTITUTE($B$19,"{date}",IF($B$7="","our big day",TEXT($B$7,"mmmm d"))),"{link}",IF($B$15="","(reply to this message)",$B$15)),"{name}","Sam")</f>
        <v/>
      </c>
      <c r="C21" s="18" t="inlineStr">
        <is>
          <t>Shown with sample name "Sam"</t>
        </is>
      </c>
    </row>
    <row r="22">
      <c r="A22" s="9" t="inlineStr">
        <is>
          <t>Test reminder link</t>
        </is>
      </c>
      <c r="B22" s="19">
        <f>HYPERLINK($B$20&amp;"#p=%2B15555550123&amp;n=Sam&amp;m="&amp;SUBSTITUTE($B$24,"{name}","Sam"),"Open a test reminder (sample guest Sam) ›")</f>
        <v/>
      </c>
      <c r="C22" s="18" t="n"/>
    </row>
    <row r="23">
      <c r="A23" s="9" t="inlineStr">
        <is>
          <t>Reminder link length</t>
        </is>
      </c>
      <c r="B23" s="20">
        <f>LEN($B$20&amp;"#p=%2B15555550123&amp;n=Sam&amp;m="&amp;SUBSTITUTE($B$24,"{name}","Sam"))</f>
        <v/>
      </c>
      <c r="C23" s="18">
        <f>IF(B23&gt;230,"⚠ Long link: Excel cannot open links over 255 characters. Shorten the reminder text (Google Sheets is fine).","✓ Fits the 255-character link limit in Excel")</f>
        <v/>
      </c>
    </row>
    <row r="24" ht="30" customHeight="1">
      <c r="A24" s="9" t="inlineStr">
        <is>
          <t>Encoded message (auto)</t>
        </is>
      </c>
      <c r="B24" s="21">
        <f>SUBSTITUTE(SUBSTITUTE(SUBSTITUTE(SUBSTITUTE(SUBSTITUTE(SUBSTITUTE(SUBSTITUTE(SUBSTITUTE(SUBSTITUTE(SUBSTITUTE(SUBSTITUTE(SUBSTITUTE($B$19,"{date}",IF($B$7="","our big day",TEXT($B$7,"mmmm d"))),"{link}",IF($B$15="","(reply to this message)",$B$15)),"%","%25"),"&amp;","%26"),"#","%23"),"+","%2B"),"=","%3D"),"?","%3F"),CHAR(34),"%22"),CHAR(10),"%0A"),CHAR(13),"")," ","+")</f>
        <v/>
      </c>
      <c r="C24" s="18" t="inlineStr">
        <is>
          <t>Helper — don't edit</t>
        </is>
      </c>
    </row>
    <row r="25"/>
    <row r="26" ht="22" customHeight="1">
      <c r="A26" s="7" t="inlineStr">
        <is>
          <t>3 · HOW TO USE</t>
        </is>
      </c>
      <c r="B26" s="8" t="n"/>
      <c r="C26" s="8" t="n"/>
    </row>
    <row r="27" ht="16" customHeight="1">
      <c r="A27" s="22" t="inlineStr">
        <is>
          <t>Step 1</t>
        </is>
      </c>
      <c r="B27" s="23" t="inlineStr">
        <is>
          <t>Fill in section 1 above (names, date, budget).</t>
        </is>
      </c>
    </row>
    <row r="28" ht="28" customHeight="1">
      <c r="A28" s="22" t="inlineStr">
        <is>
          <t>Step 2</t>
        </is>
      </c>
      <c r="B28" s="23" t="inlineStr">
        <is>
          <t>Checklist: due dates appear from your wedding date. Mark tasks Done to strike them through.</t>
        </is>
      </c>
    </row>
    <row r="29" ht="42" customHeight="1">
      <c r="A29" s="22" t="inlineStr">
        <is>
          <t>Step 3</t>
        </is>
      </c>
      <c r="B29" s="23" t="inlineStr">
        <is>
          <t>Budget &amp; Payments: add estimates, then log each payment. Tick ✓ when paid — the Budget and Dashboard update.</t>
        </is>
      </c>
    </row>
    <row r="30" ht="42" customHeight="1">
      <c r="A30" s="22" t="inlineStr">
        <is>
          <t>Step 4</t>
        </is>
      </c>
      <c r="B30" s="23" t="inlineStr">
        <is>
          <t>Guests: one row per person. Use the same Party name for a household so one reply covers everyone.</t>
        </is>
      </c>
    </row>
    <row r="31" ht="42" customHeight="1">
      <c r="A31" s="22" t="inlineStr">
        <is>
          <t>Step 5</t>
        </is>
      </c>
      <c r="B31" s="23" t="inlineStr">
        <is>
          <t>Tap 💬 Remind next to a yellow guest to text, WhatsApp or call them with your message ready to go.</t>
        </is>
      </c>
    </row>
    <row r="32" ht="42" customHeight="1">
      <c r="A32" s="22" t="inlineStr">
        <is>
          <t>Step 6</t>
        </is>
      </c>
      <c r="B32" s="23" t="inlineStr">
        <is>
          <t>Seating: type a Table # for each guest in Guests; check table fill and view any table on Seating.</t>
        </is>
      </c>
    </row>
    <row r="33" ht="42" customHeight="1">
      <c r="A33" s="22" t="inlineStr">
        <is>
          <t>Phone tip</t>
        </is>
      </c>
      <c r="B33" s="23" t="inlineStr">
        <is>
          <t>Open the Google Sheets app on your phone — the Guests, Follow-Up and Dashboard tabs are designed to fit a phone screen.</t>
        </is>
      </c>
    </row>
    <row r="34"/>
    <row r="35" ht="22" customHeight="1">
      <c r="A35" s="7" t="inlineStr">
        <is>
          <t>4 · GUEST SELF-RSVP FORM (GOOGLE SHEETS)</t>
        </is>
      </c>
      <c r="B35" s="8" t="n"/>
      <c r="C35" s="8" t="n"/>
    </row>
    <row r="36" ht="56" customHeight="1">
      <c r="A36" s="22" t="inlineStr">
        <is>
          <t>1. Create the form</t>
        </is>
      </c>
      <c r="B36" s="23" t="inlineStr">
        <is>
          <t>In Google Sheets choose the menu Wedding Planner › Set up RSVP form. Approve the Google permission screen (it is your own copy's script; choose Advanced › Go to… if Google shows a warning).</t>
        </is>
      </c>
    </row>
    <row r="37" ht="70" customHeight="1">
      <c r="A37" s="22" t="inlineStr">
        <is>
          <t>2. Share the link</t>
        </is>
      </c>
      <c r="B37" s="23" t="inlineStr">
        <is>
          <t>Your form link appears in the banner at the top of this tab (and in B15). Send it with the Share on WhatsApp / Share by email buttons there, or paste it into your invitations or website. Guests can forward it to family and friends.</t>
        </is>
      </c>
    </row>
    <row r="38" ht="56" customHeight="1">
      <c r="A38" s="22" t="inlineStr">
        <is>
          <t>3. Replies arrive</t>
        </is>
      </c>
      <c r="B38" s="23" t="inlineStr">
        <is>
          <t>Each reply lands in Form Responses and shows on RSVP Inbox. If a guest's mobile or name matches someone on Guests, their status, meal and party size update automatically.</t>
        </is>
      </c>
    </row>
    <row r="39" ht="56" customHeight="1">
      <c r="A39" s="22" t="inlineStr">
        <is>
          <t>4. New people</t>
        </is>
      </c>
      <c r="B39" s="23" t="inlineStr">
        <is>
          <t>Anyone who replied but is not on Guests is marked NEW on RSVP Inbox and is counted on the Dashboard. To seat them, add their name + mobile to Guests — the reply links itself.</t>
        </is>
      </c>
    </row>
    <row r="40" ht="42" customHeight="1">
      <c r="A40" s="22" t="inlineStr">
        <is>
          <t>Changing a reply</t>
        </is>
      </c>
      <c r="B40" s="23" t="inlineStr">
        <is>
          <t>Guests can simply fill the form again; the latest answer counts. "Not sure yet" replies stay yellow and appear on RSVP Follow-Up.</t>
        </is>
      </c>
    </row>
    <row r="41" ht="42" customHeight="1">
      <c r="A41" s="22" t="inlineStr">
        <is>
          <t>Your own entries</t>
        </is>
      </c>
      <c r="B41" s="23" t="inlineStr">
        <is>
          <t>A form reply always wins over the RSVP you typed. To override, clear or edit the response row in Form Responses.</t>
        </is>
      </c>
    </row>
    <row r="42"/>
    <row r="43" ht="22" customHeight="1">
      <c r="A43" s="7" t="inlineStr">
        <is>
          <t>5 · USING EXCEL</t>
        </is>
      </c>
      <c r="B43" s="8" t="n"/>
      <c r="C43" s="8" t="n"/>
    </row>
    <row r="44" ht="42" customHeight="1">
      <c r="A44" s="22" t="inlineStr">
        <is>
          <t>Excel 2016+ / 365</t>
        </is>
      </c>
      <c r="B44" s="23" t="inlineStr">
        <is>
          <t>Everything works except the RSVP form (forms need Google). Form Responses stays empty — just type guests and their RSVP on Guests.</t>
        </is>
      </c>
    </row>
    <row r="45" ht="42" customHeight="1">
      <c r="A45" s="22" t="inlineStr">
        <is>
          <t>Links</t>
        </is>
      </c>
      <c r="B45" s="23" t="inlineStr">
        <is>
          <t>Reminder links open in your browser. Excel cannot open links longer than 255 characters — see the check in B23.</t>
        </is>
      </c>
    </row>
    <row r="46" ht="28" customHeight="1">
      <c r="A46" s="22" t="inlineStr">
        <is>
          <t>Google Sheets import</t>
        </is>
      </c>
      <c r="B46" s="23" t="inlineStr">
        <is>
          <t>Upload the .xlsx to Google Drive › open it › File › Save as Google Sheets.</t>
        </is>
      </c>
    </row>
    <row r="47"/>
    <row r="48" ht="22" customHeight="1">
      <c r="A48" s="7" t="inlineStr">
        <is>
          <t>6 · COLOUR KEY</t>
        </is>
      </c>
      <c r="B48" s="8" t="n"/>
      <c r="C48" s="8" t="n"/>
    </row>
    <row r="49">
      <c r="A49" s="24" t="inlineStr">
        <is>
          <t>Attending</t>
        </is>
      </c>
    </row>
    <row r="50">
      <c r="A50" s="25" t="inlineStr">
        <is>
          <t>Declined</t>
        </is>
      </c>
    </row>
    <row r="51">
      <c r="A51" s="26" t="inlineStr">
        <is>
          <t>Not sure yet</t>
        </is>
      </c>
    </row>
    <row r="52">
      <c r="A52" s="27" t="inlineStr">
        <is>
          <t>Awaiting</t>
        </is>
      </c>
    </row>
    <row r="53">
      <c r="A53" s="25" t="inlineStr">
        <is>
          <t>Overdue</t>
        </is>
      </c>
    </row>
    <row r="54">
      <c r="A54" s="28" t="inlineStr">
        <is>
          <t>Due within 14 days</t>
        </is>
      </c>
    </row>
    <row r="55">
      <c r="A55" s="29" t="inlineStr">
        <is>
          <t>Type here (input cell)</t>
        </is>
      </c>
    </row>
    <row r="56">
      <c r="A56" s="30" t="inlineStr">
        <is>
          <t>Automatic — don't type</t>
        </is>
      </c>
    </row>
    <row r="57"/>
    <row r="58" ht="22" customHeight="1">
      <c r="A58" s="7" t="inlineStr">
        <is>
          <t>7 · WHAT'S INSIDE</t>
        </is>
      </c>
      <c r="B58" s="8" t="n"/>
      <c r="C58" s="8" t="n"/>
    </row>
    <row r="59" ht="28" customHeight="1">
      <c r="A59" s="22" t="inlineStr">
        <is>
          <t>Dashboard</t>
        </is>
      </c>
      <c r="B59" s="23" t="inlineStr">
        <is>
          <t>Countdown, budget, RSVP headcount, meals, next tasks &amp; payments</t>
        </is>
      </c>
    </row>
    <row r="60" ht="16" customHeight="1">
      <c r="A60" s="22" t="inlineStr">
        <is>
          <t>Checklist</t>
        </is>
      </c>
      <c r="B60" s="23" t="inlineStr">
        <is>
          <t>~100 US wedding tasks with automatic due dates</t>
        </is>
      </c>
    </row>
    <row r="61" ht="16" customHeight="1">
      <c r="A61" s="22" t="inlineStr">
        <is>
          <t>Budget</t>
        </is>
      </c>
      <c r="B61" s="23" t="inlineStr">
        <is>
          <t>Line items, category targets and over/under</t>
        </is>
      </c>
    </row>
    <row r="62" ht="16" customHeight="1">
      <c r="A62" s="22" t="inlineStr">
        <is>
          <t>Payments</t>
        </is>
      </c>
      <c r="B62" s="23" t="inlineStr">
        <is>
          <t>Deposits &amp; balances with due-date alerts</t>
        </is>
      </c>
    </row>
    <row r="63" ht="16" customHeight="1">
      <c r="A63" s="22" t="inlineStr">
        <is>
          <t>Vendors</t>
        </is>
      </c>
      <c r="B63" s="23" t="inlineStr">
        <is>
          <t>Contacts, status, cost &amp; paid</t>
        </is>
      </c>
    </row>
    <row r="64" ht="28" customHeight="1">
      <c r="A64" s="22" t="inlineStr">
        <is>
          <t>Guests</t>
        </is>
      </c>
      <c r="B64" s="23" t="inlineStr">
        <is>
          <t>Your guest list with automatic RSVP updates and reminder links</t>
        </is>
      </c>
    </row>
    <row r="65" ht="16" customHeight="1">
      <c r="A65" s="22" t="inlineStr">
        <is>
          <t>RSVP Inbox</t>
        </is>
      </c>
      <c r="B65" s="23" t="inlineStr">
        <is>
          <t>Every form reply, newest first</t>
        </is>
      </c>
    </row>
    <row r="66" ht="16" customHeight="1">
      <c r="A66" s="22" t="inlineStr">
        <is>
          <t>RSVP Follow-Up</t>
        </is>
      </c>
      <c r="B66" s="23" t="inlineStr">
        <is>
          <t>Who still needs a nudge + phone script</t>
        </is>
      </c>
    </row>
    <row r="67" ht="16" customHeight="1">
      <c r="A67" s="22" t="inlineStr">
        <is>
          <t>Seating</t>
        </is>
      </c>
      <c r="B67" s="23" t="inlineStr">
        <is>
          <t>Tables, capacity and a table viewer</t>
        </is>
      </c>
    </row>
    <row r="68" ht="16" customHeight="1">
      <c r="A68" s="22" t="inlineStr">
        <is>
          <t>Events</t>
        </is>
      </c>
      <c r="B68" s="23" t="inlineStr">
        <is>
          <t>Shower, rehearsal, brunch &amp; more</t>
        </is>
      </c>
    </row>
    <row r="69" ht="16" customHeight="1">
      <c r="A69" s="22" t="inlineStr">
        <is>
          <t>Stay &amp; Travel</t>
        </is>
      </c>
      <c r="B69" s="23" t="inlineStr">
        <is>
          <t>Hotel blocks and transportation</t>
        </is>
      </c>
    </row>
    <row r="70" ht="16" customHeight="1">
      <c r="A70" s="22" t="inlineStr">
        <is>
          <t>Timeline</t>
        </is>
      </c>
      <c r="B70" s="23" t="inlineStr">
        <is>
          <t>Wedding-day schedule with chained times</t>
        </is>
      </c>
    </row>
    <row r="71" ht="16" customHeight="1">
      <c r="A71" s="22" t="inlineStr">
        <is>
          <t>Day-Of Kit</t>
        </is>
      </c>
      <c r="B71" s="23" t="inlineStr">
        <is>
          <t>Emergency kit packing list</t>
        </is>
      </c>
    </row>
    <row r="72" ht="16" customHeight="1">
      <c r="A72" s="22" t="inlineStr">
        <is>
          <t>Gifts</t>
        </is>
      </c>
      <c r="B72" s="23" t="inlineStr">
        <is>
          <t>Gift log &amp; thank-you tracker</t>
        </is>
      </c>
    </row>
    <row r="73" ht="16" customHeight="1">
      <c r="A73" s="22" t="inlineStr">
        <is>
          <t>Lists</t>
        </is>
      </c>
      <c r="B73" s="23" t="inlineStr">
        <is>
          <t>Edit dropdown options</t>
        </is>
      </c>
    </row>
    <row r="74" ht="16" customHeight="1">
      <c r="A74" s="22" t="inlineStr">
        <is>
          <t>Form Responses</t>
        </is>
      </c>
      <c r="B74" s="23" t="inlineStr">
        <is>
          <t>Filled by your Google Form — do not type here</t>
        </is>
      </c>
    </row>
  </sheetData>
  <conditionalFormatting sqref="C23">
    <cfRule type="expression" priority="1" dxfId="0" stopIfTrue="0">
      <formula>$B$23&gt;230</formula>
    </cfRule>
  </conditionalFormatting>
  <pageMargins left="0.5" right="0.5" top="0.6" bottom="0.6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B5C4A8"/>
    <outlinePr summaryBelow="1" summaryRight="1"/>
    <pageSetUpPr fitToPage="1"/>
  </sheetPr>
  <dimension ref="A1:C6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</cols>
  <sheetData>
    <row r="1" ht="30" customHeight="1">
      <c r="A1" s="1">
        <f>IF(AND('Start Here'!$B$5&lt;&gt;"",'Start Here'!$B$6&lt;&gt;""),'Start Here'!$B$5&amp;" &amp; "&amp;'Start Here'!$B$6,"Our Wedding")</f>
        <v/>
      </c>
    </row>
    <row r="2">
      <c r="A2" s="31">
        <f>IF('Start Here'!$B$7="","Add your wedding date on Start Here",TEXT('Start Here'!$B$7,"dddd, mmmm d, yyyy")&amp;IF('Start Here'!$B$9&lt;&gt;""," · "&amp;'Start Here'!$B$9,""))</f>
        <v/>
      </c>
    </row>
    <row r="3">
      <c r="A3" s="2">
        <f>IF(OR('Start Here'!$B$5="",'Start Here'!$B$6=""),"","Congratulations, you two — enjoy every step of the journey 💍")</f>
        <v/>
      </c>
    </row>
    <row r="4" ht="22" customHeight="1">
      <c r="A4" s="7" t="inlineStr">
        <is>
          <t>COUNTDOWN</t>
        </is>
      </c>
      <c r="B4" s="8" t="n"/>
      <c r="C4" s="8" t="n"/>
    </row>
    <row r="5">
      <c r="A5" s="32" t="inlineStr">
        <is>
          <t>Days to go</t>
        </is>
      </c>
      <c r="B5" s="33">
        <f>IF('Start Here'!$B$7="","—",MAX(0,'Start Here'!$B$7-TODAY()))</f>
        <v/>
      </c>
      <c r="C5" s="31">
        <f>IF('Start Here'!$B$7="","",IF('Start Here'!$B$7&lt;TODAY(),"Congratulations! 🎉",INT(('Start Here'!$B$7-TODAY())/7)&amp;" weeks"))</f>
        <v/>
      </c>
    </row>
    <row r="6"/>
    <row r="7" ht="22" customHeight="1">
      <c r="A7" s="7" t="inlineStr">
        <is>
          <t>BUDGET</t>
        </is>
      </c>
      <c r="B7" s="8" t="n"/>
      <c r="C7" s="8" t="n"/>
    </row>
    <row r="8">
      <c r="A8" s="32" t="inlineStr">
        <is>
          <t>Total budget</t>
        </is>
      </c>
      <c r="B8" s="34">
        <f>N('Start Here'!$B$11)</f>
        <v/>
      </c>
    </row>
    <row r="9">
      <c r="A9" s="32" t="inlineStr">
        <is>
          <t>Committed</t>
        </is>
      </c>
      <c r="B9" s="34">
        <f>SUM(Budget!$I$6:$I$105)</f>
        <v/>
      </c>
      <c r="C9" s="35">
        <f>IF(N('Start Here'!$B$11)=0,"",REPT("█",ROUND(MIN(1,MAX(0,SUM(Budget!$I$6:$I$105)/'Start Here'!$B$11))*16,0))&amp;REPT("░",16-ROUND(MIN(1,MAX(0,SUM(Budget!$I$6:$I$105)/'Start Here'!$B$11))*16,0))&amp;" "&amp;TEXT(SUM(Budget!$I$6:$I$105)/'Start Here'!$B$11,"0%"))</f>
        <v/>
      </c>
    </row>
    <row r="10">
      <c r="A10" s="32" t="inlineStr">
        <is>
          <t>Paid so far</t>
        </is>
      </c>
      <c r="B10" s="34">
        <f>SUMIFS(Payments!$C$6:$C$85,Payments!$E$6:$E$85,"✓")</f>
        <v/>
      </c>
      <c r="C10" s="35">
        <f>IF(N('Start Here'!$B$11)=0,"",REPT("█",ROUND(MIN(1,MAX(0,SUMIFS(Payments!$C$6:$C$85,Payments!$E$6:$E$85,"✓")/'Start Here'!$B$11))*16,0))&amp;REPT("░",16-ROUND(MIN(1,MAX(0,SUMIFS(Payments!$C$6:$C$85,Payments!$E$6:$E$85,"✓")/'Start Here'!$B$11))*16,0))&amp;" "&amp;TEXT(SUMIFS(Payments!$C$6:$C$85,Payments!$E$6:$E$85,"✓")/'Start Here'!$B$11,"0%"))</f>
        <v/>
      </c>
    </row>
    <row r="11">
      <c r="A11" s="32" t="inlineStr">
        <is>
          <t>Left to commit</t>
        </is>
      </c>
      <c r="B11" s="36">
        <f>N('Start Here'!$B$11)-SUM(Budget!$I$6:$I$105)</f>
        <v/>
      </c>
    </row>
    <row r="12">
      <c r="A12" s="32" t="inlineStr">
        <is>
          <t>Balance still due</t>
        </is>
      </c>
      <c r="B12" s="34">
        <f>MAX(0,SUM(Budget!$I$6:$I$105)-SUMIFS(Budget!$F$6:$F$105,Budget!$I$6:$I$105,"&gt;0"))</f>
        <v/>
      </c>
    </row>
    <row r="13"/>
    <row r="14" ht="22" customHeight="1">
      <c r="A14" s="7" t="inlineStr">
        <is>
          <t>RSVP (PEOPLE)</t>
        </is>
      </c>
      <c r="B14" s="8" t="n"/>
      <c r="C14" s="8" t="n"/>
    </row>
    <row r="15">
      <c r="A15" s="32" t="inlineStr">
        <is>
          <t>Invited (people)</t>
        </is>
      </c>
      <c r="B15" s="37">
        <f>SUM(B16:B19)</f>
        <v/>
      </c>
    </row>
    <row r="16">
      <c r="A16" s="32" t="inlineStr">
        <is>
          <t>Attending</t>
        </is>
      </c>
      <c r="B16" s="37">
        <f>COUNTIF(Guests!$B$6:$B$505,"Attending")+SUMIFS('Form Calc'!$X$2:$X$601,'Form Calc'!$W$2:$W$601,1,'Form Calc'!$G$2:$G$601,"Attending")+SUM('Form Calc'!$V$2:$V$601)</f>
        <v/>
      </c>
      <c r="C16" s="35">
        <f>IF(B15=0,"",REPT("█",ROUND(MIN(1,MAX(0,B16/B15))*16,0))&amp;REPT("░",16-ROUND(MIN(1,MAX(0,B16/B15))*16,0))&amp;" "&amp;TEXT(B16/B15,"0%"))</f>
        <v/>
      </c>
    </row>
    <row r="17">
      <c r="A17" s="32" t="inlineStr">
        <is>
          <t>Declined</t>
        </is>
      </c>
      <c r="B17" s="37">
        <f>COUNTIF(Guests!$B$6:$B$505,"Declined")+SUMIFS('Form Calc'!$X$2:$X$601,'Form Calc'!$W$2:$W$601,1,'Form Calc'!$G$2:$G$601,"Declined")</f>
        <v/>
      </c>
    </row>
    <row r="18">
      <c r="A18" s="32" t="inlineStr">
        <is>
          <t>Not sure yet</t>
        </is>
      </c>
      <c r="B18" s="37">
        <f>COUNTIF(Guests!$B$6:$B$505,"Not sure yet")+SUMIFS('Form Calc'!$X$2:$X$601,'Form Calc'!$W$2:$W$601,1,'Form Calc'!$G$2:$G$601,"Not sure yet")</f>
        <v/>
      </c>
    </row>
    <row r="19">
      <c r="A19" s="32" t="inlineStr">
        <is>
          <t>Awaiting reply</t>
        </is>
      </c>
      <c r="B19" s="37">
        <f>COUNTIF(Guests!$B$6:$B$505,"Awaiting")</f>
        <v/>
      </c>
    </row>
    <row r="20">
      <c r="A20" s="32" t="inlineStr">
        <is>
          <t>Replied</t>
        </is>
      </c>
      <c r="B20" s="38">
        <f>IF(B15=0,0,(B16+B17)/B15)</f>
        <v/>
      </c>
      <c r="C20" s="35">
        <f>IF(B15=0,"",REPT("█",ROUND(MIN(1,MAX(0,B20))*16,0))&amp;REPT("░",16-ROUND(MIN(1,MAX(0,B20))*16,0)))</f>
        <v/>
      </c>
    </row>
    <row r="21">
      <c r="A21" s="32" t="inlineStr">
        <is>
          <t>Adults attending</t>
        </is>
      </c>
      <c r="B21" s="37">
        <f>B16-B22</f>
        <v/>
      </c>
    </row>
    <row r="22">
      <c r="A22" s="32" t="inlineStr">
        <is>
          <t>Children attending</t>
        </is>
      </c>
      <c r="B22" s="37">
        <f>COUNTIFS(Guests!$B$6:$B$505,"Attending",Guests!$H$6:$H$505,"Child")+COUNTIFS(Guests!$B$6:$B$505,"Attending",Guests!$H$6:$H$505,"Infant")+SUMIFS('Form Calc'!$I$2:$I$601,'Form Calc'!$W$2:$W$601,1,'Form Calc'!$G$2:$G$601,"Attending")</f>
        <v/>
      </c>
    </row>
    <row r="23">
      <c r="A23" s="32" t="inlineStr">
        <is>
          <t>Form replies received</t>
        </is>
      </c>
      <c r="B23" s="37">
        <f>MAX('Form Calc'!$Y$2:$Y$601)</f>
        <v/>
      </c>
    </row>
    <row r="24">
      <c r="A24" s="32" t="inlineStr">
        <is>
          <t>New from form (not on Guests)</t>
        </is>
      </c>
      <c r="B24" s="37">
        <f>SUM('Form Calc'!$W$2:$W$601)</f>
        <v/>
      </c>
    </row>
    <row r="25"/>
    <row r="26" ht="22" customHeight="1">
      <c r="A26" s="7" t="inlineStr">
        <is>
          <t>MEALS (ATTENDING)</t>
        </is>
      </c>
      <c r="B26" s="8" t="n"/>
      <c r="C26" s="8" t="n"/>
    </row>
    <row r="27">
      <c r="A27" s="32">
        <f>IF(Lists!$E$5="","",Lists!$E$5)</f>
        <v/>
      </c>
      <c r="B27" s="37">
        <f>IF(Lists!$E$5="","",COUNTIFS(Guests!$B$6:$B$505,"Attending",Guests!$X$6:$X$505,Lists!$E$5)+COUNTIFS('Form Calc'!$W$2:$W$601,1,'Form Calc'!$G$2:$G$601,"Attending",'Form Calc'!$K$2:$K$601,Lists!$E$5))</f>
        <v/>
      </c>
    </row>
    <row r="28">
      <c r="A28" s="32">
        <f>IF(Lists!$E$6="","",Lists!$E$6)</f>
        <v/>
      </c>
      <c r="B28" s="37">
        <f>IF(Lists!$E$6="","",COUNTIFS(Guests!$B$6:$B$505,"Attending",Guests!$X$6:$X$505,Lists!$E$6)+COUNTIFS('Form Calc'!$W$2:$W$601,1,'Form Calc'!$G$2:$G$601,"Attending",'Form Calc'!$K$2:$K$601,Lists!$E$6))</f>
        <v/>
      </c>
    </row>
    <row r="29">
      <c r="A29" s="32">
        <f>IF(Lists!$E$7="","",Lists!$E$7)</f>
        <v/>
      </c>
      <c r="B29" s="37">
        <f>IF(Lists!$E$7="","",COUNTIFS(Guests!$B$6:$B$505,"Attending",Guests!$X$6:$X$505,Lists!$E$7)+COUNTIFS('Form Calc'!$W$2:$W$601,1,'Form Calc'!$G$2:$G$601,"Attending",'Form Calc'!$K$2:$K$601,Lists!$E$7))</f>
        <v/>
      </c>
    </row>
    <row r="30">
      <c r="A30" s="32">
        <f>IF(Lists!$E$8="","",Lists!$E$8)</f>
        <v/>
      </c>
      <c r="B30" s="37">
        <f>IF(Lists!$E$8="","",COUNTIFS(Guests!$B$6:$B$505,"Attending",Guests!$X$6:$X$505,Lists!$E$8)+COUNTIFS('Form Calc'!$W$2:$W$601,1,'Form Calc'!$G$2:$G$601,"Attending",'Form Calc'!$K$2:$K$601,Lists!$E$8))</f>
        <v/>
      </c>
    </row>
    <row r="31">
      <c r="A31" s="32">
        <f>IF(Lists!$E$9="","",Lists!$E$9)</f>
        <v/>
      </c>
      <c r="B31" s="37">
        <f>IF(Lists!$E$9="","",COUNTIFS(Guests!$B$6:$B$505,"Attending",Guests!$X$6:$X$505,Lists!$E$9)+COUNTIFS('Form Calc'!$W$2:$W$601,1,'Form Calc'!$G$2:$G$601,"Attending",'Form Calc'!$K$2:$K$601,Lists!$E$9))</f>
        <v/>
      </c>
    </row>
    <row r="32">
      <c r="A32" s="32">
        <f>IF(Lists!$E$10="","",Lists!$E$10)</f>
        <v/>
      </c>
      <c r="B32" s="37">
        <f>IF(Lists!$E$10="","",COUNTIFS(Guests!$B$6:$B$505,"Attending",Guests!$X$6:$X$505,Lists!$E$10)+COUNTIFS('Form Calc'!$W$2:$W$601,1,'Form Calc'!$G$2:$G$601,"Attending",'Form Calc'!$K$2:$K$601,Lists!$E$10))</f>
        <v/>
      </c>
    </row>
    <row r="33">
      <c r="A33" s="32">
        <f>IF(Lists!$E$11="","",Lists!$E$11)</f>
        <v/>
      </c>
      <c r="B33" s="37">
        <f>IF(Lists!$E$11="","",COUNTIFS(Guests!$B$6:$B$505,"Attending",Guests!$X$6:$X$505,Lists!$E$11)+COUNTIFS('Form Calc'!$W$2:$W$601,1,'Form Calc'!$G$2:$G$601,"Attending",'Form Calc'!$K$2:$K$601,Lists!$E$11))</f>
        <v/>
      </c>
    </row>
    <row r="34">
      <c r="A34" s="32">
        <f>IF(Lists!$E$12="","",Lists!$E$12)</f>
        <v/>
      </c>
      <c r="B34" s="37">
        <f>IF(Lists!$E$12="","",COUNTIFS(Guests!$B$6:$B$505,"Attending",Guests!$X$6:$X$505,Lists!$E$12)+COUNTIFS('Form Calc'!$W$2:$W$601,1,'Form Calc'!$G$2:$G$601,"Attending",'Form Calc'!$K$2:$K$601,Lists!$E$12))</f>
        <v/>
      </c>
    </row>
    <row r="35">
      <c r="A35" s="32" t="inlineStr">
        <is>
          <t>Not chosen yet</t>
        </is>
      </c>
      <c r="B35" s="37">
        <f>MAX(0,B16-SUM(B27:B34))</f>
        <v/>
      </c>
    </row>
    <row r="36"/>
    <row r="37" ht="22" customHeight="1">
      <c r="A37" s="7" t="inlineStr">
        <is>
          <t>CHECKLIST</t>
        </is>
      </c>
      <c r="B37" s="8" t="n"/>
      <c r="C37" s="8" t="n"/>
    </row>
    <row r="38">
      <c r="A38" s="32" t="inlineStr">
        <is>
          <t>Tasks done</t>
        </is>
      </c>
      <c r="B38" s="37">
        <f>COUNTIF(Checklist!$E$6:$E$125,"Done")&amp;" of "&amp;SUMPRODUCT(--(Checklist!$A$6:$A$125&lt;&gt;""))</f>
        <v/>
      </c>
      <c r="C38" s="35">
        <f>IF(SUMPRODUCT(--(Checklist!$A$6:$A$125&lt;&gt;""))=0,"",REPT("█",ROUND(MIN(1,MAX(0,COUNTIF(Checklist!$E$6:$E$125,"Done")/SUMPRODUCT(--(Checklist!$A$6:$A$125&lt;&gt;""))))*16,0))&amp;REPT("░",16-ROUND(MIN(1,MAX(0,COUNTIF(Checklist!$E$6:$E$125,"Done")/SUMPRODUCT(--(Checklist!$A$6:$A$125&lt;&gt;""))))*16,0))&amp;" "&amp;TEXT(COUNTIF(Checklist!$E$6:$E$125,"Done")/SUMPRODUCT(--(Checklist!$A$6:$A$125&lt;&gt;"")),"0%"))</f>
        <v/>
      </c>
    </row>
    <row r="39">
      <c r="A39" s="39" t="inlineStr">
        <is>
          <t>Next 5 tasks</t>
        </is>
      </c>
      <c r="B39" s="39" t="inlineStr">
        <is>
          <t>Due</t>
        </is>
      </c>
      <c r="C39" s="39" t="inlineStr">
        <is>
          <t>Who</t>
        </is>
      </c>
    </row>
    <row r="40">
      <c r="A40" s="32">
        <f>IFERROR(INDEX(Checklist!$A$6:$A$125,MATCH(SMALL(Checklist!$H$6:$H$125,1),Checklist!$H$6:$H$125,0)),"")</f>
        <v/>
      </c>
      <c r="B40" s="40">
        <f>IFERROR(IF(INDEX(Checklist!$D$6:$D$125,MATCH(SMALL(Checklist!$H$6:$H$125,1),Checklist!$H$6:$H$125,0))="","",INDEX(Checklist!$D$6:$D$125,MATCH(SMALL(Checklist!$H$6:$H$125,1),Checklist!$H$6:$H$125,0))),"")</f>
        <v/>
      </c>
      <c r="C40" s="32">
        <f>IFERROR(INDEX(Checklist!$F$6:$F$125,MATCH(SMALL(Checklist!$H$6:$H$125,1),Checklist!$H$6:$H$125,0))&amp;"","")</f>
        <v/>
      </c>
    </row>
    <row r="41">
      <c r="A41" s="32">
        <f>IFERROR(INDEX(Checklist!$A$6:$A$125,MATCH(SMALL(Checklist!$H$6:$H$125,2),Checklist!$H$6:$H$125,0)),"")</f>
        <v/>
      </c>
      <c r="B41" s="40">
        <f>IFERROR(IF(INDEX(Checklist!$D$6:$D$125,MATCH(SMALL(Checklist!$H$6:$H$125,2),Checklist!$H$6:$H$125,0))="","",INDEX(Checklist!$D$6:$D$125,MATCH(SMALL(Checklist!$H$6:$H$125,2),Checklist!$H$6:$H$125,0))),"")</f>
        <v/>
      </c>
      <c r="C41" s="32">
        <f>IFERROR(INDEX(Checklist!$F$6:$F$125,MATCH(SMALL(Checklist!$H$6:$H$125,2),Checklist!$H$6:$H$125,0))&amp;"","")</f>
        <v/>
      </c>
    </row>
    <row r="42">
      <c r="A42" s="32">
        <f>IFERROR(INDEX(Checklist!$A$6:$A$125,MATCH(SMALL(Checklist!$H$6:$H$125,3),Checklist!$H$6:$H$125,0)),"")</f>
        <v/>
      </c>
      <c r="B42" s="40">
        <f>IFERROR(IF(INDEX(Checklist!$D$6:$D$125,MATCH(SMALL(Checklist!$H$6:$H$125,3),Checklist!$H$6:$H$125,0))="","",INDEX(Checklist!$D$6:$D$125,MATCH(SMALL(Checklist!$H$6:$H$125,3),Checklist!$H$6:$H$125,0))),"")</f>
        <v/>
      </c>
      <c r="C42" s="32">
        <f>IFERROR(INDEX(Checklist!$F$6:$F$125,MATCH(SMALL(Checklist!$H$6:$H$125,3),Checklist!$H$6:$H$125,0))&amp;"","")</f>
        <v/>
      </c>
    </row>
    <row r="43">
      <c r="A43" s="32">
        <f>IFERROR(INDEX(Checklist!$A$6:$A$125,MATCH(SMALL(Checklist!$H$6:$H$125,4),Checklist!$H$6:$H$125,0)),"")</f>
        <v/>
      </c>
      <c r="B43" s="40">
        <f>IFERROR(IF(INDEX(Checklist!$D$6:$D$125,MATCH(SMALL(Checklist!$H$6:$H$125,4),Checklist!$H$6:$H$125,0))="","",INDEX(Checklist!$D$6:$D$125,MATCH(SMALL(Checklist!$H$6:$H$125,4),Checklist!$H$6:$H$125,0))),"")</f>
        <v/>
      </c>
      <c r="C43" s="32">
        <f>IFERROR(INDEX(Checklist!$F$6:$F$125,MATCH(SMALL(Checklist!$H$6:$H$125,4),Checklist!$H$6:$H$125,0))&amp;"","")</f>
        <v/>
      </c>
    </row>
    <row r="44">
      <c r="A44" s="32">
        <f>IFERROR(INDEX(Checklist!$A$6:$A$125,MATCH(SMALL(Checklist!$H$6:$H$125,5),Checklist!$H$6:$H$125,0)),"")</f>
        <v/>
      </c>
      <c r="B44" s="40">
        <f>IFERROR(IF(INDEX(Checklist!$D$6:$D$125,MATCH(SMALL(Checklist!$H$6:$H$125,5),Checklist!$H$6:$H$125,0))="","",INDEX(Checklist!$D$6:$D$125,MATCH(SMALL(Checklist!$H$6:$H$125,5),Checklist!$H$6:$H$125,0))),"")</f>
        <v/>
      </c>
      <c r="C44" s="32">
        <f>IFERROR(INDEX(Checklist!$F$6:$F$125,MATCH(SMALL(Checklist!$H$6:$H$125,5),Checklist!$H$6:$H$125,0))&amp;"","")</f>
        <v/>
      </c>
    </row>
    <row r="45"/>
    <row r="46" ht="22" customHeight="1">
      <c r="A46" s="7" t="inlineStr">
        <is>
          <t>NEXT PAYMENTS DUE</t>
        </is>
      </c>
      <c r="B46" s="8" t="n"/>
      <c r="C46" s="8" t="n"/>
    </row>
    <row r="47">
      <c r="A47" s="39" t="inlineStr">
        <is>
          <t>Vendor / item</t>
        </is>
      </c>
      <c r="B47" s="39" t="inlineStr">
        <is>
          <t>Due</t>
        </is>
      </c>
      <c r="C47" s="39" t="inlineStr">
        <is>
          <t>Amount</t>
        </is>
      </c>
    </row>
    <row r="48">
      <c r="A48" s="32">
        <f>IFERROR(IF(INDEX(Payments!$A$6:$A$85,MATCH(SMALL(Payments!$J$6:$J$85,1),Payments!$J$6:$J$85,0))&amp;""="",INDEX(Payments!$B$6:$B$85,MATCH(SMALL(Payments!$J$6:$J$85,1),Payments!$J$6:$J$85,0))&amp;"",IF(INDEX(Payments!$B$6:$B$85,MATCH(SMALL(Payments!$J$6:$J$85,1),Payments!$J$6:$J$85,0))&amp;""="",INDEX(Payments!$A$6:$A$85,MATCH(SMALL(Payments!$J$6:$J$85,1),Payments!$J$6:$J$85,0))&amp;"",INDEX(Payments!$A$6:$A$85,MATCH(SMALL(Payments!$J$6:$J$85,1),Payments!$J$6:$J$85,0))&amp;""&amp;" · "&amp;INDEX(Payments!$B$6:$B$85,MATCH(SMALL(Payments!$J$6:$J$85,1),Payments!$J$6:$J$85,0))&amp;"")),"")</f>
        <v/>
      </c>
      <c r="B48" s="40">
        <f>IFERROR(INDEX(Payments!$D$6:$D$85,MATCH(SMALL(Payments!$J$6:$J$85,1),Payments!$J$6:$J$85,0)),"")</f>
        <v/>
      </c>
      <c r="C48" s="41">
        <f>IFERROR(INDEX(Payments!$C$6:$C$85,MATCH(SMALL(Payments!$J$6:$J$85,1),Payments!$J$6:$J$85,0)),"")</f>
        <v/>
      </c>
    </row>
    <row r="49">
      <c r="A49" s="32">
        <f>IFERROR(IF(INDEX(Payments!$A$6:$A$85,MATCH(SMALL(Payments!$J$6:$J$85,2),Payments!$J$6:$J$85,0))&amp;""="",INDEX(Payments!$B$6:$B$85,MATCH(SMALL(Payments!$J$6:$J$85,2),Payments!$J$6:$J$85,0))&amp;"",IF(INDEX(Payments!$B$6:$B$85,MATCH(SMALL(Payments!$J$6:$J$85,2),Payments!$J$6:$J$85,0))&amp;""="",INDEX(Payments!$A$6:$A$85,MATCH(SMALL(Payments!$J$6:$J$85,2),Payments!$J$6:$J$85,0))&amp;"",INDEX(Payments!$A$6:$A$85,MATCH(SMALL(Payments!$J$6:$J$85,2),Payments!$J$6:$J$85,0))&amp;""&amp;" · "&amp;INDEX(Payments!$B$6:$B$85,MATCH(SMALL(Payments!$J$6:$J$85,2),Payments!$J$6:$J$85,0))&amp;"")),"")</f>
        <v/>
      </c>
      <c r="B49" s="40">
        <f>IFERROR(INDEX(Payments!$D$6:$D$85,MATCH(SMALL(Payments!$J$6:$J$85,2),Payments!$J$6:$J$85,0)),"")</f>
        <v/>
      </c>
      <c r="C49" s="41">
        <f>IFERROR(INDEX(Payments!$C$6:$C$85,MATCH(SMALL(Payments!$J$6:$J$85,2),Payments!$J$6:$J$85,0)),"")</f>
        <v/>
      </c>
    </row>
    <row r="50">
      <c r="A50" s="32">
        <f>IFERROR(IF(INDEX(Payments!$A$6:$A$85,MATCH(SMALL(Payments!$J$6:$J$85,3),Payments!$J$6:$J$85,0))&amp;""="",INDEX(Payments!$B$6:$B$85,MATCH(SMALL(Payments!$J$6:$J$85,3),Payments!$J$6:$J$85,0))&amp;"",IF(INDEX(Payments!$B$6:$B$85,MATCH(SMALL(Payments!$J$6:$J$85,3),Payments!$J$6:$J$85,0))&amp;""="",INDEX(Payments!$A$6:$A$85,MATCH(SMALL(Payments!$J$6:$J$85,3),Payments!$J$6:$J$85,0))&amp;"",INDEX(Payments!$A$6:$A$85,MATCH(SMALL(Payments!$J$6:$J$85,3),Payments!$J$6:$J$85,0))&amp;""&amp;" · "&amp;INDEX(Payments!$B$6:$B$85,MATCH(SMALL(Payments!$J$6:$J$85,3),Payments!$J$6:$J$85,0))&amp;"")),"")</f>
        <v/>
      </c>
      <c r="B50" s="40">
        <f>IFERROR(INDEX(Payments!$D$6:$D$85,MATCH(SMALL(Payments!$J$6:$J$85,3),Payments!$J$6:$J$85,0)),"")</f>
        <v/>
      </c>
      <c r="C50" s="41">
        <f>IFERROR(INDEX(Payments!$C$6:$C$85,MATCH(SMALL(Payments!$J$6:$J$85,3),Payments!$J$6:$J$85,0)),"")</f>
        <v/>
      </c>
    </row>
    <row r="51">
      <c r="A51" s="32">
        <f>IFERROR(IF(INDEX(Payments!$A$6:$A$85,MATCH(SMALL(Payments!$J$6:$J$85,4),Payments!$J$6:$J$85,0))&amp;""="",INDEX(Payments!$B$6:$B$85,MATCH(SMALL(Payments!$J$6:$J$85,4),Payments!$J$6:$J$85,0))&amp;"",IF(INDEX(Payments!$B$6:$B$85,MATCH(SMALL(Payments!$J$6:$J$85,4),Payments!$J$6:$J$85,0))&amp;""="",INDEX(Payments!$A$6:$A$85,MATCH(SMALL(Payments!$J$6:$J$85,4),Payments!$J$6:$J$85,0))&amp;"",INDEX(Payments!$A$6:$A$85,MATCH(SMALL(Payments!$J$6:$J$85,4),Payments!$J$6:$J$85,0))&amp;""&amp;" · "&amp;INDEX(Payments!$B$6:$B$85,MATCH(SMALL(Payments!$J$6:$J$85,4),Payments!$J$6:$J$85,0))&amp;"")),"")</f>
        <v/>
      </c>
      <c r="B51" s="40">
        <f>IFERROR(INDEX(Payments!$D$6:$D$85,MATCH(SMALL(Payments!$J$6:$J$85,4),Payments!$J$6:$J$85,0)),"")</f>
        <v/>
      </c>
      <c r="C51" s="41">
        <f>IFERROR(INDEX(Payments!$C$6:$C$85,MATCH(SMALL(Payments!$J$6:$J$85,4),Payments!$J$6:$J$85,0)),"")</f>
        <v/>
      </c>
    </row>
    <row r="52">
      <c r="A52" s="32">
        <f>IFERROR(IF(INDEX(Payments!$A$6:$A$85,MATCH(SMALL(Payments!$J$6:$J$85,5),Payments!$J$6:$J$85,0))&amp;""="",INDEX(Payments!$B$6:$B$85,MATCH(SMALL(Payments!$J$6:$J$85,5),Payments!$J$6:$J$85,0))&amp;"",IF(INDEX(Payments!$B$6:$B$85,MATCH(SMALL(Payments!$J$6:$J$85,5),Payments!$J$6:$J$85,0))&amp;""="",INDEX(Payments!$A$6:$A$85,MATCH(SMALL(Payments!$J$6:$J$85,5),Payments!$J$6:$J$85,0))&amp;"",INDEX(Payments!$A$6:$A$85,MATCH(SMALL(Payments!$J$6:$J$85,5),Payments!$J$6:$J$85,0))&amp;""&amp;" · "&amp;INDEX(Payments!$B$6:$B$85,MATCH(SMALL(Payments!$J$6:$J$85,5),Payments!$J$6:$J$85,0))&amp;"")),"")</f>
        <v/>
      </c>
      <c r="B52" s="40">
        <f>IFERROR(INDEX(Payments!$D$6:$D$85,MATCH(SMALL(Payments!$J$6:$J$85,5),Payments!$J$6:$J$85,0)),"")</f>
        <v/>
      </c>
      <c r="C52" s="41">
        <f>IFERROR(INDEX(Payments!$C$6:$C$85,MATCH(SMALL(Payments!$J$6:$J$85,5),Payments!$J$6:$J$85,0)),"")</f>
        <v/>
      </c>
    </row>
    <row r="53"/>
    <row r="54" ht="22" customHeight="1">
      <c r="A54" s="7" t="inlineStr">
        <is>
          <t>UPCOMING EVENTS</t>
        </is>
      </c>
      <c r="B54" s="8" t="n"/>
      <c r="C54" s="8" t="n"/>
    </row>
    <row r="55">
      <c r="A55" s="32">
        <f>IFERROR(INDEX(Events!$A$6:$A$25,MATCH(SMALL(Events!$J$6:$J$25,1),Events!$J$6:$J$25,0)),"")</f>
        <v/>
      </c>
      <c r="B55" s="40">
        <f>IFERROR(INDEX(Events!$B$6:$B$25,MATCH(SMALL(Events!$J$6:$J$25,1),Events!$J$6:$J$25,0)),"")</f>
        <v/>
      </c>
      <c r="C55" s="32">
        <f>IFERROR(INDEX(Events!$E$6:$E$25,MATCH(SMALL(Events!$J$6:$J$25,1),Events!$J$6:$J$25,0))&amp;"","")</f>
        <v/>
      </c>
    </row>
    <row r="56">
      <c r="A56" s="32">
        <f>IFERROR(INDEX(Events!$A$6:$A$25,MATCH(SMALL(Events!$J$6:$J$25,2),Events!$J$6:$J$25,0)),"")</f>
        <v/>
      </c>
      <c r="B56" s="40">
        <f>IFERROR(INDEX(Events!$B$6:$B$25,MATCH(SMALL(Events!$J$6:$J$25,2),Events!$J$6:$J$25,0)),"")</f>
        <v/>
      </c>
      <c r="C56" s="32">
        <f>IFERROR(INDEX(Events!$E$6:$E$25,MATCH(SMALL(Events!$J$6:$J$25,2),Events!$J$6:$J$25,0))&amp;"","")</f>
        <v/>
      </c>
    </row>
    <row r="57">
      <c r="A57" s="32">
        <f>IFERROR(INDEX(Events!$A$6:$A$25,MATCH(SMALL(Events!$J$6:$J$25,3),Events!$J$6:$J$25,0)),"")</f>
        <v/>
      </c>
      <c r="B57" s="40">
        <f>IFERROR(INDEX(Events!$B$6:$B$25,MATCH(SMALL(Events!$J$6:$J$25,3),Events!$J$6:$J$25,0)),"")</f>
        <v/>
      </c>
      <c r="C57" s="32">
        <f>IFERROR(INDEX(Events!$E$6:$E$25,MATCH(SMALL(Events!$J$6:$J$25,3),Events!$J$6:$J$25,0))&amp;"","")</f>
        <v/>
      </c>
    </row>
    <row r="58"/>
    <row r="59" ht="22" customHeight="1">
      <c r="A59" s="7" t="inlineStr">
        <is>
          <t>SEATING</t>
        </is>
      </c>
      <c r="B59" s="8" t="n"/>
      <c r="C59" s="8" t="n"/>
    </row>
    <row r="60">
      <c r="A60" s="32" t="inlineStr">
        <is>
          <t>Attending &amp; seated</t>
        </is>
      </c>
      <c r="B60" s="37">
        <f>COUNTIFS(Guests!$B$6:$B$505,"Attending",Guests!$L$6:$L$505,"&lt;&gt;")</f>
        <v/>
      </c>
    </row>
    <row r="61">
      <c r="A61" s="32" t="inlineStr">
        <is>
          <t>Attending, no table yet</t>
        </is>
      </c>
      <c r="B61" s="37">
        <f>Seating!$K$27</f>
        <v/>
      </c>
    </row>
    <row r="62">
      <c r="A62" s="32" t="inlineStr">
        <is>
          <t>Form guests to add to Guests</t>
        </is>
      </c>
      <c r="B62" s="37">
        <f>Seating!$K$28</f>
        <v/>
      </c>
    </row>
  </sheetData>
  <conditionalFormatting sqref="B11">
    <cfRule type="expression" priority="1" dxfId="1" stopIfTrue="0">
      <formula>$B$11&lt;0</formula>
    </cfRule>
  </conditionalFormatting>
  <conditionalFormatting sqref="A18:B18">
    <cfRule type="expression" priority="2" dxfId="2" stopIfTrue="0">
      <formula>$B$18&gt;0</formula>
    </cfRule>
  </conditionalFormatting>
  <conditionalFormatting sqref="A19:B19">
    <cfRule type="expression" priority="3" dxfId="3" stopIfTrue="0">
      <formula>$B$19&gt;0</formula>
    </cfRule>
  </conditionalFormatting>
  <conditionalFormatting sqref="A16:B16">
    <cfRule type="expression" priority="4" dxfId="4" stopIfTrue="0">
      <formula>$B$16&gt;0</formula>
    </cfRule>
  </conditionalFormatting>
  <conditionalFormatting sqref="A40:C44">
    <cfRule type="expression" priority="5" dxfId="1" stopIfTrue="0">
      <formula>AND(ISNUMBER($B40),$B40&lt;TODAY())</formula>
    </cfRule>
  </conditionalFormatting>
  <conditionalFormatting sqref="A48:C52">
    <cfRule type="expression" priority="6" dxfId="1" stopIfTrue="0">
      <formula>AND(ISNUMBER($B48),$B48&lt;TODAY())</formula>
    </cfRule>
    <cfRule type="expression" priority="7" dxfId="0" stopIfTrue="0">
      <formula>AND(ISNUMBER($B48),$B48&gt;=TODAY(),$B48-TODAY()&lt;=14)</formula>
    </cfRule>
  </conditionalFormatting>
  <conditionalFormatting sqref="A61:B61">
    <cfRule type="expression" priority="8" dxfId="0" stopIfTrue="0">
      <formula>$B$61&gt;0</formula>
    </cfRule>
  </conditionalFormatting>
  <pageMargins left="0.5" right="0.5" top="0.6" bottom="0.6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8C7C3"/>
    <outlinePr summaryBelow="1" summaryRight="1"/>
    <pageSetUpPr fitToPage="1"/>
  </sheetPr>
  <dimension ref="A1:H12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3" customWidth="1" min="5" max="5"/>
    <col width="13" customWidth="1" min="6" max="6"/>
    <col width="30" customWidth="1" min="7" max="7"/>
    <col hidden="1" width="13" customWidth="1" min="8" max="8"/>
  </cols>
  <sheetData>
    <row r="1" ht="30" customHeight="1">
      <c r="A1" s="1" t="inlineStr">
        <is>
          <t>Checklist</t>
        </is>
      </c>
    </row>
    <row r="2">
      <c r="A2" s="11" t="inlineStr">
        <is>
          <t>Due date = wedding date minus "weeks before". Negative weeks = after the wedding. Overdue = red, due within 14 days = amber.</t>
        </is>
      </c>
    </row>
    <row r="3">
      <c r="A3" s="42">
        <f>IF(SUMPRODUCT(--(A6:A125&lt;&gt;""))=0,"",COUNTIF(E6:E125,"Done")&amp;" of "&amp;SUMPRODUCT(--(A6:A125&lt;&gt;""))&amp;" tasks done")</f>
        <v/>
      </c>
    </row>
    <row r="4"/>
    <row r="5" ht="30" customHeight="1">
      <c r="A5" s="43" t="inlineStr">
        <is>
          <t>Task</t>
        </is>
      </c>
      <c r="B5" s="43" t="inlineStr">
        <is>
          <t>Category</t>
        </is>
      </c>
      <c r="C5" s="43" t="inlineStr">
        <is>
          <t>Weeks before</t>
        </is>
      </c>
      <c r="D5" s="43" t="inlineStr">
        <is>
          <t>Due date</t>
        </is>
      </c>
      <c r="E5" s="43" t="inlineStr">
        <is>
          <t>Status</t>
        </is>
      </c>
      <c r="F5" s="43" t="inlineStr">
        <is>
          <t>Who</t>
        </is>
      </c>
      <c r="G5" s="43" t="inlineStr">
        <is>
          <t>Notes</t>
        </is>
      </c>
    </row>
    <row r="6">
      <c r="A6" s="10" t="inlineStr">
        <is>
          <t>Announce your engagement to family &amp; friends</t>
        </is>
      </c>
      <c r="B6" s="10" t="inlineStr">
        <is>
          <t>Planning</t>
        </is>
      </c>
      <c r="C6" s="10" t="n">
        <v>56</v>
      </c>
      <c r="D6" s="44">
        <f>IF(OR(A6="",C6="",'Start Here'!$B$7=""),"",'Start Here'!$B$7-7*C6)</f>
        <v/>
      </c>
      <c r="E6" s="10" t="inlineStr">
        <is>
          <t>Not started</t>
        </is>
      </c>
      <c r="F6" s="10" t="n"/>
      <c r="G6" s="10" t="n"/>
      <c r="H6" s="32">
        <f>IF(AND(A6&lt;&gt;"",E6&lt;&gt;"Done"),IF(D6&lt;&gt;"",D6,-7*N(C6))+ROW()/100000,"")</f>
        <v/>
      </c>
    </row>
    <row r="7">
      <c r="A7" s="10" t="inlineStr">
        <is>
          <t>Set your total budget together</t>
        </is>
      </c>
      <c r="B7" s="10" t="inlineStr">
        <is>
          <t>Planning</t>
        </is>
      </c>
      <c r="C7" s="10" t="n">
        <v>54</v>
      </c>
      <c r="D7" s="44">
        <f>IF(OR(A7="",C7="",'Start Here'!$B$7=""),"",'Start Here'!$B$7-7*C7)</f>
        <v/>
      </c>
      <c r="E7" s="10" t="inlineStr">
        <is>
          <t>Not started</t>
        </is>
      </c>
      <c r="F7" s="10" t="n"/>
      <c r="G7" s="10" t="n"/>
      <c r="H7" s="32">
        <f>IF(AND(A7&lt;&gt;"",E7&lt;&gt;"Done"),IF(D7&lt;&gt;"",D7,-7*N(C7))+ROW()/100000,"")</f>
        <v/>
      </c>
    </row>
    <row r="8">
      <c r="A8" s="10" t="inlineStr">
        <is>
          <t>Agree on top 3 priorities and guest-count range</t>
        </is>
      </c>
      <c r="B8" s="10" t="inlineStr">
        <is>
          <t>Planning</t>
        </is>
      </c>
      <c r="C8" s="10" t="n">
        <v>54</v>
      </c>
      <c r="D8" s="44">
        <f>IF(OR(A8="",C8="",'Start Here'!$B$7=""),"",'Start Here'!$B$7-7*C8)</f>
        <v/>
      </c>
      <c r="E8" s="10" t="inlineStr">
        <is>
          <t>Not started</t>
        </is>
      </c>
      <c r="F8" s="10" t="n"/>
      <c r="G8" s="10" t="n"/>
      <c r="H8" s="32">
        <f>IF(AND(A8&lt;&gt;"",E8&lt;&gt;"Done"),IF(D8&lt;&gt;"",D8,-7*N(C8))+ROW()/100000,"")</f>
        <v/>
      </c>
    </row>
    <row r="9">
      <c r="A9" s="10" t="inlineStr">
        <is>
          <t>Create a shared wedding email &amp; folder</t>
        </is>
      </c>
      <c r="B9" s="10" t="inlineStr">
        <is>
          <t>Planning</t>
        </is>
      </c>
      <c r="C9" s="10" t="n">
        <v>54</v>
      </c>
      <c r="D9" s="44">
        <f>IF(OR(A9="",C9="",'Start Here'!$B$7=""),"",'Start Here'!$B$7-7*C9)</f>
        <v/>
      </c>
      <c r="E9" s="10" t="inlineStr">
        <is>
          <t>Not started</t>
        </is>
      </c>
      <c r="F9" s="10" t="n"/>
      <c r="G9" s="10" t="n"/>
      <c r="H9" s="32">
        <f>IF(AND(A9&lt;&gt;"",E9&lt;&gt;"Done"),IF(D9&lt;&gt;"",D9,-7*N(C9))+ROW()/100000,"")</f>
        <v/>
      </c>
    </row>
    <row r="10">
      <c r="A10" s="10" t="inlineStr">
        <is>
          <t>Choose a wedding date or season</t>
        </is>
      </c>
      <c r="B10" s="10" t="inlineStr">
        <is>
          <t>Planning</t>
        </is>
      </c>
      <c r="C10" s="10" t="n">
        <v>52</v>
      </c>
      <c r="D10" s="44">
        <f>IF(OR(A10="",C10="",'Start Here'!$B$7=""),"",'Start Here'!$B$7-7*C10)</f>
        <v/>
      </c>
      <c r="E10" s="10" t="inlineStr">
        <is>
          <t>Not started</t>
        </is>
      </c>
      <c r="F10" s="10" t="n"/>
      <c r="G10" s="10" t="n"/>
      <c r="H10" s="32">
        <f>IF(AND(A10&lt;&gt;"",E10&lt;&gt;"Done"),IF(D10&lt;&gt;"",D10,-7*N(C10))+ROW()/100000,"")</f>
        <v/>
      </c>
    </row>
    <row r="11">
      <c r="A11" s="10" t="inlineStr">
        <is>
          <t>Decide on wedding style &amp; color palette</t>
        </is>
      </c>
      <c r="B11" s="10" t="inlineStr">
        <is>
          <t>Planning</t>
        </is>
      </c>
      <c r="C11" s="10" t="n">
        <v>50</v>
      </c>
      <c r="D11" s="44">
        <f>IF(OR(A11="",C11="",'Start Here'!$B$7=""),"",'Start Here'!$B$7-7*C11)</f>
        <v/>
      </c>
      <c r="E11" s="10" t="inlineStr">
        <is>
          <t>Not started</t>
        </is>
      </c>
      <c r="F11" s="10" t="n"/>
      <c r="G11" s="10" t="n"/>
      <c r="H11" s="32">
        <f>IF(AND(A11&lt;&gt;"",E11&lt;&gt;"Done"),IF(D11&lt;&gt;"",D11,-7*N(C11))+ROW()/100000,"")</f>
        <v/>
      </c>
    </row>
    <row r="12">
      <c r="A12" s="10" t="inlineStr">
        <is>
          <t>Research &amp; book a planner or day-of coordinator</t>
        </is>
      </c>
      <c r="B12" s="10" t="inlineStr">
        <is>
          <t>Vendors</t>
        </is>
      </c>
      <c r="C12" s="10" t="n">
        <v>50</v>
      </c>
      <c r="D12" s="44">
        <f>IF(OR(A12="",C12="",'Start Here'!$B$7=""),"",'Start Here'!$B$7-7*C12)</f>
        <v/>
      </c>
      <c r="E12" s="10" t="inlineStr">
        <is>
          <t>Not started</t>
        </is>
      </c>
      <c r="F12" s="10" t="n"/>
      <c r="G12" s="10" t="n"/>
      <c r="H12" s="32">
        <f>IF(AND(A12&lt;&gt;"",E12&lt;&gt;"Done"),IF(D12&lt;&gt;"",D12,-7*N(C12))+ROW()/100000,"")</f>
        <v/>
      </c>
    </row>
    <row r="13">
      <c r="A13" s="10" t="inlineStr">
        <is>
          <t>Draft the first guest list</t>
        </is>
      </c>
      <c r="B13" s="10" t="inlineStr">
        <is>
          <t>Guests</t>
        </is>
      </c>
      <c r="C13" s="10" t="n">
        <v>50</v>
      </c>
      <c r="D13" s="44">
        <f>IF(OR(A13="",C13="",'Start Here'!$B$7=""),"",'Start Here'!$B$7-7*C13)</f>
        <v/>
      </c>
      <c r="E13" s="10" t="inlineStr">
        <is>
          <t>Not started</t>
        </is>
      </c>
      <c r="F13" s="10" t="n"/>
      <c r="G13" s="10" t="n"/>
      <c r="H13" s="32">
        <f>IF(AND(A13&lt;&gt;"",E13&lt;&gt;"Done"),IF(D13&lt;&gt;"",D13,-7*N(C13))+ROW()/100000,"")</f>
        <v/>
      </c>
    </row>
    <row r="14">
      <c r="A14" s="10" t="inlineStr">
        <is>
          <t>Tour ceremony &amp; reception venues</t>
        </is>
      </c>
      <c r="B14" s="10" t="inlineStr">
        <is>
          <t>Venue</t>
        </is>
      </c>
      <c r="C14" s="10" t="n">
        <v>50</v>
      </c>
      <c r="D14" s="44">
        <f>IF(OR(A14="",C14="",'Start Here'!$B$7=""),"",'Start Here'!$B$7-7*C14)</f>
        <v/>
      </c>
      <c r="E14" s="10" t="inlineStr">
        <is>
          <t>Not started</t>
        </is>
      </c>
      <c r="F14" s="10" t="n"/>
      <c r="G14" s="10" t="n"/>
      <c r="H14" s="32">
        <f>IF(AND(A14&lt;&gt;"",E14&lt;&gt;"Done"),IF(D14&lt;&gt;"",D14,-7*N(C14))+ROW()/100000,"")</f>
        <v/>
      </c>
    </row>
    <row r="15">
      <c r="A15" s="10" t="inlineStr">
        <is>
          <t>Book the ceremony venue</t>
        </is>
      </c>
      <c r="B15" s="10" t="inlineStr">
        <is>
          <t>Venue</t>
        </is>
      </c>
      <c r="C15" s="10" t="n">
        <v>48</v>
      </c>
      <c r="D15" s="44">
        <f>IF(OR(A15="",C15="",'Start Here'!$B$7=""),"",'Start Here'!$B$7-7*C15)</f>
        <v/>
      </c>
      <c r="E15" s="10" t="inlineStr">
        <is>
          <t>Not started</t>
        </is>
      </c>
      <c r="F15" s="10" t="n"/>
      <c r="G15" s="10" t="n"/>
      <c r="H15" s="32">
        <f>IF(AND(A15&lt;&gt;"",E15&lt;&gt;"Done"),IF(D15&lt;&gt;"",D15,-7*N(C15))+ROW()/100000,"")</f>
        <v/>
      </c>
    </row>
    <row r="16">
      <c r="A16" s="10" t="inlineStr">
        <is>
          <t>Book the reception venue</t>
        </is>
      </c>
      <c r="B16" s="10" t="inlineStr">
        <is>
          <t>Venue</t>
        </is>
      </c>
      <c r="C16" s="10" t="n">
        <v>48</v>
      </c>
      <c r="D16" s="44">
        <f>IF(OR(A16="",C16="",'Start Here'!$B$7=""),"",'Start Here'!$B$7-7*C16)</f>
        <v/>
      </c>
      <c r="E16" s="10" t="inlineStr">
        <is>
          <t>Not started</t>
        </is>
      </c>
      <c r="F16" s="10" t="n"/>
      <c r="G16" s="10" t="n"/>
      <c r="H16" s="32">
        <f>IF(AND(A16&lt;&gt;"",E16&lt;&gt;"Done"),IF(D16&lt;&gt;"",D16,-7*N(C16))+ROW()/100000,"")</f>
        <v/>
      </c>
    </row>
    <row r="17">
      <c r="A17" s="10" t="inlineStr">
        <is>
          <t>Buy wedding insurance</t>
        </is>
      </c>
      <c r="B17" s="10" t="inlineStr">
        <is>
          <t>Planning</t>
        </is>
      </c>
      <c r="C17" s="10" t="n">
        <v>46</v>
      </c>
      <c r="D17" s="44">
        <f>IF(OR(A17="",C17="",'Start Here'!$B$7=""),"",'Start Here'!$B$7-7*C17)</f>
        <v/>
      </c>
      <c r="E17" s="10" t="inlineStr">
        <is>
          <t>Not started</t>
        </is>
      </c>
      <c r="F17" s="10" t="n"/>
      <c r="G17" s="10" t="n"/>
      <c r="H17" s="32">
        <f>IF(AND(A17&lt;&gt;"",E17&lt;&gt;"Done"),IF(D17&lt;&gt;"",D17,-7*N(C17))+ROW()/100000,"")</f>
        <v/>
      </c>
    </row>
    <row r="18">
      <c r="A18" s="10" t="inlineStr">
        <is>
          <t>Ask your wedding party</t>
        </is>
      </c>
      <c r="B18" s="10" t="inlineStr">
        <is>
          <t>Guests</t>
        </is>
      </c>
      <c r="C18" s="10" t="n">
        <v>46</v>
      </c>
      <c r="D18" s="44">
        <f>IF(OR(A18="",C18="",'Start Here'!$B$7=""),"",'Start Here'!$B$7-7*C18)</f>
        <v/>
      </c>
      <c r="E18" s="10" t="inlineStr">
        <is>
          <t>Not started</t>
        </is>
      </c>
      <c r="F18" s="10" t="n"/>
      <c r="G18" s="10" t="n"/>
      <c r="H18" s="32">
        <f>IF(AND(A18&lt;&gt;"",E18&lt;&gt;"Done"),IF(D18&lt;&gt;"",D18,-7*N(C18))+ROW()/100000,"")</f>
        <v/>
      </c>
    </row>
    <row r="19">
      <c r="A19" s="10" t="inlineStr">
        <is>
          <t>Launch your wedding website</t>
        </is>
      </c>
      <c r="B19" s="10" t="inlineStr">
        <is>
          <t>Guests</t>
        </is>
      </c>
      <c r="C19" s="10" t="n">
        <v>44</v>
      </c>
      <c r="D19" s="44">
        <f>IF(OR(A19="",C19="",'Start Here'!$B$7=""),"",'Start Here'!$B$7-7*C19)</f>
        <v/>
      </c>
      <c r="E19" s="10" t="inlineStr">
        <is>
          <t>Not started</t>
        </is>
      </c>
      <c r="F19" s="10" t="n"/>
      <c r="G19" s="10" t="n"/>
      <c r="H19" s="32">
        <f>IF(AND(A19&lt;&gt;"",E19&lt;&gt;"Done"),IF(D19&lt;&gt;"",D19,-7*N(C19))+ROW()/100000,"")</f>
        <v/>
      </c>
    </row>
    <row r="20">
      <c r="A20" s="10" t="inlineStr">
        <is>
          <t>Book the photographer</t>
        </is>
      </c>
      <c r="B20" s="10" t="inlineStr">
        <is>
          <t>Vendors</t>
        </is>
      </c>
      <c r="C20" s="10" t="n">
        <v>44</v>
      </c>
      <c r="D20" s="44">
        <f>IF(OR(A20="",C20="",'Start Here'!$B$7=""),"",'Start Here'!$B$7-7*C20)</f>
        <v/>
      </c>
      <c r="E20" s="10" t="inlineStr">
        <is>
          <t>Not started</t>
        </is>
      </c>
      <c r="F20" s="10" t="n"/>
      <c r="G20" s="10" t="n"/>
      <c r="H20" s="32">
        <f>IF(AND(A20&lt;&gt;"",E20&lt;&gt;"Done"),IF(D20&lt;&gt;"",D20,-7*N(C20))+ROW()/100000,"")</f>
        <v/>
      </c>
    </row>
    <row r="21">
      <c r="A21" s="10" t="inlineStr">
        <is>
          <t>Book the videographer</t>
        </is>
      </c>
      <c r="B21" s="10" t="inlineStr">
        <is>
          <t>Vendors</t>
        </is>
      </c>
      <c r="C21" s="10" t="n">
        <v>42</v>
      </c>
      <c r="D21" s="44">
        <f>IF(OR(A21="",C21="",'Start Here'!$B$7=""),"",'Start Here'!$B$7-7*C21)</f>
        <v/>
      </c>
      <c r="E21" s="10" t="inlineStr">
        <is>
          <t>Not started</t>
        </is>
      </c>
      <c r="F21" s="10" t="n"/>
      <c r="G21" s="10" t="n"/>
      <c r="H21" s="32">
        <f>IF(AND(A21&lt;&gt;"",E21&lt;&gt;"Done"),IF(D21&lt;&gt;"",D21,-7*N(C21))+ROW()/100000,"")</f>
        <v/>
      </c>
    </row>
    <row r="22">
      <c r="A22" s="10" t="inlineStr">
        <is>
          <t>Book the caterer (if not in-house)</t>
        </is>
      </c>
      <c r="B22" s="10" t="inlineStr">
        <is>
          <t>Vendors</t>
        </is>
      </c>
      <c r="C22" s="10" t="n">
        <v>42</v>
      </c>
      <c r="D22" s="44">
        <f>IF(OR(A22="",C22="",'Start Here'!$B$7=""),"",'Start Here'!$B$7-7*C22)</f>
        <v/>
      </c>
      <c r="E22" s="10" t="inlineStr">
        <is>
          <t>Not started</t>
        </is>
      </c>
      <c r="F22" s="10" t="n"/>
      <c r="G22" s="10" t="n"/>
      <c r="H22" s="32">
        <f>IF(AND(A22&lt;&gt;"",E22&lt;&gt;"Done"),IF(D22&lt;&gt;"",D22,-7*N(C22))+ROW()/100000,"")</f>
        <v/>
      </c>
    </row>
    <row r="23">
      <c r="A23" s="10" t="inlineStr">
        <is>
          <t>Book the band or DJ</t>
        </is>
      </c>
      <c r="B23" s="10" t="inlineStr">
        <is>
          <t>Vendors</t>
        </is>
      </c>
      <c r="C23" s="10" t="n">
        <v>40</v>
      </c>
      <c r="D23" s="44">
        <f>IF(OR(A23="",C23="",'Start Here'!$B$7=""),"",'Start Here'!$B$7-7*C23)</f>
        <v/>
      </c>
      <c r="E23" s="10" t="inlineStr">
        <is>
          <t>Not started</t>
        </is>
      </c>
      <c r="F23" s="10" t="n"/>
      <c r="G23" s="10" t="n"/>
      <c r="H23" s="32">
        <f>IF(AND(A23&lt;&gt;"",E23&lt;&gt;"Done"),IF(D23&lt;&gt;"",D23,-7*N(C23))+ROW()/100000,"")</f>
        <v/>
      </c>
    </row>
    <row r="24">
      <c r="A24" s="10" t="inlineStr">
        <is>
          <t>Book the officiant</t>
        </is>
      </c>
      <c r="B24" s="10" t="inlineStr">
        <is>
          <t>Ceremony</t>
        </is>
      </c>
      <c r="C24" s="10" t="n">
        <v>40</v>
      </c>
      <c r="D24" s="44">
        <f>IF(OR(A24="",C24="",'Start Here'!$B$7=""),"",'Start Here'!$B$7-7*C24)</f>
        <v/>
      </c>
      <c r="E24" s="10" t="inlineStr">
        <is>
          <t>Not started</t>
        </is>
      </c>
      <c r="F24" s="10" t="n"/>
      <c r="G24" s="10" t="n"/>
      <c r="H24" s="32">
        <f>IF(AND(A24&lt;&gt;"",E24&lt;&gt;"Done"),IF(D24&lt;&gt;"",D24,-7*N(C24))+ROW()/100000,"")</f>
        <v/>
      </c>
    </row>
    <row r="25">
      <c r="A25" s="10" t="inlineStr">
        <is>
          <t>Start shopping for wedding attire</t>
        </is>
      </c>
      <c r="B25" s="10" t="inlineStr">
        <is>
          <t>Attire</t>
        </is>
      </c>
      <c r="C25" s="10" t="n">
        <v>40</v>
      </c>
      <c r="D25" s="44">
        <f>IF(OR(A25="",C25="",'Start Here'!$B$7=""),"",'Start Here'!$B$7-7*C25)</f>
        <v/>
      </c>
      <c r="E25" s="10" t="inlineStr">
        <is>
          <t>Not started</t>
        </is>
      </c>
      <c r="F25" s="10" t="n"/>
      <c r="G25" s="10" t="n"/>
      <c r="H25" s="32">
        <f>IF(AND(A25&lt;&gt;"",E25&lt;&gt;"Done"),IF(D25&lt;&gt;"",D25,-7*N(C25))+ROW()/100000,"")</f>
        <v/>
      </c>
    </row>
    <row r="26">
      <c r="A26" s="10" t="inlineStr">
        <is>
          <t>Order wedding attire</t>
        </is>
      </c>
      <c r="B26" s="10" t="inlineStr">
        <is>
          <t>Attire</t>
        </is>
      </c>
      <c r="C26" s="10" t="n">
        <v>36</v>
      </c>
      <c r="D26" s="44">
        <f>IF(OR(A26="",C26="",'Start Here'!$B$7=""),"",'Start Here'!$B$7-7*C26)</f>
        <v/>
      </c>
      <c r="E26" s="10" t="inlineStr">
        <is>
          <t>Not started</t>
        </is>
      </c>
      <c r="F26" s="10" t="n"/>
      <c r="G26" s="10" t="n"/>
      <c r="H26" s="32">
        <f>IF(AND(A26&lt;&gt;"",E26&lt;&gt;"Done"),IF(D26&lt;&gt;"",D26,-7*N(C26))+ROW()/100000,"")</f>
        <v/>
      </c>
    </row>
    <row r="27">
      <c r="A27" s="10" t="inlineStr">
        <is>
          <t>Book the florist</t>
        </is>
      </c>
      <c r="B27" s="10" t="inlineStr">
        <is>
          <t>Vendors</t>
        </is>
      </c>
      <c r="C27" s="10" t="n">
        <v>36</v>
      </c>
      <c r="D27" s="44">
        <f>IF(OR(A27="",C27="",'Start Here'!$B$7=""),"",'Start Here'!$B$7-7*C27)</f>
        <v/>
      </c>
      <c r="E27" s="10" t="inlineStr">
        <is>
          <t>Not started</t>
        </is>
      </c>
      <c r="F27" s="10" t="n"/>
      <c r="G27" s="10" t="n"/>
      <c r="H27" s="32">
        <f>IF(AND(A27&lt;&gt;"",E27&lt;&gt;"Done"),IF(D27&lt;&gt;"",D27,-7*N(C27))+ROW()/100000,"")</f>
        <v/>
      </c>
    </row>
    <row r="28">
      <c r="A28" s="10" t="inlineStr">
        <is>
          <t>Reserve hotel room blocks for guests</t>
        </is>
      </c>
      <c r="B28" s="10" t="inlineStr">
        <is>
          <t>Travel</t>
        </is>
      </c>
      <c r="C28" s="10" t="n">
        <v>36</v>
      </c>
      <c r="D28" s="44">
        <f>IF(OR(A28="",C28="",'Start Here'!$B$7=""),"",'Start Here'!$B$7-7*C28)</f>
        <v/>
      </c>
      <c r="E28" s="10" t="inlineStr">
        <is>
          <t>Not started</t>
        </is>
      </c>
      <c r="F28" s="10" t="n"/>
      <c r="G28" s="10" t="n"/>
      <c r="H28" s="32">
        <f>IF(AND(A28&lt;&gt;"",E28&lt;&gt;"Done"),IF(D28&lt;&gt;"",D28,-7*N(C28))+ROW()/100000,"")</f>
        <v/>
      </c>
    </row>
    <row r="29">
      <c r="A29" s="10" t="inlineStr">
        <is>
          <t>Finalize the guest list &amp; collect addresses</t>
        </is>
      </c>
      <c r="B29" s="10" t="inlineStr">
        <is>
          <t>Guests</t>
        </is>
      </c>
      <c r="C29" s="10" t="n">
        <v>34</v>
      </c>
      <c r="D29" s="44">
        <f>IF(OR(A29="",C29="",'Start Here'!$B$7=""),"",'Start Here'!$B$7-7*C29)</f>
        <v/>
      </c>
      <c r="E29" s="10" t="inlineStr">
        <is>
          <t>Not started</t>
        </is>
      </c>
      <c r="F29" s="10" t="n"/>
      <c r="G29" s="10" t="n"/>
      <c r="H29" s="32">
        <f>IF(AND(A29&lt;&gt;"",E29&lt;&gt;"Done"),IF(D29&lt;&gt;"",D29,-7*N(C29))+ROW()/100000,"")</f>
        <v/>
      </c>
    </row>
    <row r="30">
      <c r="A30" s="10" t="inlineStr">
        <is>
          <t>Send save-the-dates</t>
        </is>
      </c>
      <c r="B30" s="10" t="inlineStr">
        <is>
          <t>Stationery</t>
        </is>
      </c>
      <c r="C30" s="10" t="n">
        <v>32</v>
      </c>
      <c r="D30" s="44">
        <f>IF(OR(A30="",C30="",'Start Here'!$B$7=""),"",'Start Here'!$B$7-7*C30)</f>
        <v/>
      </c>
      <c r="E30" s="10" t="inlineStr">
        <is>
          <t>Not started</t>
        </is>
      </c>
      <c r="F30" s="10" t="n"/>
      <c r="G30" s="10" t="n"/>
      <c r="H30" s="32">
        <f>IF(AND(A30&lt;&gt;"",E30&lt;&gt;"Done"),IF(D30&lt;&gt;"",D30,-7*N(C30))+ROW()/100000,"")</f>
        <v/>
      </c>
    </row>
    <row r="31">
      <c r="A31" s="10" t="inlineStr">
        <is>
          <t>Register for gifts</t>
        </is>
      </c>
      <c r="B31" s="10" t="inlineStr">
        <is>
          <t>Guests</t>
        </is>
      </c>
      <c r="C31" s="10" t="n">
        <v>32</v>
      </c>
      <c r="D31" s="44">
        <f>IF(OR(A31="",C31="",'Start Here'!$B$7=""),"",'Start Here'!$B$7-7*C31)</f>
        <v/>
      </c>
      <c r="E31" s="10" t="inlineStr">
        <is>
          <t>Not started</t>
        </is>
      </c>
      <c r="F31" s="10" t="n"/>
      <c r="G31" s="10" t="n"/>
      <c r="H31" s="32">
        <f>IF(AND(A31&lt;&gt;"",E31&lt;&gt;"Done"),IF(D31&lt;&gt;"",D31,-7*N(C31))+ROW()/100000,"")</f>
        <v/>
      </c>
    </row>
    <row r="32">
      <c r="A32" s="10" t="inlineStr">
        <is>
          <t>Schedule engagement photos</t>
        </is>
      </c>
      <c r="B32" s="10" t="inlineStr">
        <is>
          <t>Vendors</t>
        </is>
      </c>
      <c r="C32" s="10" t="n">
        <v>32</v>
      </c>
      <c r="D32" s="44">
        <f>IF(OR(A32="",C32="",'Start Here'!$B$7=""),"",'Start Here'!$B$7-7*C32)</f>
        <v/>
      </c>
      <c r="E32" s="10" t="inlineStr">
        <is>
          <t>Not started</t>
        </is>
      </c>
      <c r="F32" s="10" t="n"/>
      <c r="G32" s="10" t="n"/>
      <c r="H32" s="32">
        <f>IF(AND(A32&lt;&gt;"",E32&lt;&gt;"Done"),IF(D32&lt;&gt;"",D32,-7*N(C32))+ROW()/100000,"")</f>
        <v/>
      </c>
    </row>
    <row r="33">
      <c r="A33" s="10" t="inlineStr">
        <is>
          <t>Book hair &amp; makeup artists</t>
        </is>
      </c>
      <c r="B33" s="10" t="inlineStr">
        <is>
          <t>Beauty</t>
        </is>
      </c>
      <c r="C33" s="10" t="n">
        <v>30</v>
      </c>
      <c r="D33" s="44">
        <f>IF(OR(A33="",C33="",'Start Here'!$B$7=""),"",'Start Here'!$B$7-7*C33)</f>
        <v/>
      </c>
      <c r="E33" s="10" t="inlineStr">
        <is>
          <t>Not started</t>
        </is>
      </c>
      <c r="F33" s="10" t="n"/>
      <c r="G33" s="10" t="n"/>
      <c r="H33" s="32">
        <f>IF(AND(A33&lt;&gt;"",E33&lt;&gt;"Done"),IF(D33&lt;&gt;"",D33,-7*N(C33))+ROW()/100000,"")</f>
        <v/>
      </c>
    </row>
    <row r="34">
      <c r="A34" s="10" t="inlineStr">
        <is>
          <t>Book rentals (tables, chairs, linens, tent)</t>
        </is>
      </c>
      <c r="B34" s="10" t="inlineStr">
        <is>
          <t>Vendors</t>
        </is>
      </c>
      <c r="C34" s="10" t="n">
        <v>28</v>
      </c>
      <c r="D34" s="44">
        <f>IF(OR(A34="",C34="",'Start Here'!$B$7=""),"",'Start Here'!$B$7-7*C34)</f>
        <v/>
      </c>
      <c r="E34" s="10" t="inlineStr">
        <is>
          <t>Not started</t>
        </is>
      </c>
      <c r="F34" s="10" t="n"/>
      <c r="G34" s="10" t="n"/>
      <c r="H34" s="32">
        <f>IF(AND(A34&lt;&gt;"",E34&lt;&gt;"Done"),IF(D34&lt;&gt;"",D34,-7*N(C34))+ROW()/100000,"")</f>
        <v/>
      </c>
    </row>
    <row r="35">
      <c r="A35" s="10" t="inlineStr">
        <is>
          <t>Choose wedding party attire</t>
        </is>
      </c>
      <c r="B35" s="10" t="inlineStr">
        <is>
          <t>Attire</t>
        </is>
      </c>
      <c r="C35" s="10" t="n">
        <v>28</v>
      </c>
      <c r="D35" s="44">
        <f>IF(OR(A35="",C35="",'Start Here'!$B$7=""),"",'Start Here'!$B$7-7*C35)</f>
        <v/>
      </c>
      <c r="E35" s="10" t="inlineStr">
        <is>
          <t>Not started</t>
        </is>
      </c>
      <c r="F35" s="10" t="n"/>
      <c r="G35" s="10" t="n"/>
      <c r="H35" s="32">
        <f>IF(AND(A35&lt;&gt;"",E35&lt;&gt;"Done"),IF(D35&lt;&gt;"",D35,-7*N(C35))+ROW()/100000,"")</f>
        <v/>
      </c>
    </row>
    <row r="36">
      <c r="A36" s="10" t="inlineStr">
        <is>
          <t>Choose a wedding hashtag</t>
        </is>
      </c>
      <c r="B36" s="10" t="inlineStr">
        <is>
          <t>Guests</t>
        </is>
      </c>
      <c r="C36" s="10" t="n">
        <v>24</v>
      </c>
      <c r="D36" s="44">
        <f>IF(OR(A36="",C36="",'Start Here'!$B$7=""),"",'Start Here'!$B$7-7*C36)</f>
        <v/>
      </c>
      <c r="E36" s="10" t="inlineStr">
        <is>
          <t>Not started</t>
        </is>
      </c>
      <c r="F36" s="10" t="n"/>
      <c r="G36" s="10" t="n"/>
      <c r="H36" s="32">
        <f>IF(AND(A36&lt;&gt;"",E36&lt;&gt;"Done"),IF(D36&lt;&gt;"",D36,-7*N(C36))+ROW()/100000,"")</f>
        <v/>
      </c>
    </row>
    <row r="37">
      <c r="A37" s="10" t="inlineStr">
        <is>
          <t>Book transportation</t>
        </is>
      </c>
      <c r="B37" s="10" t="inlineStr">
        <is>
          <t>Travel</t>
        </is>
      </c>
      <c r="C37" s="10" t="n">
        <v>24</v>
      </c>
      <c r="D37" s="44">
        <f>IF(OR(A37="",C37="",'Start Here'!$B$7=""),"",'Start Here'!$B$7-7*C37)</f>
        <v/>
      </c>
      <c r="E37" s="10" t="inlineStr">
        <is>
          <t>Not started</t>
        </is>
      </c>
      <c r="F37" s="10" t="n"/>
      <c r="G37" s="10" t="n"/>
      <c r="H37" s="32">
        <f>IF(AND(A37&lt;&gt;"",E37&lt;&gt;"Done"),IF(D37&lt;&gt;"",D37,-7*N(C37))+ROW()/100000,"")</f>
        <v/>
      </c>
    </row>
    <row r="38">
      <c r="A38" s="10" t="inlineStr">
        <is>
          <t>Plan the honeymoon &amp; check passports</t>
        </is>
      </c>
      <c r="B38" s="10" t="inlineStr">
        <is>
          <t>Travel</t>
        </is>
      </c>
      <c r="C38" s="10" t="n">
        <v>24</v>
      </c>
      <c r="D38" s="44">
        <f>IF(OR(A38="",C38="",'Start Here'!$B$7=""),"",'Start Here'!$B$7-7*C38)</f>
        <v/>
      </c>
      <c r="E38" s="10" t="inlineStr">
        <is>
          <t>Not started</t>
        </is>
      </c>
      <c r="F38" s="10" t="n"/>
      <c r="G38" s="10" t="n"/>
      <c r="H38" s="32">
        <f>IF(AND(A38&lt;&gt;"",E38&lt;&gt;"Done"),IF(D38&lt;&gt;"",D38,-7*N(C38))+ROW()/100000,"")</f>
        <v/>
      </c>
    </row>
    <row r="39">
      <c r="A39" s="10" t="inlineStr">
        <is>
          <t>Plan ceremony &amp; reception décor</t>
        </is>
      </c>
      <c r="B39" s="10" t="inlineStr">
        <is>
          <t>Reception</t>
        </is>
      </c>
      <c r="C39" s="10" t="n">
        <v>20</v>
      </c>
      <c r="D39" s="44">
        <f>IF(OR(A39="",C39="",'Start Here'!$B$7=""),"",'Start Here'!$B$7-7*C39)</f>
        <v/>
      </c>
      <c r="E39" s="10" t="inlineStr">
        <is>
          <t>Not started</t>
        </is>
      </c>
      <c r="F39" s="10" t="n"/>
      <c r="G39" s="10" t="n"/>
      <c r="H39" s="32">
        <f>IF(AND(A39&lt;&gt;"",E39&lt;&gt;"Done"),IF(D39&lt;&gt;"",D39,-7*N(C39))+ROW()/100000,"")</f>
        <v/>
      </c>
    </row>
    <row r="40">
      <c r="A40" s="10" t="inlineStr">
        <is>
          <t>Book the rehearsal dinner venue</t>
        </is>
      </c>
      <c r="B40" s="10" t="inlineStr">
        <is>
          <t>Reception</t>
        </is>
      </c>
      <c r="C40" s="10" t="n">
        <v>20</v>
      </c>
      <c r="D40" s="44">
        <f>IF(OR(A40="",C40="",'Start Here'!$B$7=""),"",'Start Here'!$B$7-7*C40)</f>
        <v/>
      </c>
      <c r="E40" s="10" t="inlineStr">
        <is>
          <t>Not started</t>
        </is>
      </c>
      <c r="F40" s="10" t="n"/>
      <c r="G40" s="10" t="n"/>
      <c r="H40" s="32">
        <f>IF(AND(A40&lt;&gt;"",E40&lt;&gt;"Done"),IF(D40&lt;&gt;"",D40,-7*N(C40))+ROW()/100000,"")</f>
        <v/>
      </c>
    </row>
    <row r="41">
      <c r="A41" s="10" t="inlineStr">
        <is>
          <t>Order invitations</t>
        </is>
      </c>
      <c r="B41" s="10" t="inlineStr">
        <is>
          <t>Stationery</t>
        </is>
      </c>
      <c r="C41" s="10" t="n">
        <v>20</v>
      </c>
      <c r="D41" s="44">
        <f>IF(OR(A41="",C41="",'Start Here'!$B$7=""),"",'Start Here'!$B$7-7*C41)</f>
        <v/>
      </c>
      <c r="E41" s="10" t="inlineStr">
        <is>
          <t>Not started</t>
        </is>
      </c>
      <c r="F41" s="10" t="n"/>
      <c r="G41" s="10" t="n"/>
      <c r="H41" s="32">
        <f>IF(AND(A41&lt;&gt;"",E41&lt;&gt;"Done"),IF(D41&lt;&gt;"",D41,-7*N(C41))+ROW()/100000,"")</f>
        <v/>
      </c>
    </row>
    <row r="42">
      <c r="A42" s="10" t="inlineStr">
        <is>
          <t>Book a cake baker &amp; schedule a tasting</t>
        </is>
      </c>
      <c r="B42" s="10" t="inlineStr">
        <is>
          <t>Vendors</t>
        </is>
      </c>
      <c r="C42" s="10" t="n">
        <v>20</v>
      </c>
      <c r="D42" s="44">
        <f>IF(OR(A42="",C42="",'Start Here'!$B$7=""),"",'Start Here'!$B$7-7*C42)</f>
        <v/>
      </c>
      <c r="E42" s="10" t="inlineStr">
        <is>
          <t>Not started</t>
        </is>
      </c>
      <c r="F42" s="10" t="n"/>
      <c r="G42" s="10" t="n"/>
      <c r="H42" s="32">
        <f>IF(AND(A42&lt;&gt;"",E42&lt;&gt;"Done"),IF(D42&lt;&gt;"",D42,-7*N(C42))+ROW()/100000,"")</f>
        <v/>
      </c>
    </row>
    <row r="43">
      <c r="A43" s="10" t="inlineStr">
        <is>
          <t>Book wedding-night lodging</t>
        </is>
      </c>
      <c r="B43" s="10" t="inlineStr">
        <is>
          <t>Travel</t>
        </is>
      </c>
      <c r="C43" s="10" t="n">
        <v>16</v>
      </c>
      <c r="D43" s="44">
        <f>IF(OR(A43="",C43="",'Start Here'!$B$7=""),"",'Start Here'!$B$7-7*C43)</f>
        <v/>
      </c>
      <c r="E43" s="10" t="inlineStr">
        <is>
          <t>Not started</t>
        </is>
      </c>
      <c r="F43" s="10" t="n"/>
      <c r="G43" s="10" t="n"/>
      <c r="H43" s="32">
        <f>IF(AND(A43&lt;&gt;"",E43&lt;&gt;"Done"),IF(D43&lt;&gt;"",D43,-7*N(C43))+ROW()/100000,"")</f>
        <v/>
      </c>
    </row>
    <row r="44">
      <c r="A44" s="10" t="inlineStr">
        <is>
          <t>Schedule the menu tasting</t>
        </is>
      </c>
      <c r="B44" s="10" t="inlineStr">
        <is>
          <t>Reception</t>
        </is>
      </c>
      <c r="C44" s="10" t="n">
        <v>16</v>
      </c>
      <c r="D44" s="44">
        <f>IF(OR(A44="",C44="",'Start Here'!$B$7=""),"",'Start Here'!$B$7-7*C44)</f>
        <v/>
      </c>
      <c r="E44" s="10" t="inlineStr">
        <is>
          <t>Not started</t>
        </is>
      </c>
      <c r="F44" s="10" t="n"/>
      <c r="G44" s="10" t="n"/>
      <c r="H44" s="32">
        <f>IF(AND(A44&lt;&gt;"",E44&lt;&gt;"Done"),IF(D44&lt;&gt;"",D44,-7*N(C44))+ROW()/100000,"")</f>
        <v/>
      </c>
    </row>
    <row r="45">
      <c r="A45" s="10" t="inlineStr">
        <is>
          <t>Choose the cake design</t>
        </is>
      </c>
      <c r="B45" s="10" t="inlineStr">
        <is>
          <t>Reception</t>
        </is>
      </c>
      <c r="C45" s="10" t="n">
        <v>16</v>
      </c>
      <c r="D45" s="44">
        <f>IF(OR(A45="",C45="",'Start Here'!$B$7=""),"",'Start Here'!$B$7-7*C45)</f>
        <v/>
      </c>
      <c r="E45" s="10" t="inlineStr">
        <is>
          <t>Not started</t>
        </is>
      </c>
      <c r="F45" s="10" t="n"/>
      <c r="G45" s="10" t="n"/>
      <c r="H45" s="32">
        <f>IF(AND(A45&lt;&gt;"",E45&lt;&gt;"Done"),IF(D45&lt;&gt;"",D45,-7*N(C45))+ROW()/100000,"")</f>
        <v/>
      </c>
    </row>
    <row r="46">
      <c r="A46" s="10" t="inlineStr">
        <is>
          <t>Buy wedding rings</t>
        </is>
      </c>
      <c r="B46" s="10" t="inlineStr">
        <is>
          <t>Attire</t>
        </is>
      </c>
      <c r="C46" s="10" t="n">
        <v>16</v>
      </c>
      <c r="D46" s="44">
        <f>IF(OR(A46="",C46="",'Start Here'!$B$7=""),"",'Start Here'!$B$7-7*C46)</f>
        <v/>
      </c>
      <c r="E46" s="10" t="inlineStr">
        <is>
          <t>Not started</t>
        </is>
      </c>
      <c r="F46" s="10" t="n"/>
      <c r="G46" s="10" t="n"/>
      <c r="H46" s="32">
        <f>IF(AND(A46&lt;&gt;"",E46&lt;&gt;"Done"),IF(D46&lt;&gt;"",D46,-7*N(C46))+ROW()/100000,"")</f>
        <v/>
      </c>
    </row>
    <row r="47">
      <c r="A47" s="10" t="inlineStr">
        <is>
          <t>Plan the ceremony outline with your officiant</t>
        </is>
      </c>
      <c r="B47" s="10" t="inlineStr">
        <is>
          <t>Ceremony</t>
        </is>
      </c>
      <c r="C47" s="10" t="n">
        <v>16</v>
      </c>
      <c r="D47" s="44">
        <f>IF(OR(A47="",C47="",'Start Here'!$B$7=""),"",'Start Here'!$B$7-7*C47)</f>
        <v/>
      </c>
      <c r="E47" s="10" t="inlineStr">
        <is>
          <t>Not started</t>
        </is>
      </c>
      <c r="F47" s="10" t="n"/>
      <c r="G47" s="10" t="n"/>
      <c r="H47" s="32">
        <f>IF(AND(A47&lt;&gt;"",E47&lt;&gt;"Done"),IF(D47&lt;&gt;"",D47,-7*N(C47))+ROW()/100000,"")</f>
        <v/>
      </c>
    </row>
    <row r="48">
      <c r="A48" s="10" t="inlineStr">
        <is>
          <t>Book childcare / kids' entertainment (if needed)</t>
        </is>
      </c>
      <c r="B48" s="10" t="inlineStr">
        <is>
          <t>Guests</t>
        </is>
      </c>
      <c r="C48" s="10" t="n">
        <v>16</v>
      </c>
      <c r="D48" s="44">
        <f>IF(OR(A48="",C48="",'Start Here'!$B$7=""),"",'Start Here'!$B$7-7*C48)</f>
        <v/>
      </c>
      <c r="E48" s="10" t="inlineStr">
        <is>
          <t>Not started</t>
        </is>
      </c>
      <c r="F48" s="10" t="n"/>
      <c r="G48" s="10" t="n"/>
      <c r="H48" s="32">
        <f>IF(AND(A48&lt;&gt;"",E48&lt;&gt;"Done"),IF(D48&lt;&gt;"",D48,-7*N(C48))+ROW()/100000,"")</f>
        <v/>
      </c>
    </row>
    <row r="49">
      <c r="A49" s="10" t="inlineStr">
        <is>
          <t>Order favors</t>
        </is>
      </c>
      <c r="B49" s="10" t="inlineStr">
        <is>
          <t>Reception</t>
        </is>
      </c>
      <c r="C49" s="10" t="n">
        <v>14</v>
      </c>
      <c r="D49" s="44">
        <f>IF(OR(A49="",C49="",'Start Here'!$B$7=""),"",'Start Here'!$B$7-7*C49)</f>
        <v/>
      </c>
      <c r="E49" s="10" t="inlineStr">
        <is>
          <t>Not started</t>
        </is>
      </c>
      <c r="F49" s="10" t="n"/>
      <c r="G49" s="10" t="n"/>
      <c r="H49" s="32">
        <f>IF(AND(A49&lt;&gt;"",E49&lt;&gt;"Done"),IF(D49&lt;&gt;"",D49,-7*N(C49))+ROW()/100000,"")</f>
        <v/>
      </c>
    </row>
    <row r="50">
      <c r="A50" s="10" t="inlineStr">
        <is>
          <t>Research marriage-license rules for your state</t>
        </is>
      </c>
      <c r="B50" s="10" t="inlineStr">
        <is>
          <t>Legal</t>
        </is>
      </c>
      <c r="C50" s="10" t="n">
        <v>12</v>
      </c>
      <c r="D50" s="44">
        <f>IF(OR(A50="",C50="",'Start Here'!$B$7=""),"",'Start Here'!$B$7-7*C50)</f>
        <v/>
      </c>
      <c r="E50" s="10" t="inlineStr">
        <is>
          <t>Not started</t>
        </is>
      </c>
      <c r="F50" s="10" t="n"/>
      <c r="G50" s="10" t="n"/>
      <c r="H50" s="32">
        <f>IF(AND(A50&lt;&gt;"",E50&lt;&gt;"Done"),IF(D50&lt;&gt;"",D50,-7*N(C50))+ROW()/100000,"")</f>
        <v/>
      </c>
    </row>
    <row r="51">
      <c r="A51" s="10" t="inlineStr">
        <is>
          <t>Choose the bar menu &amp; signature cocktail</t>
        </is>
      </c>
      <c r="B51" s="10" t="inlineStr">
        <is>
          <t>Reception</t>
        </is>
      </c>
      <c r="C51" s="10" t="n">
        <v>12</v>
      </c>
      <c r="D51" s="44">
        <f>IF(OR(A51="",C51="",'Start Here'!$B$7=""),"",'Start Here'!$B$7-7*C51)</f>
        <v/>
      </c>
      <c r="E51" s="10" t="inlineStr">
        <is>
          <t>Not started</t>
        </is>
      </c>
      <c r="F51" s="10" t="n"/>
      <c r="G51" s="10" t="n"/>
      <c r="H51" s="32">
        <f>IF(AND(A51&lt;&gt;"",E51&lt;&gt;"Done"),IF(D51&lt;&gt;"",D51,-7*N(C51))+ROW()/100000,"")</f>
        <v/>
      </c>
    </row>
    <row r="52">
      <c r="A52" s="10" t="inlineStr">
        <is>
          <t>Order a guest book</t>
        </is>
      </c>
      <c r="B52" s="10" t="inlineStr">
        <is>
          <t>Reception</t>
        </is>
      </c>
      <c r="C52" s="10" t="n">
        <v>12</v>
      </c>
      <c r="D52" s="44">
        <f>IF(OR(A52="",C52="",'Start Here'!$B$7=""),"",'Start Here'!$B$7-7*C52)</f>
        <v/>
      </c>
      <c r="E52" s="10" t="inlineStr">
        <is>
          <t>Not started</t>
        </is>
      </c>
      <c r="F52" s="10" t="n"/>
      <c r="G52" s="10" t="n"/>
      <c r="H52" s="32">
        <f>IF(AND(A52&lt;&gt;"",E52&lt;&gt;"Done"),IF(D52&lt;&gt;"",D52,-7*N(C52))+ROW()/100000,"")</f>
        <v/>
      </c>
    </row>
    <row r="53">
      <c r="A53" s="10" t="inlineStr">
        <is>
          <t>Choose ceremony music</t>
        </is>
      </c>
      <c r="B53" s="10" t="inlineStr">
        <is>
          <t>Ceremony</t>
        </is>
      </c>
      <c r="C53" s="10" t="n">
        <v>12</v>
      </c>
      <c r="D53" s="44">
        <f>IF(OR(A53="",C53="",'Start Here'!$B$7=""),"",'Start Here'!$B$7-7*C53)</f>
        <v/>
      </c>
      <c r="E53" s="10" t="inlineStr">
        <is>
          <t>Not started</t>
        </is>
      </c>
      <c r="F53" s="10" t="n"/>
      <c r="G53" s="10" t="n"/>
      <c r="H53" s="32">
        <f>IF(AND(A53&lt;&gt;"",E53&lt;&gt;"Done"),IF(D53&lt;&gt;"",D53,-7*N(C53))+ROW()/100000,"")</f>
        <v/>
      </c>
    </row>
    <row r="54">
      <c r="A54" s="10" t="inlineStr">
        <is>
          <t>Choose the first-dance song</t>
        </is>
      </c>
      <c r="B54" s="10" t="inlineStr">
        <is>
          <t>Reception</t>
        </is>
      </c>
      <c r="C54" s="10" t="n">
        <v>12</v>
      </c>
      <c r="D54" s="44">
        <f>IF(OR(A54="",C54="",'Start Here'!$B$7=""),"",'Start Here'!$B$7-7*C54)</f>
        <v/>
      </c>
      <c r="E54" s="10" t="inlineStr">
        <is>
          <t>Not started</t>
        </is>
      </c>
      <c r="F54" s="10" t="n"/>
      <c r="G54" s="10" t="n"/>
      <c r="H54" s="32">
        <f>IF(AND(A54&lt;&gt;"",E54&lt;&gt;"Done"),IF(D54&lt;&gt;"",D54,-7*N(C54))+ROW()/100000,"")</f>
        <v/>
      </c>
    </row>
    <row r="55">
      <c r="A55" s="10" t="inlineStr">
        <is>
          <t>First attire fitting</t>
        </is>
      </c>
      <c r="B55" s="10" t="inlineStr">
        <is>
          <t>Attire</t>
        </is>
      </c>
      <c r="C55" s="10" t="n">
        <v>12</v>
      </c>
      <c r="D55" s="44">
        <f>IF(OR(A55="",C55="",'Start Here'!$B$7=""),"",'Start Here'!$B$7-7*C55)</f>
        <v/>
      </c>
      <c r="E55" s="10" t="inlineStr">
        <is>
          <t>Not started</t>
        </is>
      </c>
      <c r="F55" s="10" t="n"/>
      <c r="G55" s="10" t="n"/>
      <c r="H55" s="32">
        <f>IF(AND(A55&lt;&gt;"",E55&lt;&gt;"Done"),IF(D55&lt;&gt;"",D55,-7*N(C55))+ROW()/100000,"")</f>
        <v/>
      </c>
    </row>
    <row r="56">
      <c r="A56" s="10" t="inlineStr">
        <is>
          <t>Book the day-after brunch</t>
        </is>
      </c>
      <c r="B56" s="10" t="inlineStr">
        <is>
          <t>Reception</t>
        </is>
      </c>
      <c r="C56" s="10" t="n">
        <v>12</v>
      </c>
      <c r="D56" s="44">
        <f>IF(OR(A56="",C56="",'Start Here'!$B$7=""),"",'Start Here'!$B$7-7*C56)</f>
        <v/>
      </c>
      <c r="E56" s="10" t="inlineStr">
        <is>
          <t>Not started</t>
        </is>
      </c>
      <c r="F56" s="10" t="n"/>
      <c r="G56" s="10" t="n"/>
      <c r="H56" s="32">
        <f>IF(AND(A56&lt;&gt;"",E56&lt;&gt;"Done"),IF(D56&lt;&gt;"",D56,-7*N(C56))+ROW()/100000,"")</f>
        <v/>
      </c>
    </row>
    <row r="57">
      <c r="A57" s="10" t="inlineStr">
        <is>
          <t>Buy accessories &amp; shoes</t>
        </is>
      </c>
      <c r="B57" s="10" t="inlineStr">
        <is>
          <t>Attire</t>
        </is>
      </c>
      <c r="C57" s="10" t="n">
        <v>10</v>
      </c>
      <c r="D57" s="44">
        <f>IF(OR(A57="",C57="",'Start Here'!$B$7=""),"",'Start Here'!$B$7-7*C57)</f>
        <v/>
      </c>
      <c r="E57" s="10" t="inlineStr">
        <is>
          <t>Not started</t>
        </is>
      </c>
      <c r="F57" s="10" t="n"/>
      <c r="G57" s="10" t="n"/>
      <c r="H57" s="32">
        <f>IF(AND(A57&lt;&gt;"",E57&lt;&gt;"Done"),IF(D57&lt;&gt;"",D57,-7*N(C57))+ROW()/100000,"")</f>
        <v/>
      </c>
    </row>
    <row r="58">
      <c r="A58" s="10" t="inlineStr">
        <is>
          <t>Hair &amp; makeup trial</t>
        </is>
      </c>
      <c r="B58" s="10" t="inlineStr">
        <is>
          <t>Beauty</t>
        </is>
      </c>
      <c r="C58" s="10" t="n">
        <v>10</v>
      </c>
      <c r="D58" s="44">
        <f>IF(OR(A58="",C58="",'Start Here'!$B$7=""),"",'Start Here'!$B$7-7*C58)</f>
        <v/>
      </c>
      <c r="E58" s="10" t="inlineStr">
        <is>
          <t>Not started</t>
        </is>
      </c>
      <c r="F58" s="10" t="n"/>
      <c r="G58" s="10" t="n"/>
      <c r="H58" s="32">
        <f>IF(AND(A58&lt;&gt;"",E58&lt;&gt;"Done"),IF(D58&lt;&gt;"",D58,-7*N(C58))+ROW()/100000,"")</f>
        <v/>
      </c>
    </row>
    <row r="59">
      <c r="A59" s="10" t="inlineStr">
        <is>
          <t>Mail invitations (6–8 weeks before)</t>
        </is>
      </c>
      <c r="B59" s="10" t="inlineStr">
        <is>
          <t>Stationery</t>
        </is>
      </c>
      <c r="C59" s="10" t="n">
        <v>8</v>
      </c>
      <c r="D59" s="44">
        <f>IF(OR(A59="",C59="",'Start Here'!$B$7=""),"",'Start Here'!$B$7-7*C59)</f>
        <v/>
      </c>
      <c r="E59" s="10" t="inlineStr">
        <is>
          <t>Not started</t>
        </is>
      </c>
      <c r="F59" s="10" t="n"/>
      <c r="G59" s="10" t="n"/>
      <c r="H59" s="32">
        <f>IF(AND(A59&lt;&gt;"",E59&lt;&gt;"Done"),IF(D59&lt;&gt;"",D59,-7*N(C59))+ROW()/100000,"")</f>
        <v/>
      </c>
    </row>
    <row r="60">
      <c r="A60" s="10" t="inlineStr">
        <is>
          <t>Share your RSVP form link with guests</t>
        </is>
      </c>
      <c r="B60" s="10" t="inlineStr">
        <is>
          <t>Guests</t>
        </is>
      </c>
      <c r="C60" s="10" t="n">
        <v>8</v>
      </c>
      <c r="D60" s="44">
        <f>IF(OR(A60="",C60="",'Start Here'!$B$7=""),"",'Start Here'!$B$7-7*C60)</f>
        <v/>
      </c>
      <c r="E60" s="10" t="inlineStr">
        <is>
          <t>Not started</t>
        </is>
      </c>
      <c r="F60" s="10" t="n"/>
      <c r="G60" s="10" t="n"/>
      <c r="H60" s="32">
        <f>IF(AND(A60&lt;&gt;"",E60&lt;&gt;"Done"),IF(D60&lt;&gt;"",D60,-7*N(C60))+ROW()/100000,"")</f>
        <v/>
      </c>
    </row>
    <row r="61">
      <c r="A61" s="10" t="inlineStr">
        <is>
          <t>Draft readings &amp; vows</t>
        </is>
      </c>
      <c r="B61" s="10" t="inlineStr">
        <is>
          <t>Ceremony</t>
        </is>
      </c>
      <c r="C61" s="10" t="n">
        <v>8</v>
      </c>
      <c r="D61" s="44">
        <f>IF(OR(A61="",C61="",'Start Here'!$B$7=""),"",'Start Here'!$B$7-7*C61)</f>
        <v/>
      </c>
      <c r="E61" s="10" t="inlineStr">
        <is>
          <t>Not started</t>
        </is>
      </c>
      <c r="F61" s="10" t="n"/>
      <c r="G61" s="10" t="n"/>
      <c r="H61" s="32">
        <f>IF(AND(A61&lt;&gt;"",E61&lt;&gt;"Done"),IF(D61&lt;&gt;"",D61,-7*N(C61))+ROW()/100000,"")</f>
        <v/>
      </c>
    </row>
    <row r="62">
      <c r="A62" s="10" t="inlineStr">
        <is>
          <t>Plan welcome bags</t>
        </is>
      </c>
      <c r="B62" s="10" t="inlineStr">
        <is>
          <t>Travel</t>
        </is>
      </c>
      <c r="C62" s="10" t="n">
        <v>8</v>
      </c>
      <c r="D62" s="44">
        <f>IF(OR(A62="",C62="",'Start Here'!$B$7=""),"",'Start Here'!$B$7-7*C62)</f>
        <v/>
      </c>
      <c r="E62" s="10" t="inlineStr">
        <is>
          <t>Not started</t>
        </is>
      </c>
      <c r="F62" s="10" t="n"/>
      <c r="G62" s="10" t="n"/>
      <c r="H62" s="32">
        <f>IF(AND(A62&lt;&gt;"",E62&lt;&gt;"Done"),IF(D62&lt;&gt;"",D62,-7*N(C62))+ROW()/100000,"")</f>
        <v/>
      </c>
    </row>
    <row r="63">
      <c r="A63" s="10" t="inlineStr">
        <is>
          <t>Confirm hotel block numbers</t>
        </is>
      </c>
      <c r="B63" s="10" t="inlineStr">
        <is>
          <t>Travel</t>
        </is>
      </c>
      <c r="C63" s="10" t="n">
        <v>8</v>
      </c>
      <c r="D63" s="44">
        <f>IF(OR(A63="",C63="",'Start Here'!$B$7=""),"",'Start Here'!$B$7-7*C63)</f>
        <v/>
      </c>
      <c r="E63" s="10" t="inlineStr">
        <is>
          <t>Not started</t>
        </is>
      </c>
      <c r="F63" s="10" t="n"/>
      <c r="G63" s="10" t="n"/>
      <c r="H63" s="32">
        <f>IF(AND(A63&lt;&gt;"",E63&lt;&gt;"Done"),IF(D63&lt;&gt;"",D63,-7*N(C63))+ROW()/100000,"")</f>
        <v/>
      </c>
    </row>
    <row r="64">
      <c r="A64" s="10" t="inlineStr">
        <is>
          <t>Order signage (welcome, seating, bar)</t>
        </is>
      </c>
      <c r="B64" s="10" t="inlineStr">
        <is>
          <t>Stationery</t>
        </is>
      </c>
      <c r="C64" s="10" t="n">
        <v>6</v>
      </c>
      <c r="D64" s="44">
        <f>IF(OR(A64="",C64="",'Start Here'!$B$7=""),"",'Start Here'!$B$7-7*C64)</f>
        <v/>
      </c>
      <c r="E64" s="10" t="inlineStr">
        <is>
          <t>Not started</t>
        </is>
      </c>
      <c r="F64" s="10" t="n"/>
      <c r="G64" s="10" t="n"/>
      <c r="H64" s="32">
        <f>IF(AND(A64&lt;&gt;"",E64&lt;&gt;"Done"),IF(D64&lt;&gt;"",D64,-7*N(C64))+ROW()/100000,"")</f>
        <v/>
      </c>
    </row>
    <row r="65">
      <c r="A65" s="10" t="inlineStr">
        <is>
          <t>Second attire fitting</t>
        </is>
      </c>
      <c r="B65" s="10" t="inlineStr">
        <is>
          <t>Attire</t>
        </is>
      </c>
      <c r="C65" s="10" t="n">
        <v>6</v>
      </c>
      <c r="D65" s="44">
        <f>IF(OR(A65="",C65="",'Start Here'!$B$7=""),"",'Start Here'!$B$7-7*C65)</f>
        <v/>
      </c>
      <c r="E65" s="10" t="inlineStr">
        <is>
          <t>Not started</t>
        </is>
      </c>
      <c r="F65" s="10" t="n"/>
      <c r="G65" s="10" t="n"/>
      <c r="H65" s="32">
        <f>IF(AND(A65&lt;&gt;"",E65&lt;&gt;"Done"),IF(D65&lt;&gt;"",D65,-7*N(C65))+ROW()/100000,"")</f>
        <v/>
      </c>
    </row>
    <row r="66">
      <c r="A66" s="10" t="inlineStr">
        <is>
          <t>Buy gifts for the wedding party</t>
        </is>
      </c>
      <c r="B66" s="10" t="inlineStr">
        <is>
          <t>Guests</t>
        </is>
      </c>
      <c r="C66" s="10" t="n">
        <v>6</v>
      </c>
      <c r="D66" s="44">
        <f>IF(OR(A66="",C66="",'Start Here'!$B$7=""),"",'Start Here'!$B$7-7*C66)</f>
        <v/>
      </c>
      <c r="E66" s="10" t="inlineStr">
        <is>
          <t>Not started</t>
        </is>
      </c>
      <c r="F66" s="10" t="n"/>
      <c r="G66" s="10" t="n"/>
      <c r="H66" s="32">
        <f>IF(AND(A66&lt;&gt;"",E66&lt;&gt;"Done"),IF(D66&lt;&gt;"",D66,-7*N(C66))+ROW()/100000,"")</f>
        <v/>
      </c>
    </row>
    <row r="67">
      <c r="A67" s="10" t="inlineStr">
        <is>
          <t>Buy gifts for parents</t>
        </is>
      </c>
      <c r="B67" s="10" t="inlineStr">
        <is>
          <t>Guests</t>
        </is>
      </c>
      <c r="C67" s="10" t="n">
        <v>6</v>
      </c>
      <c r="D67" s="44">
        <f>IF(OR(A67="",C67="",'Start Here'!$B$7=""),"",'Start Here'!$B$7-7*C67)</f>
        <v/>
      </c>
      <c r="E67" s="10" t="inlineStr">
        <is>
          <t>Not started</t>
        </is>
      </c>
      <c r="F67" s="10" t="n"/>
      <c r="G67" s="10" t="n"/>
      <c r="H67" s="32">
        <f>IF(AND(A67&lt;&gt;"",E67&lt;&gt;"Done"),IF(D67&lt;&gt;"",D67,-7*N(C67))+ROW()/100000,"")</f>
        <v/>
      </c>
    </row>
    <row r="68">
      <c r="A68" s="10" t="inlineStr">
        <is>
          <t>Order programs, menus &amp; place cards</t>
        </is>
      </c>
      <c r="B68" s="10" t="inlineStr">
        <is>
          <t>Stationery</t>
        </is>
      </c>
      <c r="C68" s="10" t="n">
        <v>6</v>
      </c>
      <c r="D68" s="44">
        <f>IF(OR(A68="",C68="",'Start Here'!$B$7=""),"",'Start Here'!$B$7-7*C68)</f>
        <v/>
      </c>
      <c r="E68" s="10" t="inlineStr">
        <is>
          <t>Not started</t>
        </is>
      </c>
      <c r="F68" s="10" t="n"/>
      <c r="G68" s="10" t="n"/>
      <c r="H68" s="32">
        <f>IF(AND(A68&lt;&gt;"",E68&lt;&gt;"Done"),IF(D68&lt;&gt;"",D68,-7*N(C68))+ROW()/100000,"")</f>
        <v/>
      </c>
    </row>
    <row r="69">
      <c r="A69" s="10" t="inlineStr">
        <is>
          <t>Finalize the shot list with your photographer</t>
        </is>
      </c>
      <c r="B69" s="10" t="inlineStr">
        <is>
          <t>Vendors</t>
        </is>
      </c>
      <c r="C69" s="10" t="n">
        <v>6</v>
      </c>
      <c r="D69" s="44">
        <f>IF(OR(A69="",C69="",'Start Here'!$B$7=""),"",'Start Here'!$B$7-7*C69)</f>
        <v/>
      </c>
      <c r="E69" s="10" t="inlineStr">
        <is>
          <t>Not started</t>
        </is>
      </c>
      <c r="F69" s="10" t="n"/>
      <c r="G69" s="10" t="n"/>
      <c r="H69" s="32">
        <f>IF(AND(A69&lt;&gt;"",E69&lt;&gt;"Done"),IF(D69&lt;&gt;"",D69,-7*N(C69))+ROW()/100000,"")</f>
        <v/>
      </c>
    </row>
    <row r="70">
      <c r="A70" s="10" t="inlineStr">
        <is>
          <t>Write your vows</t>
        </is>
      </c>
      <c r="B70" s="10" t="inlineStr">
        <is>
          <t>Ceremony</t>
        </is>
      </c>
      <c r="C70" s="10" t="n">
        <v>6</v>
      </c>
      <c r="D70" s="44">
        <f>IF(OR(A70="",C70="",'Start Here'!$B$7=""),"",'Start Here'!$B$7-7*C70)</f>
        <v/>
      </c>
      <c r="E70" s="10" t="inlineStr">
        <is>
          <t>Not started</t>
        </is>
      </c>
      <c r="F70" s="10" t="n"/>
      <c r="G70" s="10" t="n"/>
      <c r="H70" s="32">
        <f>IF(AND(A70&lt;&gt;"",E70&lt;&gt;"Done"),IF(D70&lt;&gt;"",D70,-7*N(C70))+ROW()/100000,"")</f>
        <v/>
      </c>
    </row>
    <row r="71">
      <c r="A71" s="10" t="inlineStr">
        <is>
          <t>Send must-play / do-not-play lists to DJ or band</t>
        </is>
      </c>
      <c r="B71" s="10" t="inlineStr">
        <is>
          <t>Vendors</t>
        </is>
      </c>
      <c r="C71" s="10" t="n">
        <v>5</v>
      </c>
      <c r="D71" s="44">
        <f>IF(OR(A71="",C71="",'Start Here'!$B$7=""),"",'Start Here'!$B$7-7*C71)</f>
        <v/>
      </c>
      <c r="E71" s="10" t="inlineStr">
        <is>
          <t>Not started</t>
        </is>
      </c>
      <c r="F71" s="10" t="n"/>
      <c r="G71" s="10" t="n"/>
      <c r="H71" s="32">
        <f>IF(AND(A71&lt;&gt;"",E71&lt;&gt;"Done"),IF(D71&lt;&gt;"",D71,-7*N(C71))+ROW()/100000,"")</f>
        <v/>
      </c>
    </row>
    <row r="72">
      <c r="A72" s="10" t="inlineStr">
        <is>
          <t>Send RSVP reminders to guests who haven't replied</t>
        </is>
      </c>
      <c r="B72" s="10" t="inlineStr">
        <is>
          <t>Guests</t>
        </is>
      </c>
      <c r="C72" s="10" t="n">
        <v>4</v>
      </c>
      <c r="D72" s="44">
        <f>IF(OR(A72="",C72="",'Start Here'!$B$7=""),"",'Start Here'!$B$7-7*C72)</f>
        <v/>
      </c>
      <c r="E72" s="10" t="inlineStr">
        <is>
          <t>Not started</t>
        </is>
      </c>
      <c r="F72" s="10" t="n"/>
      <c r="G72" s="10" t="n"/>
      <c r="H72" s="32">
        <f>IF(AND(A72&lt;&gt;"",E72&lt;&gt;"Done"),IF(D72&lt;&gt;"",D72,-7*N(C72))+ROW()/100000,"")</f>
        <v/>
      </c>
    </row>
    <row r="73">
      <c r="A73" s="10" t="inlineStr">
        <is>
          <t>Apply for the marriage license</t>
        </is>
      </c>
      <c r="B73" s="10" t="inlineStr">
        <is>
          <t>Legal</t>
        </is>
      </c>
      <c r="C73" s="10" t="n">
        <v>4</v>
      </c>
      <c r="D73" s="44">
        <f>IF(OR(A73="",C73="",'Start Here'!$B$7=""),"",'Start Here'!$B$7-7*C73)</f>
        <v/>
      </c>
      <c r="E73" s="10" t="inlineStr">
        <is>
          <t>Not started</t>
        </is>
      </c>
      <c r="F73" s="10" t="n"/>
      <c r="G73" s="10" t="n"/>
      <c r="H73" s="32">
        <f>IF(AND(A73&lt;&gt;"",E73&lt;&gt;"Done"),IF(D73&lt;&gt;"",D73,-7*N(C73))+ROW()/100000,"")</f>
        <v/>
      </c>
    </row>
    <row r="74">
      <c r="A74" s="10" t="inlineStr">
        <is>
          <t>Confirm officiant details &amp; ceremony script</t>
        </is>
      </c>
      <c r="B74" s="10" t="inlineStr">
        <is>
          <t>Ceremony</t>
        </is>
      </c>
      <c r="C74" s="10" t="n">
        <v>4</v>
      </c>
      <c r="D74" s="44">
        <f>IF(OR(A74="",C74="",'Start Here'!$B$7=""),"",'Start Here'!$B$7-7*C74)</f>
        <v/>
      </c>
      <c r="E74" s="10" t="inlineStr">
        <is>
          <t>Not started</t>
        </is>
      </c>
      <c r="F74" s="10" t="n"/>
      <c r="G74" s="10" t="n"/>
      <c r="H74" s="32">
        <f>IF(AND(A74&lt;&gt;"",E74&lt;&gt;"Done"),IF(D74&lt;&gt;"",D74,-7*N(C74))+ROW()/100000,"")</f>
        <v/>
      </c>
    </row>
    <row r="75">
      <c r="A75" s="10" t="inlineStr">
        <is>
          <t>Plan reserved seating for the ceremony</t>
        </is>
      </c>
      <c r="B75" s="10" t="inlineStr">
        <is>
          <t>Ceremony</t>
        </is>
      </c>
      <c r="C75" s="10" t="n">
        <v>4</v>
      </c>
      <c r="D75" s="44">
        <f>IF(OR(A75="",C75="",'Start Here'!$B$7=""),"",'Start Here'!$B$7-7*C75)</f>
        <v/>
      </c>
      <c r="E75" s="10" t="inlineStr">
        <is>
          <t>Not started</t>
        </is>
      </c>
      <c r="F75" s="10" t="n"/>
      <c r="G75" s="10" t="n"/>
      <c r="H75" s="32">
        <f>IF(AND(A75&lt;&gt;"",E75&lt;&gt;"Done"),IF(D75&lt;&gt;"",D75,-7*N(C75))+ROW()/100000,"")</f>
        <v/>
      </c>
    </row>
    <row r="76">
      <c r="A76" s="10" t="inlineStr">
        <is>
          <t>RSVP deadline: chase remaining replies</t>
        </is>
      </c>
      <c r="B76" s="10" t="inlineStr">
        <is>
          <t>Guests</t>
        </is>
      </c>
      <c r="C76" s="10" t="n">
        <v>3</v>
      </c>
      <c r="D76" s="44">
        <f>IF(OR(A76="",C76="",'Start Here'!$B$7=""),"",'Start Here'!$B$7-7*C76)</f>
        <v/>
      </c>
      <c r="E76" s="10" t="inlineStr">
        <is>
          <t>Not started</t>
        </is>
      </c>
      <c r="F76" s="10" t="n"/>
      <c r="G76" s="10" t="n"/>
      <c r="H76" s="32">
        <f>IF(AND(A76&lt;&gt;"",E76&lt;&gt;"Done"),IF(D76&lt;&gt;"",D76,-7*N(C76))+ROW()/100000,"")</f>
        <v/>
      </c>
    </row>
    <row r="77">
      <c r="A77" s="10" t="inlineStr">
        <is>
          <t>Give the final headcount to the caterer</t>
        </is>
      </c>
      <c r="B77" s="10" t="inlineStr">
        <is>
          <t>Reception</t>
        </is>
      </c>
      <c r="C77" s="10" t="n">
        <v>3</v>
      </c>
      <c r="D77" s="44">
        <f>IF(OR(A77="",C77="",'Start Here'!$B$7=""),"",'Start Here'!$B$7-7*C77)</f>
        <v/>
      </c>
      <c r="E77" s="10" t="inlineStr">
        <is>
          <t>Not started</t>
        </is>
      </c>
      <c r="F77" s="10" t="n"/>
      <c r="G77" s="10" t="n"/>
      <c r="H77" s="32">
        <f>IF(AND(A77&lt;&gt;"",E77&lt;&gt;"Done"),IF(D77&lt;&gt;"",D77,-7*N(C77))+ROW()/100000,"")</f>
        <v/>
      </c>
    </row>
    <row r="78">
      <c r="A78" s="10" t="inlineStr">
        <is>
          <t>Create the seating chart</t>
        </is>
      </c>
      <c r="B78" s="10" t="inlineStr">
        <is>
          <t>Reception</t>
        </is>
      </c>
      <c r="C78" s="10" t="n">
        <v>3</v>
      </c>
      <c r="D78" s="44">
        <f>IF(OR(A78="",C78="",'Start Here'!$B$7=""),"",'Start Here'!$B$7-7*C78)</f>
        <v/>
      </c>
      <c r="E78" s="10" t="inlineStr">
        <is>
          <t>Not started</t>
        </is>
      </c>
      <c r="F78" s="10" t="n"/>
      <c r="G78" s="10" t="n"/>
      <c r="H78" s="32">
        <f>IF(AND(A78&lt;&gt;"",E78&lt;&gt;"Done"),IF(D78&lt;&gt;"",D78,-7*N(C78))+ROW()/100000,"")</f>
        <v/>
      </c>
    </row>
    <row r="79">
      <c r="A79" s="10" t="inlineStr">
        <is>
          <t>Confirm vendor arrival times</t>
        </is>
      </c>
      <c r="B79" s="10" t="inlineStr">
        <is>
          <t>Vendors</t>
        </is>
      </c>
      <c r="C79" s="10" t="n">
        <v>3</v>
      </c>
      <c r="D79" s="44">
        <f>IF(OR(A79="",C79="",'Start Here'!$B$7=""),"",'Start Here'!$B$7-7*C79)</f>
        <v/>
      </c>
      <c r="E79" s="10" t="inlineStr">
        <is>
          <t>Not started</t>
        </is>
      </c>
      <c r="F79" s="10" t="n"/>
      <c r="G79" s="10" t="n"/>
      <c r="H79" s="32">
        <f>IF(AND(A79&lt;&gt;"",E79&lt;&gt;"Done"),IF(D79&lt;&gt;"",D79,-7*N(C79))+ROW()/100000,"")</f>
        <v/>
      </c>
    </row>
    <row r="80">
      <c r="A80" s="10" t="inlineStr">
        <is>
          <t>Write your thank-you toast</t>
        </is>
      </c>
      <c r="B80" s="10" t="inlineStr">
        <is>
          <t>Reception</t>
        </is>
      </c>
      <c r="C80" s="10" t="n">
        <v>3</v>
      </c>
      <c r="D80" s="44">
        <f>IF(OR(A80="",C80="",'Start Here'!$B$7=""),"",'Start Here'!$B$7-7*C80)</f>
        <v/>
      </c>
      <c r="E80" s="10" t="inlineStr">
        <is>
          <t>Not started</t>
        </is>
      </c>
      <c r="F80" s="10" t="n"/>
      <c r="G80" s="10" t="n"/>
      <c r="H80" s="32">
        <f>IF(AND(A80&lt;&gt;"",E80&lt;&gt;"Done"),IF(D80&lt;&gt;"",D80,-7*N(C80))+ROW()/100000,"")</f>
        <v/>
      </c>
    </row>
    <row r="81">
      <c r="A81" s="10" t="inlineStr">
        <is>
          <t>Final attire fitting</t>
        </is>
      </c>
      <c r="B81" s="10" t="inlineStr">
        <is>
          <t>Attire</t>
        </is>
      </c>
      <c r="C81" s="10" t="n">
        <v>2</v>
      </c>
      <c r="D81" s="44">
        <f>IF(OR(A81="",C81="",'Start Here'!$B$7=""),"",'Start Here'!$B$7-7*C81)</f>
        <v/>
      </c>
      <c r="E81" s="10" t="inlineStr">
        <is>
          <t>Not started</t>
        </is>
      </c>
      <c r="F81" s="10" t="n"/>
      <c r="G81" s="10" t="n"/>
      <c r="H81" s="32">
        <f>IF(AND(A81&lt;&gt;"",E81&lt;&gt;"Done"),IF(D81&lt;&gt;"",D81,-7*N(C81))+ROW()/100000,"")</f>
        <v/>
      </c>
    </row>
    <row r="82">
      <c r="A82" s="10" t="inlineStr">
        <is>
          <t>Break in your shoes</t>
        </is>
      </c>
      <c r="B82" s="10" t="inlineStr">
        <is>
          <t>Attire</t>
        </is>
      </c>
      <c r="C82" s="10" t="n">
        <v>2</v>
      </c>
      <c r="D82" s="44">
        <f>IF(OR(A82="",C82="",'Start Here'!$B$7=""),"",'Start Here'!$B$7-7*C82)</f>
        <v/>
      </c>
      <c r="E82" s="10" t="inlineStr">
        <is>
          <t>Not started</t>
        </is>
      </c>
      <c r="F82" s="10" t="n"/>
      <c r="G82" s="10" t="n"/>
      <c r="H82" s="32">
        <f>IF(AND(A82&lt;&gt;"",E82&lt;&gt;"Done"),IF(D82&lt;&gt;"",D82,-7*N(C82))+ROW()/100000,"")</f>
        <v/>
      </c>
    </row>
    <row r="83">
      <c r="A83" s="10" t="inlineStr">
        <is>
          <t>Finalize the day-of timeline &amp; share with vendors</t>
        </is>
      </c>
      <c r="B83" s="10" t="inlineStr">
        <is>
          <t>Vendors</t>
        </is>
      </c>
      <c r="C83" s="10" t="n">
        <v>2</v>
      </c>
      <c r="D83" s="44">
        <f>IF(OR(A83="",C83="",'Start Here'!$B$7=""),"",'Start Here'!$B$7-7*C83)</f>
        <v/>
      </c>
      <c r="E83" s="10" t="inlineStr">
        <is>
          <t>Not started</t>
        </is>
      </c>
      <c r="F83" s="10" t="n"/>
      <c r="G83" s="10" t="n"/>
      <c r="H83" s="32">
        <f>IF(AND(A83&lt;&gt;"",E83&lt;&gt;"Done"),IF(D83&lt;&gt;"",D83,-7*N(C83))+ROW()/100000,"")</f>
        <v/>
      </c>
    </row>
    <row r="84">
      <c r="A84" s="10" t="inlineStr">
        <is>
          <t>Prepare final payments &amp; tip envelopes</t>
        </is>
      </c>
      <c r="B84" s="10" t="inlineStr">
        <is>
          <t>Vendors</t>
        </is>
      </c>
      <c r="C84" s="10" t="n">
        <v>2</v>
      </c>
      <c r="D84" s="44">
        <f>IF(OR(A84="",C84="",'Start Here'!$B$7=""),"",'Start Here'!$B$7-7*C84)</f>
        <v/>
      </c>
      <c r="E84" s="10" t="inlineStr">
        <is>
          <t>Not started</t>
        </is>
      </c>
      <c r="F84" s="10" t="n"/>
      <c r="G84" s="10" t="n"/>
      <c r="H84" s="32">
        <f>IF(AND(A84&lt;&gt;"",E84&lt;&gt;"Done"),IF(D84&lt;&gt;"",D84,-7*N(C84))+ROW()/100000,"")</f>
        <v/>
      </c>
    </row>
    <row r="85">
      <c r="A85" s="10" t="inlineStr">
        <is>
          <t>Confirm transportation pickup times</t>
        </is>
      </c>
      <c r="B85" s="10" t="inlineStr">
        <is>
          <t>Travel</t>
        </is>
      </c>
      <c r="C85" s="10" t="n">
        <v>2</v>
      </c>
      <c r="D85" s="44">
        <f>IF(OR(A85="",C85="",'Start Here'!$B$7=""),"",'Start Here'!$B$7-7*C85)</f>
        <v/>
      </c>
      <c r="E85" s="10" t="inlineStr">
        <is>
          <t>Not started</t>
        </is>
      </c>
      <c r="F85" s="10" t="n"/>
      <c r="G85" s="10" t="n"/>
      <c r="H85" s="32">
        <f>IF(AND(A85&lt;&gt;"",E85&lt;&gt;"Done"),IF(D85&lt;&gt;"",D85,-7*N(C85))+ROW()/100000,"")</f>
        <v/>
      </c>
    </row>
    <row r="86">
      <c r="A86" s="10" t="inlineStr">
        <is>
          <t>Choose a day-of point person</t>
        </is>
      </c>
      <c r="B86" s="10" t="inlineStr">
        <is>
          <t>Planning</t>
        </is>
      </c>
      <c r="C86" s="10" t="n">
        <v>2</v>
      </c>
      <c r="D86" s="44">
        <f>IF(OR(A86="",C86="",'Start Here'!$B$7=""),"",'Start Here'!$B$7-7*C86)</f>
        <v/>
      </c>
      <c r="E86" s="10" t="inlineStr">
        <is>
          <t>Not started</t>
        </is>
      </c>
      <c r="F86" s="10" t="n"/>
      <c r="G86" s="10" t="n"/>
      <c r="H86" s="32">
        <f>IF(AND(A86&lt;&gt;"",E86&lt;&gt;"Done"),IF(D86&lt;&gt;"",D86,-7*N(C86))+ROW()/100000,"")</f>
        <v/>
      </c>
    </row>
    <row r="87">
      <c r="A87" s="10" t="inlineStr">
        <is>
          <t>Print the seating chart &amp; place cards</t>
        </is>
      </c>
      <c r="B87" s="10" t="inlineStr">
        <is>
          <t>Stationery</t>
        </is>
      </c>
      <c r="C87" s="10" t="n">
        <v>2</v>
      </c>
      <c r="D87" s="44">
        <f>IF(OR(A87="",C87="",'Start Here'!$B$7=""),"",'Start Here'!$B$7-7*C87)</f>
        <v/>
      </c>
      <c r="E87" s="10" t="inlineStr">
        <is>
          <t>Not started</t>
        </is>
      </c>
      <c r="F87" s="10" t="n"/>
      <c r="G87" s="10" t="n"/>
      <c r="H87" s="32">
        <f>IF(AND(A87&lt;&gt;"",E87&lt;&gt;"Done"),IF(D87&lt;&gt;"",D87,-7*N(C87))+ROW()/100000,"")</f>
        <v/>
      </c>
    </row>
    <row r="88">
      <c r="A88" s="10" t="inlineStr">
        <is>
          <t>Pick up the wedding rings</t>
        </is>
      </c>
      <c r="B88" s="10" t="inlineStr">
        <is>
          <t>Attire</t>
        </is>
      </c>
      <c r="C88" s="10" t="n">
        <v>2</v>
      </c>
      <c r="D88" s="44">
        <f>IF(OR(A88="",C88="",'Start Here'!$B$7=""),"",'Start Here'!$B$7-7*C88)</f>
        <v/>
      </c>
      <c r="E88" s="10" t="inlineStr">
        <is>
          <t>Not started</t>
        </is>
      </c>
      <c r="F88" s="10" t="n"/>
      <c r="G88" s="10" t="n"/>
      <c r="H88" s="32">
        <f>IF(AND(A88&lt;&gt;"",E88&lt;&gt;"Done"),IF(D88&lt;&gt;"",D88,-7*N(C88))+ROW()/100000,"")</f>
        <v/>
      </c>
    </row>
    <row r="89">
      <c r="A89" s="10" t="inlineStr">
        <is>
          <t>Confirm honeymoon reservations</t>
        </is>
      </c>
      <c r="B89" s="10" t="inlineStr">
        <is>
          <t>Travel</t>
        </is>
      </c>
      <c r="C89" s="10" t="n">
        <v>2</v>
      </c>
      <c r="D89" s="44">
        <f>IF(OR(A89="",C89="",'Start Here'!$B$7=""),"",'Start Here'!$B$7-7*C89)</f>
        <v/>
      </c>
      <c r="E89" s="10" t="inlineStr">
        <is>
          <t>Not started</t>
        </is>
      </c>
      <c r="F89" s="10" t="n"/>
      <c r="G89" s="10" t="n"/>
      <c r="H89" s="32">
        <f>IF(AND(A89&lt;&gt;"",E89&lt;&gt;"Done"),IF(D89&lt;&gt;"",D89,-7*N(C89))+ROW()/100000,"")</f>
        <v/>
      </c>
    </row>
    <row r="90">
      <c r="A90" s="10" t="inlineStr">
        <is>
          <t>Arrange pet care / house sitting</t>
        </is>
      </c>
      <c r="B90" s="10" t="inlineStr">
        <is>
          <t>Planning</t>
        </is>
      </c>
      <c r="C90" s="10" t="n">
        <v>2</v>
      </c>
      <c r="D90" s="44">
        <f>IF(OR(A90="",C90="",'Start Here'!$B$7=""),"",'Start Here'!$B$7-7*C90)</f>
        <v/>
      </c>
      <c r="E90" s="10" t="inlineStr">
        <is>
          <t>Not started</t>
        </is>
      </c>
      <c r="F90" s="10" t="n"/>
      <c r="G90" s="10" t="n"/>
      <c r="H90" s="32">
        <f>IF(AND(A90&lt;&gt;"",E90&lt;&gt;"Done"),IF(D90&lt;&gt;"",D90,-7*N(C90))+ROW()/100000,"")</f>
        <v/>
      </c>
    </row>
    <row r="91">
      <c r="A91" s="10" t="inlineStr">
        <is>
          <t>Pack the day-of emergency kit</t>
        </is>
      </c>
      <c r="B91" s="10" t="inlineStr">
        <is>
          <t>Planning</t>
        </is>
      </c>
      <c r="C91" s="10" t="n">
        <v>1</v>
      </c>
      <c r="D91" s="44">
        <f>IF(OR(A91="",C91="",'Start Here'!$B$7=""),"",'Start Here'!$B$7-7*C91)</f>
        <v/>
      </c>
      <c r="E91" s="10" t="inlineStr">
        <is>
          <t>Not started</t>
        </is>
      </c>
      <c r="F91" s="10" t="n"/>
      <c r="G91" s="10" t="n"/>
      <c r="H91" s="32">
        <f>IF(AND(A91&lt;&gt;"",E91&lt;&gt;"Done"),IF(D91&lt;&gt;"",D91,-7*N(C91))+ROW()/100000,"")</f>
        <v/>
      </c>
    </row>
    <row r="92">
      <c r="A92" s="10" t="inlineStr">
        <is>
          <t>Get cash for tips</t>
        </is>
      </c>
      <c r="B92" s="10" t="inlineStr">
        <is>
          <t>Vendors</t>
        </is>
      </c>
      <c r="C92" s="10" t="n">
        <v>1</v>
      </c>
      <c r="D92" s="44">
        <f>IF(OR(A92="",C92="",'Start Here'!$B$7=""),"",'Start Here'!$B$7-7*C92)</f>
        <v/>
      </c>
      <c r="E92" s="10" t="inlineStr">
        <is>
          <t>Not started</t>
        </is>
      </c>
      <c r="F92" s="10" t="n"/>
      <c r="G92" s="10" t="n"/>
      <c r="H92" s="32">
        <f>IF(AND(A92&lt;&gt;"",E92&lt;&gt;"Done"),IF(D92&lt;&gt;"",D92,-7*N(C92))+ROW()/100000,"")</f>
        <v/>
      </c>
    </row>
    <row r="93">
      <c r="A93" s="10" t="inlineStr">
        <is>
          <t>Book manicures &amp; grooming appointments</t>
        </is>
      </c>
      <c r="B93" s="10" t="inlineStr">
        <is>
          <t>Beauty</t>
        </is>
      </c>
      <c r="C93" s="10" t="n">
        <v>1</v>
      </c>
      <c r="D93" s="44">
        <f>IF(OR(A93="",C93="",'Start Here'!$B$7=""),"",'Start Here'!$B$7-7*C93)</f>
        <v/>
      </c>
      <c r="E93" s="10" t="inlineStr">
        <is>
          <t>Not started</t>
        </is>
      </c>
      <c r="F93" s="10" t="n"/>
      <c r="G93" s="10" t="n"/>
      <c r="H93" s="32">
        <f>IF(AND(A93&lt;&gt;"",E93&lt;&gt;"Done"),IF(D93&lt;&gt;"",D93,-7*N(C93))+ROW()/100000,"")</f>
        <v/>
      </c>
    </row>
    <row r="94">
      <c r="A94" s="10" t="inlineStr">
        <is>
          <t>Pick up &amp; steam the attire</t>
        </is>
      </c>
      <c r="B94" s="10" t="inlineStr">
        <is>
          <t>Attire</t>
        </is>
      </c>
      <c r="C94" s="10" t="n">
        <v>1</v>
      </c>
      <c r="D94" s="44">
        <f>IF(OR(A94="",C94="",'Start Here'!$B$7=""),"",'Start Here'!$B$7-7*C94)</f>
        <v/>
      </c>
      <c r="E94" s="10" t="inlineStr">
        <is>
          <t>Not started</t>
        </is>
      </c>
      <c r="F94" s="10" t="n"/>
      <c r="G94" s="10" t="n"/>
      <c r="H94" s="32">
        <f>IF(AND(A94&lt;&gt;"",E94&lt;&gt;"Done"),IF(D94&lt;&gt;"",D94,-7*N(C94))+ROW()/100000,"")</f>
        <v/>
      </c>
    </row>
    <row r="95">
      <c r="A95" s="10" t="inlineStr">
        <is>
          <t>Deliver décor items to the venue</t>
        </is>
      </c>
      <c r="B95" s="10" t="inlineStr">
        <is>
          <t>Reception</t>
        </is>
      </c>
      <c r="C95" s="10" t="n">
        <v>1</v>
      </c>
      <c r="D95" s="44">
        <f>IF(OR(A95="",C95="",'Start Here'!$B$7=""),"",'Start Here'!$B$7-7*C95)</f>
        <v/>
      </c>
      <c r="E95" s="10" t="inlineStr">
        <is>
          <t>Not started</t>
        </is>
      </c>
      <c r="F95" s="10" t="n"/>
      <c r="G95" s="10" t="n"/>
      <c r="H95" s="32">
        <f>IF(AND(A95&lt;&gt;"",E95&lt;&gt;"Done"),IF(D95&lt;&gt;"",D95,-7*N(C95))+ROW()/100000,"")</f>
        <v/>
      </c>
    </row>
    <row r="96">
      <c r="A96" s="10" t="inlineStr">
        <is>
          <t>Pack for the honeymoon</t>
        </is>
      </c>
      <c r="B96" s="10" t="inlineStr">
        <is>
          <t>Travel</t>
        </is>
      </c>
      <c r="C96" s="10" t="n">
        <v>1</v>
      </c>
      <c r="D96" s="44">
        <f>IF(OR(A96="",C96="",'Start Here'!$B$7=""),"",'Start Here'!$B$7-7*C96)</f>
        <v/>
      </c>
      <c r="E96" s="10" t="inlineStr">
        <is>
          <t>Not started</t>
        </is>
      </c>
      <c r="F96" s="10" t="n"/>
      <c r="G96" s="10" t="n"/>
      <c r="H96" s="32">
        <f>IF(AND(A96&lt;&gt;"",E96&lt;&gt;"Done"),IF(D96&lt;&gt;"",D96,-7*N(C96))+ROW()/100000,"")</f>
        <v/>
      </c>
    </row>
    <row r="97">
      <c r="A97" s="10" t="inlineStr">
        <is>
          <t>Rehearsal &amp; rehearsal dinner</t>
        </is>
      </c>
      <c r="B97" s="10" t="inlineStr">
        <is>
          <t>Ceremony</t>
        </is>
      </c>
      <c r="C97" s="10" t="n">
        <v>1</v>
      </c>
      <c r="D97" s="44">
        <f>IF(OR(A97="",C97="",'Start Here'!$B$7=""),"",'Start Here'!$B$7-7*C97)</f>
        <v/>
      </c>
      <c r="E97" s="10" t="inlineStr">
        <is>
          <t>Not started</t>
        </is>
      </c>
      <c r="F97" s="10" t="n"/>
      <c r="G97" s="10" t="n"/>
      <c r="H97" s="32">
        <f>IF(AND(A97&lt;&gt;"",E97&lt;&gt;"Done"),IF(D97&lt;&gt;"",D97,-7*N(C97))+ROW()/100000,"")</f>
        <v/>
      </c>
    </row>
    <row r="98">
      <c r="A98" s="10" t="inlineStr">
        <is>
          <t>Set your out-of-office &amp; relax!</t>
        </is>
      </c>
      <c r="B98" s="10" t="inlineStr">
        <is>
          <t>Planning</t>
        </is>
      </c>
      <c r="C98" s="10" t="n">
        <v>1</v>
      </c>
      <c r="D98" s="44">
        <f>IF(OR(A98="",C98="",'Start Here'!$B$7=""),"",'Start Here'!$B$7-7*C98)</f>
        <v/>
      </c>
      <c r="E98" s="10" t="inlineStr">
        <is>
          <t>Not started</t>
        </is>
      </c>
      <c r="F98" s="10" t="n"/>
      <c r="G98" s="10" t="n"/>
      <c r="H98" s="32">
        <f>IF(AND(A98&lt;&gt;"",E98&lt;&gt;"Done"),IF(D98&lt;&gt;"",D98,-7*N(C98))+ROW()/100000,"")</f>
        <v/>
      </c>
    </row>
    <row r="99">
      <c r="A99" s="10" t="inlineStr">
        <is>
          <t>Return rentals &amp; borrowed items</t>
        </is>
      </c>
      <c r="B99" s="10" t="inlineStr">
        <is>
          <t>After</t>
        </is>
      </c>
      <c r="C99" s="10" t="n">
        <v>-1</v>
      </c>
      <c r="D99" s="44">
        <f>IF(OR(A99="",C99="",'Start Here'!$B$7=""),"",'Start Here'!$B$7-7*C99)</f>
        <v/>
      </c>
      <c r="E99" s="10" t="inlineStr">
        <is>
          <t>Not started</t>
        </is>
      </c>
      <c r="F99" s="10" t="n"/>
      <c r="G99" s="10" t="n"/>
      <c r="H99" s="32">
        <f>IF(AND(A99&lt;&gt;"",E99&lt;&gt;"Done"),IF(D99&lt;&gt;"",D99,-7*N(C99))+ROW()/100000,"")</f>
        <v/>
      </c>
    </row>
    <row r="100">
      <c r="A100" s="10" t="inlineStr">
        <is>
          <t>Have attire cleaned &amp; preserved</t>
        </is>
      </c>
      <c r="B100" s="10" t="inlineStr">
        <is>
          <t>After</t>
        </is>
      </c>
      <c r="C100" s="10" t="n">
        <v>-4</v>
      </c>
      <c r="D100" s="44">
        <f>IF(OR(A100="",C100="",'Start Here'!$B$7=""),"",'Start Here'!$B$7-7*C100)</f>
        <v/>
      </c>
      <c r="E100" s="10" t="inlineStr">
        <is>
          <t>Not started</t>
        </is>
      </c>
      <c r="F100" s="10" t="n"/>
      <c r="G100" s="10" t="n"/>
      <c r="H100" s="32">
        <f>IF(AND(A100&lt;&gt;"",E100&lt;&gt;"Done"),IF(D100&lt;&gt;"",D100,-7*N(C100))+ROW()/100000,"")</f>
        <v/>
      </c>
    </row>
    <row r="101">
      <c r="A101" s="10" t="inlineStr">
        <is>
          <t>Leave reviews for your vendors</t>
        </is>
      </c>
      <c r="B101" s="10" t="inlineStr">
        <is>
          <t>After</t>
        </is>
      </c>
      <c r="C101" s="10" t="n">
        <v>-4</v>
      </c>
      <c r="D101" s="44">
        <f>IF(OR(A101="",C101="",'Start Here'!$B$7=""),"",'Start Here'!$B$7-7*C101)</f>
        <v/>
      </c>
      <c r="E101" s="10" t="inlineStr">
        <is>
          <t>Not started</t>
        </is>
      </c>
      <c r="F101" s="10" t="n"/>
      <c r="G101" s="10" t="n"/>
      <c r="H101" s="32">
        <f>IF(AND(A101&lt;&gt;"",E101&lt;&gt;"Done"),IF(D101&lt;&gt;"",D101,-7*N(C101))+ROW()/100000,"")</f>
        <v/>
      </c>
    </row>
    <row r="102">
      <c r="A102" s="10" t="inlineStr">
        <is>
          <t>Send thank-you notes</t>
        </is>
      </c>
      <c r="B102" s="10" t="inlineStr">
        <is>
          <t>After</t>
        </is>
      </c>
      <c r="C102" s="10" t="n">
        <v>-8</v>
      </c>
      <c r="D102" s="44">
        <f>IF(OR(A102="",C102="",'Start Here'!$B$7=""),"",'Start Here'!$B$7-7*C102)</f>
        <v/>
      </c>
      <c r="E102" s="10" t="inlineStr">
        <is>
          <t>Not started</t>
        </is>
      </c>
      <c r="F102" s="10" t="n"/>
      <c r="G102" s="10" t="n"/>
      <c r="H102" s="32">
        <f>IF(AND(A102&lt;&gt;"",E102&lt;&gt;"Done"),IF(D102&lt;&gt;"",D102,-7*N(C102))+ROW()/100000,"")</f>
        <v/>
      </c>
    </row>
    <row r="103">
      <c r="A103" s="10" t="inlineStr">
        <is>
          <t>Update name &amp; documents (if changing)</t>
        </is>
      </c>
      <c r="B103" s="10" t="inlineStr">
        <is>
          <t>After</t>
        </is>
      </c>
      <c r="C103" s="10" t="n">
        <v>-8</v>
      </c>
      <c r="D103" s="44">
        <f>IF(OR(A103="",C103="",'Start Here'!$B$7=""),"",'Start Here'!$B$7-7*C103)</f>
        <v/>
      </c>
      <c r="E103" s="10" t="inlineStr">
        <is>
          <t>Not started</t>
        </is>
      </c>
      <c r="F103" s="10" t="n"/>
      <c r="G103" s="10" t="n"/>
      <c r="H103" s="32">
        <f>IF(AND(A103&lt;&gt;"",E103&lt;&gt;"Done"),IF(D103&lt;&gt;"",D103,-7*N(C103))+ROW()/100000,"")</f>
        <v/>
      </c>
    </row>
    <row r="104">
      <c r="A104" s="10" t="inlineStr">
        <is>
          <t>Order your wedding album</t>
        </is>
      </c>
      <c r="B104" s="10" t="inlineStr">
        <is>
          <t>After</t>
        </is>
      </c>
      <c r="C104" s="10" t="n">
        <v>-12</v>
      </c>
      <c r="D104" s="44">
        <f>IF(OR(A104="",C104="",'Start Here'!$B$7=""),"",'Start Here'!$B$7-7*C104)</f>
        <v/>
      </c>
      <c r="E104" s="10" t="inlineStr">
        <is>
          <t>Not started</t>
        </is>
      </c>
      <c r="F104" s="10" t="n"/>
      <c r="G104" s="10" t="n"/>
      <c r="H104" s="32">
        <f>IF(AND(A104&lt;&gt;"",E104&lt;&gt;"Done"),IF(D104&lt;&gt;"",D104,-7*N(C104))+ROW()/100000,"")</f>
        <v/>
      </c>
    </row>
    <row r="105">
      <c r="A105" s="10" t="n"/>
      <c r="B105" s="10" t="n"/>
      <c r="C105" s="10" t="n"/>
      <c r="D105" s="44">
        <f>IF(OR(A105="",C105="",'Start Here'!$B$7=""),"",'Start Here'!$B$7-7*C105)</f>
        <v/>
      </c>
      <c r="E105" s="10" t="n"/>
      <c r="F105" s="10" t="n"/>
      <c r="G105" s="10" t="n"/>
      <c r="H105" s="32">
        <f>IF(AND(A105&lt;&gt;"",E105&lt;&gt;"Done"),IF(D105&lt;&gt;"",D105,-7*N(C105))+ROW()/100000,"")</f>
        <v/>
      </c>
    </row>
    <row r="106">
      <c r="A106" s="10" t="n"/>
      <c r="B106" s="10" t="n"/>
      <c r="C106" s="10" t="n"/>
      <c r="D106" s="44">
        <f>IF(OR(A106="",C106="",'Start Here'!$B$7=""),"",'Start Here'!$B$7-7*C106)</f>
        <v/>
      </c>
      <c r="E106" s="10" t="n"/>
      <c r="F106" s="10" t="n"/>
      <c r="G106" s="10" t="n"/>
      <c r="H106" s="32">
        <f>IF(AND(A106&lt;&gt;"",E106&lt;&gt;"Done"),IF(D106&lt;&gt;"",D106,-7*N(C106))+ROW()/100000,"")</f>
        <v/>
      </c>
    </row>
    <row r="107">
      <c r="A107" s="10" t="n"/>
      <c r="B107" s="10" t="n"/>
      <c r="C107" s="10" t="n"/>
      <c r="D107" s="44">
        <f>IF(OR(A107="",C107="",'Start Here'!$B$7=""),"",'Start Here'!$B$7-7*C107)</f>
        <v/>
      </c>
      <c r="E107" s="10" t="n"/>
      <c r="F107" s="10" t="n"/>
      <c r="G107" s="10" t="n"/>
      <c r="H107" s="32">
        <f>IF(AND(A107&lt;&gt;"",E107&lt;&gt;"Done"),IF(D107&lt;&gt;"",D107,-7*N(C107))+ROW()/100000,"")</f>
        <v/>
      </c>
    </row>
    <row r="108">
      <c r="A108" s="10" t="n"/>
      <c r="B108" s="10" t="n"/>
      <c r="C108" s="10" t="n"/>
      <c r="D108" s="44">
        <f>IF(OR(A108="",C108="",'Start Here'!$B$7=""),"",'Start Here'!$B$7-7*C108)</f>
        <v/>
      </c>
      <c r="E108" s="10" t="n"/>
      <c r="F108" s="10" t="n"/>
      <c r="G108" s="10" t="n"/>
      <c r="H108" s="32">
        <f>IF(AND(A108&lt;&gt;"",E108&lt;&gt;"Done"),IF(D108&lt;&gt;"",D108,-7*N(C108))+ROW()/100000,"")</f>
        <v/>
      </c>
    </row>
    <row r="109">
      <c r="A109" s="10" t="n"/>
      <c r="B109" s="10" t="n"/>
      <c r="C109" s="10" t="n"/>
      <c r="D109" s="44">
        <f>IF(OR(A109="",C109="",'Start Here'!$B$7=""),"",'Start Here'!$B$7-7*C109)</f>
        <v/>
      </c>
      <c r="E109" s="10" t="n"/>
      <c r="F109" s="10" t="n"/>
      <c r="G109" s="10" t="n"/>
      <c r="H109" s="32">
        <f>IF(AND(A109&lt;&gt;"",E109&lt;&gt;"Done"),IF(D109&lt;&gt;"",D109,-7*N(C109))+ROW()/100000,"")</f>
        <v/>
      </c>
    </row>
    <row r="110">
      <c r="A110" s="10" t="n"/>
      <c r="B110" s="10" t="n"/>
      <c r="C110" s="10" t="n"/>
      <c r="D110" s="44">
        <f>IF(OR(A110="",C110="",'Start Here'!$B$7=""),"",'Start Here'!$B$7-7*C110)</f>
        <v/>
      </c>
      <c r="E110" s="10" t="n"/>
      <c r="F110" s="10" t="n"/>
      <c r="G110" s="10" t="n"/>
      <c r="H110" s="32">
        <f>IF(AND(A110&lt;&gt;"",E110&lt;&gt;"Done"),IF(D110&lt;&gt;"",D110,-7*N(C110))+ROW()/100000,"")</f>
        <v/>
      </c>
    </row>
    <row r="111">
      <c r="A111" s="10" t="n"/>
      <c r="B111" s="10" t="n"/>
      <c r="C111" s="10" t="n"/>
      <c r="D111" s="44">
        <f>IF(OR(A111="",C111="",'Start Here'!$B$7=""),"",'Start Here'!$B$7-7*C111)</f>
        <v/>
      </c>
      <c r="E111" s="10" t="n"/>
      <c r="F111" s="10" t="n"/>
      <c r="G111" s="10" t="n"/>
      <c r="H111" s="32">
        <f>IF(AND(A111&lt;&gt;"",E111&lt;&gt;"Done"),IF(D111&lt;&gt;"",D111,-7*N(C111))+ROW()/100000,"")</f>
        <v/>
      </c>
    </row>
    <row r="112">
      <c r="A112" s="10" t="n"/>
      <c r="B112" s="10" t="n"/>
      <c r="C112" s="10" t="n"/>
      <c r="D112" s="44">
        <f>IF(OR(A112="",C112="",'Start Here'!$B$7=""),"",'Start Here'!$B$7-7*C112)</f>
        <v/>
      </c>
      <c r="E112" s="10" t="n"/>
      <c r="F112" s="10" t="n"/>
      <c r="G112" s="10" t="n"/>
      <c r="H112" s="32">
        <f>IF(AND(A112&lt;&gt;"",E112&lt;&gt;"Done"),IF(D112&lt;&gt;"",D112,-7*N(C112))+ROW()/100000,"")</f>
        <v/>
      </c>
    </row>
    <row r="113">
      <c r="A113" s="10" t="n"/>
      <c r="B113" s="10" t="n"/>
      <c r="C113" s="10" t="n"/>
      <c r="D113" s="44">
        <f>IF(OR(A113="",C113="",'Start Here'!$B$7=""),"",'Start Here'!$B$7-7*C113)</f>
        <v/>
      </c>
      <c r="E113" s="10" t="n"/>
      <c r="F113" s="10" t="n"/>
      <c r="G113" s="10" t="n"/>
      <c r="H113" s="32">
        <f>IF(AND(A113&lt;&gt;"",E113&lt;&gt;"Done"),IF(D113&lt;&gt;"",D113,-7*N(C113))+ROW()/100000,"")</f>
        <v/>
      </c>
    </row>
    <row r="114">
      <c r="A114" s="10" t="n"/>
      <c r="B114" s="10" t="n"/>
      <c r="C114" s="10" t="n"/>
      <c r="D114" s="44">
        <f>IF(OR(A114="",C114="",'Start Here'!$B$7=""),"",'Start Here'!$B$7-7*C114)</f>
        <v/>
      </c>
      <c r="E114" s="10" t="n"/>
      <c r="F114" s="10" t="n"/>
      <c r="G114" s="10" t="n"/>
      <c r="H114" s="32">
        <f>IF(AND(A114&lt;&gt;"",E114&lt;&gt;"Done"),IF(D114&lt;&gt;"",D114,-7*N(C114))+ROW()/100000,"")</f>
        <v/>
      </c>
    </row>
    <row r="115">
      <c r="A115" s="10" t="n"/>
      <c r="B115" s="10" t="n"/>
      <c r="C115" s="10" t="n"/>
      <c r="D115" s="44">
        <f>IF(OR(A115="",C115="",'Start Here'!$B$7=""),"",'Start Here'!$B$7-7*C115)</f>
        <v/>
      </c>
      <c r="E115" s="10" t="n"/>
      <c r="F115" s="10" t="n"/>
      <c r="G115" s="10" t="n"/>
      <c r="H115" s="32">
        <f>IF(AND(A115&lt;&gt;"",E115&lt;&gt;"Done"),IF(D115&lt;&gt;"",D115,-7*N(C115))+ROW()/100000,"")</f>
        <v/>
      </c>
    </row>
    <row r="116">
      <c r="A116" s="10" t="n"/>
      <c r="B116" s="10" t="n"/>
      <c r="C116" s="10" t="n"/>
      <c r="D116" s="44">
        <f>IF(OR(A116="",C116="",'Start Here'!$B$7=""),"",'Start Here'!$B$7-7*C116)</f>
        <v/>
      </c>
      <c r="E116" s="10" t="n"/>
      <c r="F116" s="10" t="n"/>
      <c r="G116" s="10" t="n"/>
      <c r="H116" s="32">
        <f>IF(AND(A116&lt;&gt;"",E116&lt;&gt;"Done"),IF(D116&lt;&gt;"",D116,-7*N(C116))+ROW()/100000,"")</f>
        <v/>
      </c>
    </row>
    <row r="117">
      <c r="A117" s="10" t="n"/>
      <c r="B117" s="10" t="n"/>
      <c r="C117" s="10" t="n"/>
      <c r="D117" s="44">
        <f>IF(OR(A117="",C117="",'Start Here'!$B$7=""),"",'Start Here'!$B$7-7*C117)</f>
        <v/>
      </c>
      <c r="E117" s="10" t="n"/>
      <c r="F117" s="10" t="n"/>
      <c r="G117" s="10" t="n"/>
      <c r="H117" s="32">
        <f>IF(AND(A117&lt;&gt;"",E117&lt;&gt;"Done"),IF(D117&lt;&gt;"",D117,-7*N(C117))+ROW()/100000,"")</f>
        <v/>
      </c>
    </row>
    <row r="118">
      <c r="A118" s="10" t="n"/>
      <c r="B118" s="10" t="n"/>
      <c r="C118" s="10" t="n"/>
      <c r="D118" s="44">
        <f>IF(OR(A118="",C118="",'Start Here'!$B$7=""),"",'Start Here'!$B$7-7*C118)</f>
        <v/>
      </c>
      <c r="E118" s="10" t="n"/>
      <c r="F118" s="10" t="n"/>
      <c r="G118" s="10" t="n"/>
      <c r="H118" s="32">
        <f>IF(AND(A118&lt;&gt;"",E118&lt;&gt;"Done"),IF(D118&lt;&gt;"",D118,-7*N(C118))+ROW()/100000,"")</f>
        <v/>
      </c>
    </row>
    <row r="119">
      <c r="A119" s="10" t="n"/>
      <c r="B119" s="10" t="n"/>
      <c r="C119" s="10" t="n"/>
      <c r="D119" s="44">
        <f>IF(OR(A119="",C119="",'Start Here'!$B$7=""),"",'Start Here'!$B$7-7*C119)</f>
        <v/>
      </c>
      <c r="E119" s="10" t="n"/>
      <c r="F119" s="10" t="n"/>
      <c r="G119" s="10" t="n"/>
      <c r="H119" s="32">
        <f>IF(AND(A119&lt;&gt;"",E119&lt;&gt;"Done"),IF(D119&lt;&gt;"",D119,-7*N(C119))+ROW()/100000,"")</f>
        <v/>
      </c>
    </row>
    <row r="120">
      <c r="A120" s="10" t="n"/>
      <c r="B120" s="10" t="n"/>
      <c r="C120" s="10" t="n"/>
      <c r="D120" s="44">
        <f>IF(OR(A120="",C120="",'Start Here'!$B$7=""),"",'Start Here'!$B$7-7*C120)</f>
        <v/>
      </c>
      <c r="E120" s="10" t="n"/>
      <c r="F120" s="10" t="n"/>
      <c r="G120" s="10" t="n"/>
      <c r="H120" s="32">
        <f>IF(AND(A120&lt;&gt;"",E120&lt;&gt;"Done"),IF(D120&lt;&gt;"",D120,-7*N(C120))+ROW()/100000,"")</f>
        <v/>
      </c>
    </row>
    <row r="121">
      <c r="A121" s="10" t="n"/>
      <c r="B121" s="10" t="n"/>
      <c r="C121" s="10" t="n"/>
      <c r="D121" s="44">
        <f>IF(OR(A121="",C121="",'Start Here'!$B$7=""),"",'Start Here'!$B$7-7*C121)</f>
        <v/>
      </c>
      <c r="E121" s="10" t="n"/>
      <c r="F121" s="10" t="n"/>
      <c r="G121" s="10" t="n"/>
      <c r="H121" s="32">
        <f>IF(AND(A121&lt;&gt;"",E121&lt;&gt;"Done"),IF(D121&lt;&gt;"",D121,-7*N(C121))+ROW()/100000,"")</f>
        <v/>
      </c>
    </row>
    <row r="122">
      <c r="A122" s="10" t="n"/>
      <c r="B122" s="10" t="n"/>
      <c r="C122" s="10" t="n"/>
      <c r="D122" s="44">
        <f>IF(OR(A122="",C122="",'Start Here'!$B$7=""),"",'Start Here'!$B$7-7*C122)</f>
        <v/>
      </c>
      <c r="E122" s="10" t="n"/>
      <c r="F122" s="10" t="n"/>
      <c r="G122" s="10" t="n"/>
      <c r="H122" s="32">
        <f>IF(AND(A122&lt;&gt;"",E122&lt;&gt;"Done"),IF(D122&lt;&gt;"",D122,-7*N(C122))+ROW()/100000,"")</f>
        <v/>
      </c>
    </row>
    <row r="123">
      <c r="A123" s="10" t="n"/>
      <c r="B123" s="10" t="n"/>
      <c r="C123" s="10" t="n"/>
      <c r="D123" s="44">
        <f>IF(OR(A123="",C123="",'Start Here'!$B$7=""),"",'Start Here'!$B$7-7*C123)</f>
        <v/>
      </c>
      <c r="E123" s="10" t="n"/>
      <c r="F123" s="10" t="n"/>
      <c r="G123" s="10" t="n"/>
      <c r="H123" s="32">
        <f>IF(AND(A123&lt;&gt;"",E123&lt;&gt;"Done"),IF(D123&lt;&gt;"",D123,-7*N(C123))+ROW()/100000,"")</f>
        <v/>
      </c>
    </row>
    <row r="124">
      <c r="A124" s="10" t="n"/>
      <c r="B124" s="10" t="n"/>
      <c r="C124" s="10" t="n"/>
      <c r="D124" s="44">
        <f>IF(OR(A124="",C124="",'Start Here'!$B$7=""),"",'Start Here'!$B$7-7*C124)</f>
        <v/>
      </c>
      <c r="E124" s="10" t="n"/>
      <c r="F124" s="10" t="n"/>
      <c r="G124" s="10" t="n"/>
      <c r="H124" s="32">
        <f>IF(AND(A124&lt;&gt;"",E124&lt;&gt;"Done"),IF(D124&lt;&gt;"",D124,-7*N(C124))+ROW()/100000,"")</f>
        <v/>
      </c>
    </row>
    <row r="125">
      <c r="A125" s="10" t="n"/>
      <c r="B125" s="10" t="n"/>
      <c r="C125" s="10" t="n"/>
      <c r="D125" s="44">
        <f>IF(OR(A125="",C125="",'Start Here'!$B$7=""),"",'Start Here'!$B$7-7*C125)</f>
        <v/>
      </c>
      <c r="E125" s="10" t="n"/>
      <c r="F125" s="10" t="n"/>
      <c r="G125" s="10" t="n"/>
      <c r="H125" s="32">
        <f>IF(AND(A125&lt;&gt;"",E125&lt;&gt;"Done"),IF(D125&lt;&gt;"",D125,-7*N(C125))+ROW()/100000,"")</f>
        <v/>
      </c>
    </row>
  </sheetData>
  <conditionalFormatting sqref="A6:G125">
    <cfRule type="expression" priority="1" dxfId="5" stopIfTrue="0">
      <formula>$E6="Done"</formula>
    </cfRule>
    <cfRule type="expression" priority="2" dxfId="1" stopIfTrue="0">
      <formula>AND($D6&lt;&gt;"",$E6&lt;&gt;"Done",$D6&lt;TODAY())</formula>
    </cfRule>
    <cfRule type="expression" priority="3" dxfId="0" stopIfTrue="0">
      <formula>AND($D6&lt;&gt;"",$E6&lt;&gt;"Done",$D6&gt;=TODAY(),$D6-TODAY()&lt;=14)</formula>
    </cfRule>
  </conditionalFormatting>
  <dataValidations count="3">
    <dataValidation sqref="B6:B125" showDropDown="0" showInputMessage="0" showErrorMessage="0" allowBlank="1" type="list">
      <formula1>=Lists!$I$5:$I$16</formula1>
    </dataValidation>
    <dataValidation sqref="E6:E125" showDropDown="0" showInputMessage="0" showErrorMessage="0" allowBlank="1" type="list">
      <formula1>=Lists!$G$5:$G$16</formula1>
    </dataValidation>
    <dataValidation sqref="F6:F125" showDropDown="0" showInputMessage="0" showErrorMessage="0" allowBlank="1" type="list">
      <formula1>=Lists!$H$5:$H$16</formula1>
    </dataValidation>
  </dataValidations>
  <pageMargins left="0.5" right="0.5" top="0.6" bottom="0.6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D9CBA6"/>
    <outlinePr summaryBelow="1" summaryRight="1"/>
    <pageSetUpPr fitToPage="1"/>
  </sheetPr>
  <dimension ref="A1:R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0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24" customWidth="1" min="8" max="8"/>
    <col hidden="1" width="13" customWidth="1" min="9" max="9"/>
    <col width="3" customWidth="1" min="10" max="10"/>
    <col width="22" customWidth="1" min="11" max="11"/>
    <col width="9" customWidth="1" min="12" max="12"/>
    <col width="11" customWidth="1" min="13" max="13"/>
    <col width="11" customWidth="1" min="14" max="14"/>
    <col width="11" customWidth="1" min="15" max="15"/>
    <col width="11" customWidth="1" min="16" max="16"/>
    <col width="12" customWidth="1" min="17" max="17"/>
    <col width="24" customWidth="1" min="18" max="18"/>
  </cols>
  <sheetData>
    <row r="1" ht="30" customHeight="1">
      <c r="A1" s="1" t="inlineStr">
        <is>
          <t>Budget</t>
        </is>
      </c>
    </row>
    <row r="2">
      <c r="A2" s="11" t="inlineStr">
        <is>
          <t>Paid fills in from Payments (ticked ✓). Committed = actual cost, or estimate until you know it.</t>
        </is>
      </c>
    </row>
    <row r="3">
      <c r="A3" s="42">
        <f>IF('Start Here'!$B$11="","Add your total budget on Start Here","Committed "&amp;TEXT(SUM(I6:I105),"$#,##0")&amp;" of "&amp;TEXT('Start Here'!$B$11,"$#,##0")&amp;" · Paid "&amp;TEXT(SUM(F6:F105),"$#,##0"))</f>
        <v/>
      </c>
    </row>
    <row r="4"/>
    <row r="5" ht="30" customHeight="1">
      <c r="A5" s="43" t="inlineStr">
        <is>
          <t>Item</t>
        </is>
      </c>
      <c r="B5" s="43" t="inlineStr">
        <is>
          <t>Category</t>
        </is>
      </c>
      <c r="C5" s="43" t="inlineStr">
        <is>
          <t>Vendor</t>
        </is>
      </c>
      <c r="D5" s="43" t="inlineStr">
        <is>
          <t>Estimated</t>
        </is>
      </c>
      <c r="E5" s="43" t="inlineStr">
        <is>
          <t>Actual</t>
        </is>
      </c>
      <c r="F5" s="43" t="inlineStr">
        <is>
          <t>Paid</t>
        </is>
      </c>
      <c r="G5" s="43" t="inlineStr">
        <is>
          <t>Balance due</t>
        </is>
      </c>
      <c r="H5" s="43" t="inlineStr">
        <is>
          <t>Notes</t>
        </is>
      </c>
      <c r="K5" s="45" t="inlineStr">
        <is>
          <t>Category</t>
        </is>
      </c>
      <c r="L5" s="45" t="inlineStr">
        <is>
          <t>Target %</t>
        </is>
      </c>
      <c r="M5" s="45" t="inlineStr">
        <is>
          <t>Target $</t>
        </is>
      </c>
      <c r="N5" s="45" t="inlineStr">
        <is>
          <t>Estimated</t>
        </is>
      </c>
      <c r="O5" s="45" t="inlineStr">
        <is>
          <t>Actual</t>
        </is>
      </c>
      <c r="P5" s="45" t="inlineStr">
        <is>
          <t>Paid</t>
        </is>
      </c>
      <c r="Q5" s="45" t="inlineStr">
        <is>
          <t>Over / under</t>
        </is>
      </c>
      <c r="R5" s="45" t="inlineStr">
        <is>
          <t>Used</t>
        </is>
      </c>
    </row>
    <row r="6">
      <c r="A6" s="10" t="inlineStr">
        <is>
          <t>Ceremony venue fee</t>
        </is>
      </c>
      <c r="B6" s="10" t="inlineStr">
        <is>
          <t>Venue &amp; Catering</t>
        </is>
      </c>
      <c r="C6" s="10" t="n"/>
      <c r="D6" s="14" t="n"/>
      <c r="E6" s="14" t="n"/>
      <c r="F6" s="46">
        <f>IF(A6="","",SUMIFS(Payments!$C$6:$C$85,Payments!$B$6:$B$85,A6,Payments!$E$6:$E$85,"✓"))</f>
        <v/>
      </c>
      <c r="G6" s="46">
        <f>IF(A6="","",MAX(0,N(I6)-N(F6)))</f>
        <v/>
      </c>
      <c r="H6" s="10" t="n"/>
      <c r="I6" s="32">
        <f>IF(A6="","",IF(E6&lt;&gt;"",N(E6),N(D6)))</f>
        <v/>
      </c>
      <c r="K6" s="47">
        <f>IF(Lists!$A$5="","",Lists!$A$5)</f>
        <v/>
      </c>
      <c r="L6" s="48" t="n">
        <v>0.4</v>
      </c>
      <c r="M6" s="46">
        <f>IF(K6="","",N(L6)*N('Start Here'!$B$11))</f>
        <v/>
      </c>
      <c r="N6" s="49">
        <f>IF(K6="","",SUMIFS($D$6:$D$105,$B$6:$B$105,K6))</f>
        <v/>
      </c>
      <c r="O6" s="49">
        <f>IF(K6="","",SUMIFS($E$6:$E$105,$B$6:$B$105,K6))</f>
        <v/>
      </c>
      <c r="P6" s="49">
        <f>IF(K6="","",SUMIFS($F$6:$F$105,$B$6:$B$105,K6))</f>
        <v/>
      </c>
      <c r="Q6" s="49">
        <f>IF(K6="","",M6-SUMIFS($I$6:$I$105,$B$6:$B$105,K6))</f>
        <v/>
      </c>
      <c r="R6" s="50">
        <f>IF(OR(K6="",N(M6)=0),"",REPT("█",ROUND(MIN(1,MAX(0,SUMIFS($I$6:$I$105,$B$6:$B$105,K6)/M6))*12,0))&amp;REPT("░",12-ROUND(MIN(1,MAX(0,SUMIFS($I$6:$I$105,$B$6:$B$105,K6)/M6))*12,0)))</f>
        <v/>
      </c>
    </row>
    <row r="7">
      <c r="A7" s="10" t="inlineStr">
        <is>
          <t>Reception venue rental</t>
        </is>
      </c>
      <c r="B7" s="10" t="inlineStr">
        <is>
          <t>Venue &amp; Catering</t>
        </is>
      </c>
      <c r="C7" s="10" t="n"/>
      <c r="D7" s="14" t="n"/>
      <c r="E7" s="14" t="n"/>
      <c r="F7" s="46">
        <f>IF(A7="","",SUMIFS(Payments!$C$6:$C$85,Payments!$B$6:$B$85,A7,Payments!$E$6:$E$85,"✓"))</f>
        <v/>
      </c>
      <c r="G7" s="46">
        <f>IF(A7="","",MAX(0,N(I7)-N(F7)))</f>
        <v/>
      </c>
      <c r="H7" s="10" t="n"/>
      <c r="I7" s="32">
        <f>IF(A7="","",IF(E7&lt;&gt;"",N(E7),N(D7)))</f>
        <v/>
      </c>
      <c r="K7" s="47">
        <f>IF(Lists!$A$6="","",Lists!$A$6)</f>
        <v/>
      </c>
      <c r="L7" s="48" t="n">
        <v>0.12</v>
      </c>
      <c r="M7" s="46">
        <f>IF(K7="","",N(L7)*N('Start Here'!$B$11))</f>
        <v/>
      </c>
      <c r="N7" s="49">
        <f>IF(K7="","",SUMIFS($D$6:$D$105,$B$6:$B$105,K7))</f>
        <v/>
      </c>
      <c r="O7" s="49">
        <f>IF(K7="","",SUMIFS($E$6:$E$105,$B$6:$B$105,K7))</f>
        <v/>
      </c>
      <c r="P7" s="49">
        <f>IF(K7="","",SUMIFS($F$6:$F$105,$B$6:$B$105,K7))</f>
        <v/>
      </c>
      <c r="Q7" s="49">
        <f>IF(K7="","",M7-SUMIFS($I$6:$I$105,$B$6:$B$105,K7))</f>
        <v/>
      </c>
      <c r="R7" s="50">
        <f>IF(OR(K7="",N(M7)=0),"",REPT("█",ROUND(MIN(1,MAX(0,SUMIFS($I$6:$I$105,$B$6:$B$105,K7)/M7))*12,0))&amp;REPT("░",12-ROUND(MIN(1,MAX(0,SUMIFS($I$6:$I$105,$B$6:$B$105,K7)/M7))*12,0)))</f>
        <v/>
      </c>
    </row>
    <row r="8">
      <c r="A8" s="10" t="inlineStr">
        <is>
          <t>Catering (food)</t>
        </is>
      </c>
      <c r="B8" s="10" t="inlineStr">
        <is>
          <t>Venue &amp; Catering</t>
        </is>
      </c>
      <c r="C8" s="10" t="n"/>
      <c r="D8" s="14" t="n"/>
      <c r="E8" s="14" t="n"/>
      <c r="F8" s="46">
        <f>IF(A8="","",SUMIFS(Payments!$C$6:$C$85,Payments!$B$6:$B$85,A8,Payments!$E$6:$E$85,"✓"))</f>
        <v/>
      </c>
      <c r="G8" s="46">
        <f>IF(A8="","",MAX(0,N(I8)-N(F8)))</f>
        <v/>
      </c>
      <c r="H8" s="10" t="n"/>
      <c r="I8" s="32">
        <f>IF(A8="","",IF(E8&lt;&gt;"",N(E8),N(D8)))</f>
        <v/>
      </c>
      <c r="K8" s="47">
        <f>IF(Lists!$A$7="","",Lists!$A$7)</f>
        <v/>
      </c>
      <c r="L8" s="48" t="n">
        <v>0.09</v>
      </c>
      <c r="M8" s="46">
        <f>IF(K8="","",N(L8)*N('Start Here'!$B$11))</f>
        <v/>
      </c>
      <c r="N8" s="49">
        <f>IF(K8="","",SUMIFS($D$6:$D$105,$B$6:$B$105,K8))</f>
        <v/>
      </c>
      <c r="O8" s="49">
        <f>IF(K8="","",SUMIFS($E$6:$E$105,$B$6:$B$105,K8))</f>
        <v/>
      </c>
      <c r="P8" s="49">
        <f>IF(K8="","",SUMIFS($F$6:$F$105,$B$6:$B$105,K8))</f>
        <v/>
      </c>
      <c r="Q8" s="49">
        <f>IF(K8="","",M8-SUMIFS($I$6:$I$105,$B$6:$B$105,K8))</f>
        <v/>
      </c>
      <c r="R8" s="50">
        <f>IF(OR(K8="",N(M8)=0),"",REPT("█",ROUND(MIN(1,MAX(0,SUMIFS($I$6:$I$105,$B$6:$B$105,K8)/M8))*12,0))&amp;REPT("░",12-ROUND(MIN(1,MAX(0,SUMIFS($I$6:$I$105,$B$6:$B$105,K8)/M8))*12,0)))</f>
        <v/>
      </c>
    </row>
    <row r="9">
      <c r="A9" s="10" t="inlineStr">
        <is>
          <t>Bar &amp; beverages</t>
        </is>
      </c>
      <c r="B9" s="10" t="inlineStr">
        <is>
          <t>Venue &amp; Catering</t>
        </is>
      </c>
      <c r="C9" s="10" t="n"/>
      <c r="D9" s="14" t="n"/>
      <c r="E9" s="14" t="n"/>
      <c r="F9" s="46">
        <f>IF(A9="","",SUMIFS(Payments!$C$6:$C$85,Payments!$B$6:$B$85,A9,Payments!$E$6:$E$85,"✓"))</f>
        <v/>
      </c>
      <c r="G9" s="46">
        <f>IF(A9="","",MAX(0,N(I9)-N(F9)))</f>
        <v/>
      </c>
      <c r="H9" s="10" t="n"/>
      <c r="I9" s="32">
        <f>IF(A9="","",IF(E9&lt;&gt;"",N(E9),N(D9)))</f>
        <v/>
      </c>
      <c r="K9" s="47">
        <f>IF(Lists!$A$8="","",Lists!$A$8)</f>
        <v/>
      </c>
      <c r="L9" s="48" t="n">
        <v>0.08</v>
      </c>
      <c r="M9" s="46">
        <f>IF(K9="","",N(L9)*N('Start Here'!$B$11))</f>
        <v/>
      </c>
      <c r="N9" s="49">
        <f>IF(K9="","",SUMIFS($D$6:$D$105,$B$6:$B$105,K9))</f>
        <v/>
      </c>
      <c r="O9" s="49">
        <f>IF(K9="","",SUMIFS($E$6:$E$105,$B$6:$B$105,K9))</f>
        <v/>
      </c>
      <c r="P9" s="49">
        <f>IF(K9="","",SUMIFS($F$6:$F$105,$B$6:$B$105,K9))</f>
        <v/>
      </c>
      <c r="Q9" s="49">
        <f>IF(K9="","",M9-SUMIFS($I$6:$I$105,$B$6:$B$105,K9))</f>
        <v/>
      </c>
      <c r="R9" s="50">
        <f>IF(OR(K9="",N(M9)=0),"",REPT("█",ROUND(MIN(1,MAX(0,SUMIFS($I$6:$I$105,$B$6:$B$105,K9)/M9))*12,0))&amp;REPT("░",12-ROUND(MIN(1,MAX(0,SUMIFS($I$6:$I$105,$B$6:$B$105,K9)/M9))*12,0)))</f>
        <v/>
      </c>
    </row>
    <row r="10">
      <c r="A10" s="10" t="inlineStr">
        <is>
          <t>Service charge &amp; gratuity</t>
        </is>
      </c>
      <c r="B10" s="10" t="inlineStr">
        <is>
          <t>Venue &amp; Catering</t>
        </is>
      </c>
      <c r="C10" s="10" t="n"/>
      <c r="D10" s="14" t="n"/>
      <c r="E10" s="14" t="n"/>
      <c r="F10" s="46">
        <f>IF(A10="","",SUMIFS(Payments!$C$6:$C$85,Payments!$B$6:$B$85,A10,Payments!$E$6:$E$85,"✓"))</f>
        <v/>
      </c>
      <c r="G10" s="46">
        <f>IF(A10="","",MAX(0,N(I10)-N(F10)))</f>
        <v/>
      </c>
      <c r="H10" s="10" t="n"/>
      <c r="I10" s="32">
        <f>IF(A10="","",IF(E10&lt;&gt;"",N(E10),N(D10)))</f>
        <v/>
      </c>
      <c r="K10" s="47">
        <f>IF(Lists!$A$9="","",Lists!$A$9)</f>
        <v/>
      </c>
      <c r="L10" s="48" t="n">
        <v>0.08</v>
      </c>
      <c r="M10" s="46">
        <f>IF(K10="","",N(L10)*N('Start Here'!$B$11))</f>
        <v/>
      </c>
      <c r="N10" s="49">
        <f>IF(K10="","",SUMIFS($D$6:$D$105,$B$6:$B$105,K10))</f>
        <v/>
      </c>
      <c r="O10" s="49">
        <f>IF(K10="","",SUMIFS($E$6:$E$105,$B$6:$B$105,K10))</f>
        <v/>
      </c>
      <c r="P10" s="49">
        <f>IF(K10="","",SUMIFS($F$6:$F$105,$B$6:$B$105,K10))</f>
        <v/>
      </c>
      <c r="Q10" s="49">
        <f>IF(K10="","",M10-SUMIFS($I$6:$I$105,$B$6:$B$105,K10))</f>
        <v/>
      </c>
      <c r="R10" s="50">
        <f>IF(OR(K10="",N(M10)=0),"",REPT("█",ROUND(MIN(1,MAX(0,SUMIFS($I$6:$I$105,$B$6:$B$105,K10)/M10))*12,0))&amp;REPT("░",12-ROUND(MIN(1,MAX(0,SUMIFS($I$6:$I$105,$B$6:$B$105,K10)/M10))*12,0)))</f>
        <v/>
      </c>
    </row>
    <row r="11">
      <c r="A11" s="10" t="inlineStr">
        <is>
          <t>Photographer</t>
        </is>
      </c>
      <c r="B11" s="10" t="inlineStr">
        <is>
          <t>Photo &amp; Video</t>
        </is>
      </c>
      <c r="C11" s="10" t="n"/>
      <c r="D11" s="14" t="n"/>
      <c r="E11" s="14" t="n"/>
      <c r="F11" s="46">
        <f>IF(A11="","",SUMIFS(Payments!$C$6:$C$85,Payments!$B$6:$B$85,A11,Payments!$E$6:$E$85,"✓"))</f>
        <v/>
      </c>
      <c r="G11" s="46">
        <f>IF(A11="","",MAX(0,N(I11)-N(F11)))</f>
        <v/>
      </c>
      <c r="H11" s="10" t="n"/>
      <c r="I11" s="32">
        <f>IF(A11="","",IF(E11&lt;&gt;"",N(E11),N(D11)))</f>
        <v/>
      </c>
      <c r="K11" s="47">
        <f>IF(Lists!$A$10="","",Lists!$A$10)</f>
        <v/>
      </c>
      <c r="L11" s="48" t="n">
        <v>0.04</v>
      </c>
      <c r="M11" s="46">
        <f>IF(K11="","",N(L11)*N('Start Here'!$B$11))</f>
        <v/>
      </c>
      <c r="N11" s="49">
        <f>IF(K11="","",SUMIFS($D$6:$D$105,$B$6:$B$105,K11))</f>
        <v/>
      </c>
      <c r="O11" s="49">
        <f>IF(K11="","",SUMIFS($E$6:$E$105,$B$6:$B$105,K11))</f>
        <v/>
      </c>
      <c r="P11" s="49">
        <f>IF(K11="","",SUMIFS($F$6:$F$105,$B$6:$B$105,K11))</f>
        <v/>
      </c>
      <c r="Q11" s="49">
        <f>IF(K11="","",M11-SUMIFS($I$6:$I$105,$B$6:$B$105,K11))</f>
        <v/>
      </c>
      <c r="R11" s="50">
        <f>IF(OR(K11="",N(M11)=0),"",REPT("█",ROUND(MIN(1,MAX(0,SUMIFS($I$6:$I$105,$B$6:$B$105,K11)/M11))*12,0))&amp;REPT("░",12-ROUND(MIN(1,MAX(0,SUMIFS($I$6:$I$105,$B$6:$B$105,K11)/M11))*12,0)))</f>
        <v/>
      </c>
    </row>
    <row r="12">
      <c r="A12" s="10" t="inlineStr">
        <is>
          <t>Videographer</t>
        </is>
      </c>
      <c r="B12" s="10" t="inlineStr">
        <is>
          <t>Photo &amp; Video</t>
        </is>
      </c>
      <c r="C12" s="10" t="n"/>
      <c r="D12" s="14" t="n"/>
      <c r="E12" s="14" t="n"/>
      <c r="F12" s="46">
        <f>IF(A12="","",SUMIFS(Payments!$C$6:$C$85,Payments!$B$6:$B$85,A12,Payments!$E$6:$E$85,"✓"))</f>
        <v/>
      </c>
      <c r="G12" s="46">
        <f>IF(A12="","",MAX(0,N(I12)-N(F12)))</f>
        <v/>
      </c>
      <c r="H12" s="10" t="n"/>
      <c r="I12" s="32">
        <f>IF(A12="","",IF(E12&lt;&gt;"",N(E12),N(D12)))</f>
        <v/>
      </c>
      <c r="K12" s="47">
        <f>IF(Lists!$A$11="","",Lists!$A$11)</f>
        <v/>
      </c>
      <c r="L12" s="48" t="n">
        <v>0.03</v>
      </c>
      <c r="M12" s="46">
        <f>IF(K12="","",N(L12)*N('Start Here'!$B$11))</f>
        <v/>
      </c>
      <c r="N12" s="49">
        <f>IF(K12="","",SUMIFS($D$6:$D$105,$B$6:$B$105,K12))</f>
        <v/>
      </c>
      <c r="O12" s="49">
        <f>IF(K12="","",SUMIFS($E$6:$E$105,$B$6:$B$105,K12))</f>
        <v/>
      </c>
      <c r="P12" s="49">
        <f>IF(K12="","",SUMIFS($F$6:$F$105,$B$6:$B$105,K12))</f>
        <v/>
      </c>
      <c r="Q12" s="49">
        <f>IF(K12="","",M12-SUMIFS($I$6:$I$105,$B$6:$B$105,K12))</f>
        <v/>
      </c>
      <c r="R12" s="50">
        <f>IF(OR(K12="",N(M12)=0),"",REPT("█",ROUND(MIN(1,MAX(0,SUMIFS($I$6:$I$105,$B$6:$B$105,K12)/M12))*12,0))&amp;REPT("░",12-ROUND(MIN(1,MAX(0,SUMIFS($I$6:$I$105,$B$6:$B$105,K12)/M12))*12,0)))</f>
        <v/>
      </c>
    </row>
    <row r="13">
      <c r="A13" s="10" t="inlineStr">
        <is>
          <t>Engagement photos</t>
        </is>
      </c>
      <c r="B13" s="10" t="inlineStr">
        <is>
          <t>Photo &amp; Video</t>
        </is>
      </c>
      <c r="C13" s="10" t="n"/>
      <c r="D13" s="14" t="n"/>
      <c r="E13" s="14" t="n"/>
      <c r="F13" s="46">
        <f>IF(A13="","",SUMIFS(Payments!$C$6:$C$85,Payments!$B$6:$B$85,A13,Payments!$E$6:$E$85,"✓"))</f>
        <v/>
      </c>
      <c r="G13" s="46">
        <f>IF(A13="","",MAX(0,N(I13)-N(F13)))</f>
        <v/>
      </c>
      <c r="H13" s="10" t="n"/>
      <c r="I13" s="32">
        <f>IF(A13="","",IF(E13&lt;&gt;"",N(E13),N(D13)))</f>
        <v/>
      </c>
      <c r="K13" s="47">
        <f>IF(Lists!$A$12="","",Lists!$A$12)</f>
        <v/>
      </c>
      <c r="L13" s="48" t="n">
        <v>0.03</v>
      </c>
      <c r="M13" s="46">
        <f>IF(K13="","",N(L13)*N('Start Here'!$B$11))</f>
        <v/>
      </c>
      <c r="N13" s="49">
        <f>IF(K13="","",SUMIFS($D$6:$D$105,$B$6:$B$105,K13))</f>
        <v/>
      </c>
      <c r="O13" s="49">
        <f>IF(K13="","",SUMIFS($E$6:$E$105,$B$6:$B$105,K13))</f>
        <v/>
      </c>
      <c r="P13" s="49">
        <f>IF(K13="","",SUMIFS($F$6:$F$105,$B$6:$B$105,K13))</f>
        <v/>
      </c>
      <c r="Q13" s="49">
        <f>IF(K13="","",M13-SUMIFS($I$6:$I$105,$B$6:$B$105,K13))</f>
        <v/>
      </c>
      <c r="R13" s="50">
        <f>IF(OR(K13="",N(M13)=0),"",REPT("█",ROUND(MIN(1,MAX(0,SUMIFS($I$6:$I$105,$B$6:$B$105,K13)/M13))*12,0))&amp;REPT("░",12-ROUND(MIN(1,MAX(0,SUMIFS($I$6:$I$105,$B$6:$B$105,K13)/M13))*12,0)))</f>
        <v/>
      </c>
    </row>
    <row r="14">
      <c r="A14" s="10" t="inlineStr">
        <is>
          <t>Wedding album</t>
        </is>
      </c>
      <c r="B14" s="10" t="inlineStr">
        <is>
          <t>Photo &amp; Video</t>
        </is>
      </c>
      <c r="C14" s="10" t="n"/>
      <c r="D14" s="14" t="n"/>
      <c r="E14" s="14" t="n"/>
      <c r="F14" s="46">
        <f>IF(A14="","",SUMIFS(Payments!$C$6:$C$85,Payments!$B$6:$B$85,A14,Payments!$E$6:$E$85,"✓"))</f>
        <v/>
      </c>
      <c r="G14" s="46">
        <f>IF(A14="","",MAX(0,N(I14)-N(F14)))</f>
        <v/>
      </c>
      <c r="H14" s="10" t="n"/>
      <c r="I14" s="32">
        <f>IF(A14="","",IF(E14&lt;&gt;"",N(E14),N(D14)))</f>
        <v/>
      </c>
      <c r="K14" s="47">
        <f>IF(Lists!$A$13="","",Lists!$A$13)</f>
        <v/>
      </c>
      <c r="L14" s="48" t="n">
        <v>0.03</v>
      </c>
      <c r="M14" s="46">
        <f>IF(K14="","",N(L14)*N('Start Here'!$B$11))</f>
        <v/>
      </c>
      <c r="N14" s="49">
        <f>IF(K14="","",SUMIFS($D$6:$D$105,$B$6:$B$105,K14))</f>
        <v/>
      </c>
      <c r="O14" s="49">
        <f>IF(K14="","",SUMIFS($E$6:$E$105,$B$6:$B$105,K14))</f>
        <v/>
      </c>
      <c r="P14" s="49">
        <f>IF(K14="","",SUMIFS($F$6:$F$105,$B$6:$B$105,K14))</f>
        <v/>
      </c>
      <c r="Q14" s="49">
        <f>IF(K14="","",M14-SUMIFS($I$6:$I$105,$B$6:$B$105,K14))</f>
        <v/>
      </c>
      <c r="R14" s="50">
        <f>IF(OR(K14="",N(M14)=0),"",REPT("█",ROUND(MIN(1,MAX(0,SUMIFS($I$6:$I$105,$B$6:$B$105,K14)/M14))*12,0))&amp;REPT("░",12-ROUND(MIN(1,MAX(0,SUMIFS($I$6:$I$105,$B$6:$B$105,K14)/M14))*12,0)))</f>
        <v/>
      </c>
    </row>
    <row r="15">
      <c r="A15" s="10" t="inlineStr">
        <is>
          <t>Bouquets &amp; boutonnieres</t>
        </is>
      </c>
      <c r="B15" s="10" t="inlineStr">
        <is>
          <t>Flowers &amp; Decor</t>
        </is>
      </c>
      <c r="C15" s="10" t="n"/>
      <c r="D15" s="14" t="n"/>
      <c r="E15" s="14" t="n"/>
      <c r="F15" s="46">
        <f>IF(A15="","",SUMIFS(Payments!$C$6:$C$85,Payments!$B$6:$B$85,A15,Payments!$E$6:$E$85,"✓"))</f>
        <v/>
      </c>
      <c r="G15" s="46">
        <f>IF(A15="","",MAX(0,N(I15)-N(F15)))</f>
        <v/>
      </c>
      <c r="H15" s="10" t="n"/>
      <c r="I15" s="32">
        <f>IF(A15="","",IF(E15&lt;&gt;"",N(E15),N(D15)))</f>
        <v/>
      </c>
      <c r="K15" s="47">
        <f>IF(Lists!$A$14="","",Lists!$A$14)</f>
        <v/>
      </c>
      <c r="L15" s="48" t="n">
        <v>0.02</v>
      </c>
      <c r="M15" s="46">
        <f>IF(K15="","",N(L15)*N('Start Here'!$B$11))</f>
        <v/>
      </c>
      <c r="N15" s="49">
        <f>IF(K15="","",SUMIFS($D$6:$D$105,$B$6:$B$105,K15))</f>
        <v/>
      </c>
      <c r="O15" s="49">
        <f>IF(K15="","",SUMIFS($E$6:$E$105,$B$6:$B$105,K15))</f>
        <v/>
      </c>
      <c r="P15" s="49">
        <f>IF(K15="","",SUMIFS($F$6:$F$105,$B$6:$B$105,K15))</f>
        <v/>
      </c>
      <c r="Q15" s="49">
        <f>IF(K15="","",M15-SUMIFS($I$6:$I$105,$B$6:$B$105,K15))</f>
        <v/>
      </c>
      <c r="R15" s="50">
        <f>IF(OR(K15="",N(M15)=0),"",REPT("█",ROUND(MIN(1,MAX(0,SUMIFS($I$6:$I$105,$B$6:$B$105,K15)/M15))*12,0))&amp;REPT("░",12-ROUND(MIN(1,MAX(0,SUMIFS($I$6:$I$105,$B$6:$B$105,K15)/M15))*12,0)))</f>
        <v/>
      </c>
    </row>
    <row r="16">
      <c r="A16" s="10" t="inlineStr">
        <is>
          <t>Centerpieces</t>
        </is>
      </c>
      <c r="B16" s="10" t="inlineStr">
        <is>
          <t>Flowers &amp; Decor</t>
        </is>
      </c>
      <c r="C16" s="10" t="n"/>
      <c r="D16" s="14" t="n"/>
      <c r="E16" s="14" t="n"/>
      <c r="F16" s="46">
        <f>IF(A16="","",SUMIFS(Payments!$C$6:$C$85,Payments!$B$6:$B$85,A16,Payments!$E$6:$E$85,"✓"))</f>
        <v/>
      </c>
      <c r="G16" s="46">
        <f>IF(A16="","",MAX(0,N(I16)-N(F16)))</f>
        <v/>
      </c>
      <c r="H16" s="10" t="n"/>
      <c r="I16" s="32">
        <f>IF(A16="","",IF(E16&lt;&gt;"",N(E16),N(D16)))</f>
        <v/>
      </c>
      <c r="K16" s="47">
        <f>IF(Lists!$A$15="","",Lists!$A$15)</f>
        <v/>
      </c>
      <c r="L16" s="48" t="n">
        <v>0.02</v>
      </c>
      <c r="M16" s="46">
        <f>IF(K16="","",N(L16)*N('Start Here'!$B$11))</f>
        <v/>
      </c>
      <c r="N16" s="49">
        <f>IF(K16="","",SUMIFS($D$6:$D$105,$B$6:$B$105,K16))</f>
        <v/>
      </c>
      <c r="O16" s="49">
        <f>IF(K16="","",SUMIFS($E$6:$E$105,$B$6:$B$105,K16))</f>
        <v/>
      </c>
      <c r="P16" s="49">
        <f>IF(K16="","",SUMIFS($F$6:$F$105,$B$6:$B$105,K16))</f>
        <v/>
      </c>
      <c r="Q16" s="49">
        <f>IF(K16="","",M16-SUMIFS($I$6:$I$105,$B$6:$B$105,K16))</f>
        <v/>
      </c>
      <c r="R16" s="50">
        <f>IF(OR(K16="",N(M16)=0),"",REPT("█",ROUND(MIN(1,MAX(0,SUMIFS($I$6:$I$105,$B$6:$B$105,K16)/M16))*12,0))&amp;REPT("░",12-ROUND(MIN(1,MAX(0,SUMIFS($I$6:$I$105,$B$6:$B$105,K16)/M16))*12,0)))</f>
        <v/>
      </c>
    </row>
    <row r="17">
      <c r="A17" s="10" t="inlineStr">
        <is>
          <t>Ceremony décor</t>
        </is>
      </c>
      <c r="B17" s="10" t="inlineStr">
        <is>
          <t>Flowers &amp; Decor</t>
        </is>
      </c>
      <c r="C17" s="10" t="n"/>
      <c r="D17" s="14" t="n"/>
      <c r="E17" s="14" t="n"/>
      <c r="F17" s="46">
        <f>IF(A17="","",SUMIFS(Payments!$C$6:$C$85,Payments!$B$6:$B$85,A17,Payments!$E$6:$E$85,"✓"))</f>
        <v/>
      </c>
      <c r="G17" s="46">
        <f>IF(A17="","",MAX(0,N(I17)-N(F17)))</f>
        <v/>
      </c>
      <c r="H17" s="10" t="n"/>
      <c r="I17" s="32">
        <f>IF(A17="","",IF(E17&lt;&gt;"",N(E17),N(D17)))</f>
        <v/>
      </c>
      <c r="K17" s="47">
        <f>IF(Lists!$A$16="","",Lists!$A$16)</f>
        <v/>
      </c>
      <c r="L17" s="48" t="n">
        <v>0.02</v>
      </c>
      <c r="M17" s="46">
        <f>IF(K17="","",N(L17)*N('Start Here'!$B$11))</f>
        <v/>
      </c>
      <c r="N17" s="49">
        <f>IF(K17="","",SUMIFS($D$6:$D$105,$B$6:$B$105,K17))</f>
        <v/>
      </c>
      <c r="O17" s="49">
        <f>IF(K17="","",SUMIFS($E$6:$E$105,$B$6:$B$105,K17))</f>
        <v/>
      </c>
      <c r="P17" s="49">
        <f>IF(K17="","",SUMIFS($F$6:$F$105,$B$6:$B$105,K17))</f>
        <v/>
      </c>
      <c r="Q17" s="49">
        <f>IF(K17="","",M17-SUMIFS($I$6:$I$105,$B$6:$B$105,K17))</f>
        <v/>
      </c>
      <c r="R17" s="50">
        <f>IF(OR(K17="",N(M17)=0),"",REPT("█",ROUND(MIN(1,MAX(0,SUMIFS($I$6:$I$105,$B$6:$B$105,K17)/M17))*12,0))&amp;REPT("░",12-ROUND(MIN(1,MAX(0,SUMIFS($I$6:$I$105,$B$6:$B$105,K17)/M17))*12,0)))</f>
        <v/>
      </c>
    </row>
    <row r="18">
      <c r="A18" s="10" t="inlineStr">
        <is>
          <t>Lighting</t>
        </is>
      </c>
      <c r="B18" s="10" t="inlineStr">
        <is>
          <t>Flowers &amp; Decor</t>
        </is>
      </c>
      <c r="C18" s="10" t="n"/>
      <c r="D18" s="14" t="n"/>
      <c r="E18" s="14" t="n"/>
      <c r="F18" s="46">
        <f>IF(A18="","",SUMIFS(Payments!$C$6:$C$85,Payments!$B$6:$B$85,A18,Payments!$E$6:$E$85,"✓"))</f>
        <v/>
      </c>
      <c r="G18" s="46">
        <f>IF(A18="","",MAX(0,N(I18)-N(F18)))</f>
        <v/>
      </c>
      <c r="H18" s="10" t="n"/>
      <c r="I18" s="32">
        <f>IF(A18="","",IF(E18&lt;&gt;"",N(E18),N(D18)))</f>
        <v/>
      </c>
      <c r="K18" s="47">
        <f>IF(Lists!$A$17="","",Lists!$A$17)</f>
        <v/>
      </c>
      <c r="L18" s="48" t="n">
        <v>0.02</v>
      </c>
      <c r="M18" s="46">
        <f>IF(K18="","",N(L18)*N('Start Here'!$B$11))</f>
        <v/>
      </c>
      <c r="N18" s="49">
        <f>IF(K18="","",SUMIFS($D$6:$D$105,$B$6:$B$105,K18))</f>
        <v/>
      </c>
      <c r="O18" s="49">
        <f>IF(K18="","",SUMIFS($E$6:$E$105,$B$6:$B$105,K18))</f>
        <v/>
      </c>
      <c r="P18" s="49">
        <f>IF(K18="","",SUMIFS($F$6:$F$105,$B$6:$B$105,K18))</f>
        <v/>
      </c>
      <c r="Q18" s="49">
        <f>IF(K18="","",M18-SUMIFS($I$6:$I$105,$B$6:$B$105,K18))</f>
        <v/>
      </c>
      <c r="R18" s="50">
        <f>IF(OR(K18="",N(M18)=0),"",REPT("█",ROUND(MIN(1,MAX(0,SUMIFS($I$6:$I$105,$B$6:$B$105,K18)/M18))*12,0))&amp;REPT("░",12-ROUND(MIN(1,MAX(0,SUMIFS($I$6:$I$105,$B$6:$B$105,K18)/M18))*12,0)))</f>
        <v/>
      </c>
    </row>
    <row r="19">
      <c r="A19" s="10" t="inlineStr">
        <is>
          <t>Ceremony musicians</t>
        </is>
      </c>
      <c r="B19" s="10" t="inlineStr">
        <is>
          <t>Music &amp; Entertainment</t>
        </is>
      </c>
      <c r="C19" s="10" t="n"/>
      <c r="D19" s="14" t="n"/>
      <c r="E19" s="14" t="n"/>
      <c r="F19" s="46">
        <f>IF(A19="","",SUMIFS(Payments!$C$6:$C$85,Payments!$B$6:$B$85,A19,Payments!$E$6:$E$85,"✓"))</f>
        <v/>
      </c>
      <c r="G19" s="46">
        <f>IF(A19="","",MAX(0,N(I19)-N(F19)))</f>
        <v/>
      </c>
      <c r="H19" s="10" t="n"/>
      <c r="I19" s="32">
        <f>IF(A19="","",IF(E19&lt;&gt;"",N(E19),N(D19)))</f>
        <v/>
      </c>
      <c r="K19" s="47">
        <f>IF(Lists!$A$18="","",Lists!$A$18)</f>
        <v/>
      </c>
      <c r="L19" s="48" t="n">
        <v>0.02</v>
      </c>
      <c r="M19" s="46">
        <f>IF(K19="","",N(L19)*N('Start Here'!$B$11))</f>
        <v/>
      </c>
      <c r="N19" s="49">
        <f>IF(K19="","",SUMIFS($D$6:$D$105,$B$6:$B$105,K19))</f>
        <v/>
      </c>
      <c r="O19" s="49">
        <f>IF(K19="","",SUMIFS($E$6:$E$105,$B$6:$B$105,K19))</f>
        <v/>
      </c>
      <c r="P19" s="49">
        <f>IF(K19="","",SUMIFS($F$6:$F$105,$B$6:$B$105,K19))</f>
        <v/>
      </c>
      <c r="Q19" s="49">
        <f>IF(K19="","",M19-SUMIFS($I$6:$I$105,$B$6:$B$105,K19))</f>
        <v/>
      </c>
      <c r="R19" s="50">
        <f>IF(OR(K19="",N(M19)=0),"",REPT("█",ROUND(MIN(1,MAX(0,SUMIFS($I$6:$I$105,$B$6:$B$105,K19)/M19))*12,0))&amp;REPT("░",12-ROUND(MIN(1,MAX(0,SUMIFS($I$6:$I$105,$B$6:$B$105,K19)/M19))*12,0)))</f>
        <v/>
      </c>
    </row>
    <row r="20">
      <c r="A20" s="10" t="inlineStr">
        <is>
          <t>DJ or band</t>
        </is>
      </c>
      <c r="B20" s="10" t="inlineStr">
        <is>
          <t>Music &amp; Entertainment</t>
        </is>
      </c>
      <c r="C20" s="10" t="n"/>
      <c r="D20" s="14" t="n"/>
      <c r="E20" s="14" t="n"/>
      <c r="F20" s="46">
        <f>IF(A20="","",SUMIFS(Payments!$C$6:$C$85,Payments!$B$6:$B$85,A20,Payments!$E$6:$E$85,"✓"))</f>
        <v/>
      </c>
      <c r="G20" s="46">
        <f>IF(A20="","",MAX(0,N(I20)-N(F20)))</f>
        <v/>
      </c>
      <c r="H20" s="10" t="n"/>
      <c r="I20" s="32">
        <f>IF(A20="","",IF(E20&lt;&gt;"",N(E20),N(D20)))</f>
        <v/>
      </c>
      <c r="K20" s="47">
        <f>IF(Lists!$A$19="","",Lists!$A$19)</f>
        <v/>
      </c>
      <c r="L20" s="48" t="n"/>
      <c r="M20" s="46">
        <f>IF(K20="","",N(L20)*N('Start Here'!$B$11))</f>
        <v/>
      </c>
      <c r="N20" s="49">
        <f>IF(K20="","",SUMIFS($D$6:$D$105,$B$6:$B$105,K20))</f>
        <v/>
      </c>
      <c r="O20" s="49">
        <f>IF(K20="","",SUMIFS($E$6:$E$105,$B$6:$B$105,K20))</f>
        <v/>
      </c>
      <c r="P20" s="49">
        <f>IF(K20="","",SUMIFS($F$6:$F$105,$B$6:$B$105,K20))</f>
        <v/>
      </c>
      <c r="Q20" s="49">
        <f>IF(K20="","",M20-SUMIFS($I$6:$I$105,$B$6:$B$105,K20))</f>
        <v/>
      </c>
      <c r="R20" s="50">
        <f>IF(OR(K20="",N(M20)=0),"",REPT("█",ROUND(MIN(1,MAX(0,SUMIFS($I$6:$I$105,$B$6:$B$105,K20)/M20))*12,0))&amp;REPT("░",12-ROUND(MIN(1,MAX(0,SUMIFS($I$6:$I$105,$B$6:$B$105,K20)/M20))*12,0)))</f>
        <v/>
      </c>
    </row>
    <row r="21">
      <c r="A21" s="10" t="inlineStr">
        <is>
          <t>Photo booth</t>
        </is>
      </c>
      <c r="B21" s="10" t="inlineStr">
        <is>
          <t>Music &amp; Entertainment</t>
        </is>
      </c>
      <c r="C21" s="10" t="n"/>
      <c r="D21" s="14" t="n"/>
      <c r="E21" s="14" t="n"/>
      <c r="F21" s="46">
        <f>IF(A21="","",SUMIFS(Payments!$C$6:$C$85,Payments!$B$6:$B$85,A21,Payments!$E$6:$E$85,"✓"))</f>
        <v/>
      </c>
      <c r="G21" s="46">
        <f>IF(A21="","",MAX(0,N(I21)-N(F21)))</f>
        <v/>
      </c>
      <c r="H21" s="10" t="n"/>
      <c r="I21" s="32">
        <f>IF(A21="","",IF(E21&lt;&gt;"",N(E21),N(D21)))</f>
        <v/>
      </c>
      <c r="K21" s="47">
        <f>IF(Lists!$A$20="","",Lists!$A$20)</f>
        <v/>
      </c>
      <c r="L21" s="48" t="n"/>
      <c r="M21" s="46">
        <f>IF(K21="","",N(L21)*N('Start Here'!$B$11))</f>
        <v/>
      </c>
      <c r="N21" s="49">
        <f>IF(K21="","",SUMIFS($D$6:$D$105,$B$6:$B$105,K21))</f>
        <v/>
      </c>
      <c r="O21" s="49">
        <f>IF(K21="","",SUMIFS($E$6:$E$105,$B$6:$B$105,K21))</f>
        <v/>
      </c>
      <c r="P21" s="49">
        <f>IF(K21="","",SUMIFS($F$6:$F$105,$B$6:$B$105,K21))</f>
        <v/>
      </c>
      <c r="Q21" s="49">
        <f>IF(K21="","",M21-SUMIFS($I$6:$I$105,$B$6:$B$105,K21))</f>
        <v/>
      </c>
      <c r="R21" s="50">
        <f>IF(OR(K21="",N(M21)=0),"",REPT("█",ROUND(MIN(1,MAX(0,SUMIFS($I$6:$I$105,$B$6:$B$105,K21)/M21))*12,0))&amp;REPT("░",12-ROUND(MIN(1,MAX(0,SUMIFS($I$6:$I$105,$B$6:$B$105,K21)/M21))*12,0)))</f>
        <v/>
      </c>
    </row>
    <row r="22">
      <c r="A22" s="10" t="inlineStr">
        <is>
          <t>Partner 1 attire</t>
        </is>
      </c>
      <c r="B22" s="10" t="inlineStr">
        <is>
          <t>Attire &amp; Beauty</t>
        </is>
      </c>
      <c r="C22" s="10" t="n"/>
      <c r="D22" s="14" t="n"/>
      <c r="E22" s="14" t="n"/>
      <c r="F22" s="46">
        <f>IF(A22="","",SUMIFS(Payments!$C$6:$C$85,Payments!$B$6:$B$85,A22,Payments!$E$6:$E$85,"✓"))</f>
        <v/>
      </c>
      <c r="G22" s="46">
        <f>IF(A22="","",MAX(0,N(I22)-N(F22)))</f>
        <v/>
      </c>
      <c r="H22" s="10" t="n"/>
      <c r="I22" s="32">
        <f>IF(A22="","",IF(E22&lt;&gt;"",N(E22),N(D22)))</f>
        <v/>
      </c>
      <c r="K22" s="47">
        <f>IF(Lists!$A$21="","",Lists!$A$21)</f>
        <v/>
      </c>
      <c r="L22" s="48" t="n"/>
      <c r="M22" s="46">
        <f>IF(K22="","",N(L22)*N('Start Here'!$B$11))</f>
        <v/>
      </c>
      <c r="N22" s="49">
        <f>IF(K22="","",SUMIFS($D$6:$D$105,$B$6:$B$105,K22))</f>
        <v/>
      </c>
      <c r="O22" s="49">
        <f>IF(K22="","",SUMIFS($E$6:$E$105,$B$6:$B$105,K22))</f>
        <v/>
      </c>
      <c r="P22" s="49">
        <f>IF(K22="","",SUMIFS($F$6:$F$105,$B$6:$B$105,K22))</f>
        <v/>
      </c>
      <c r="Q22" s="49">
        <f>IF(K22="","",M22-SUMIFS($I$6:$I$105,$B$6:$B$105,K22))</f>
        <v/>
      </c>
      <c r="R22" s="50">
        <f>IF(OR(K22="",N(M22)=0),"",REPT("█",ROUND(MIN(1,MAX(0,SUMIFS($I$6:$I$105,$B$6:$B$105,K22)/M22))*12,0))&amp;REPT("░",12-ROUND(MIN(1,MAX(0,SUMIFS($I$6:$I$105,$B$6:$B$105,K22)/M22))*12,0)))</f>
        <v/>
      </c>
    </row>
    <row r="23">
      <c r="A23" s="10" t="inlineStr">
        <is>
          <t>Partner 2 attire</t>
        </is>
      </c>
      <c r="B23" s="10" t="inlineStr">
        <is>
          <t>Attire &amp; Beauty</t>
        </is>
      </c>
      <c r="C23" s="10" t="n"/>
      <c r="D23" s="14" t="n"/>
      <c r="E23" s="14" t="n"/>
      <c r="F23" s="46">
        <f>IF(A23="","",SUMIFS(Payments!$C$6:$C$85,Payments!$B$6:$B$85,A23,Payments!$E$6:$E$85,"✓"))</f>
        <v/>
      </c>
      <c r="G23" s="46">
        <f>IF(A23="","",MAX(0,N(I23)-N(F23)))</f>
        <v/>
      </c>
      <c r="H23" s="10" t="n"/>
      <c r="I23" s="32">
        <f>IF(A23="","",IF(E23&lt;&gt;"",N(E23),N(D23)))</f>
        <v/>
      </c>
      <c r="K23" s="47">
        <f>IF(Lists!$A$22="","",Lists!$A$22)</f>
        <v/>
      </c>
      <c r="L23" s="48" t="n"/>
      <c r="M23" s="46">
        <f>IF(K23="","",N(L23)*N('Start Here'!$B$11))</f>
        <v/>
      </c>
      <c r="N23" s="49">
        <f>IF(K23="","",SUMIFS($D$6:$D$105,$B$6:$B$105,K23))</f>
        <v/>
      </c>
      <c r="O23" s="49">
        <f>IF(K23="","",SUMIFS($E$6:$E$105,$B$6:$B$105,K23))</f>
        <v/>
      </c>
      <c r="P23" s="49">
        <f>IF(K23="","",SUMIFS($F$6:$F$105,$B$6:$B$105,K23))</f>
        <v/>
      </c>
      <c r="Q23" s="49">
        <f>IF(K23="","",M23-SUMIFS($I$6:$I$105,$B$6:$B$105,K23))</f>
        <v/>
      </c>
      <c r="R23" s="50">
        <f>IF(OR(K23="",N(M23)=0),"",REPT("█",ROUND(MIN(1,MAX(0,SUMIFS($I$6:$I$105,$B$6:$B$105,K23)/M23))*12,0))&amp;REPT("░",12-ROUND(MIN(1,MAX(0,SUMIFS($I$6:$I$105,$B$6:$B$105,K23)/M23))*12,0)))</f>
        <v/>
      </c>
    </row>
    <row r="24">
      <c r="A24" s="10" t="inlineStr">
        <is>
          <t>Alterations</t>
        </is>
      </c>
      <c r="B24" s="10" t="inlineStr">
        <is>
          <t>Attire &amp; Beauty</t>
        </is>
      </c>
      <c r="C24" s="10" t="n"/>
      <c r="D24" s="14" t="n"/>
      <c r="E24" s="14" t="n"/>
      <c r="F24" s="46">
        <f>IF(A24="","",SUMIFS(Payments!$C$6:$C$85,Payments!$B$6:$B$85,A24,Payments!$E$6:$E$85,"✓"))</f>
        <v/>
      </c>
      <c r="G24" s="46">
        <f>IF(A24="","",MAX(0,N(I24)-N(F24)))</f>
        <v/>
      </c>
      <c r="H24" s="10" t="n"/>
      <c r="I24" s="32">
        <f>IF(A24="","",IF(E24&lt;&gt;"",N(E24),N(D24)))</f>
        <v/>
      </c>
      <c r="K24" s="47">
        <f>IF(Lists!$A$23="","",Lists!$A$23)</f>
        <v/>
      </c>
      <c r="L24" s="48" t="n"/>
      <c r="M24" s="46">
        <f>IF(K24="","",N(L24)*N('Start Here'!$B$11))</f>
        <v/>
      </c>
      <c r="N24" s="49">
        <f>IF(K24="","",SUMIFS($D$6:$D$105,$B$6:$B$105,K24))</f>
        <v/>
      </c>
      <c r="O24" s="49">
        <f>IF(K24="","",SUMIFS($E$6:$E$105,$B$6:$B$105,K24))</f>
        <v/>
      </c>
      <c r="P24" s="49">
        <f>IF(K24="","",SUMIFS($F$6:$F$105,$B$6:$B$105,K24))</f>
        <v/>
      </c>
      <c r="Q24" s="49">
        <f>IF(K24="","",M24-SUMIFS($I$6:$I$105,$B$6:$B$105,K24))</f>
        <v/>
      </c>
      <c r="R24" s="50">
        <f>IF(OR(K24="",N(M24)=0),"",REPT("█",ROUND(MIN(1,MAX(0,SUMIFS($I$6:$I$105,$B$6:$B$105,K24)/M24))*12,0))&amp;REPT("░",12-ROUND(MIN(1,MAX(0,SUMIFS($I$6:$I$105,$B$6:$B$105,K24)/M24))*12,0)))</f>
        <v/>
      </c>
    </row>
    <row r="25">
      <c r="A25" s="10" t="inlineStr">
        <is>
          <t>Shoes &amp; accessories</t>
        </is>
      </c>
      <c r="B25" s="10" t="inlineStr">
        <is>
          <t>Attire &amp; Beauty</t>
        </is>
      </c>
      <c r="C25" s="10" t="n"/>
      <c r="D25" s="14" t="n"/>
      <c r="E25" s="14" t="n"/>
      <c r="F25" s="46">
        <f>IF(A25="","",SUMIFS(Payments!$C$6:$C$85,Payments!$B$6:$B$85,A25,Payments!$E$6:$E$85,"✓"))</f>
        <v/>
      </c>
      <c r="G25" s="46">
        <f>IF(A25="","",MAX(0,N(I25)-N(F25)))</f>
        <v/>
      </c>
      <c r="H25" s="10" t="n"/>
      <c r="I25" s="32">
        <f>IF(A25="","",IF(E25&lt;&gt;"",N(E25),N(D25)))</f>
        <v/>
      </c>
      <c r="K25" s="47">
        <f>IF(Lists!$A$24="","",Lists!$A$24)</f>
        <v/>
      </c>
      <c r="L25" s="48" t="n"/>
      <c r="M25" s="46">
        <f>IF(K25="","",N(L25)*N('Start Here'!$B$11))</f>
        <v/>
      </c>
      <c r="N25" s="49">
        <f>IF(K25="","",SUMIFS($D$6:$D$105,$B$6:$B$105,K25))</f>
        <v/>
      </c>
      <c r="O25" s="49">
        <f>IF(K25="","",SUMIFS($E$6:$E$105,$B$6:$B$105,K25))</f>
        <v/>
      </c>
      <c r="P25" s="49">
        <f>IF(K25="","",SUMIFS($F$6:$F$105,$B$6:$B$105,K25))</f>
        <v/>
      </c>
      <c r="Q25" s="49">
        <f>IF(K25="","",M25-SUMIFS($I$6:$I$105,$B$6:$B$105,K25))</f>
        <v/>
      </c>
      <c r="R25" s="50">
        <f>IF(OR(K25="",N(M25)=0),"",REPT("█",ROUND(MIN(1,MAX(0,SUMIFS($I$6:$I$105,$B$6:$B$105,K25)/M25))*12,0))&amp;REPT("░",12-ROUND(MIN(1,MAX(0,SUMIFS($I$6:$I$105,$B$6:$B$105,K25)/M25))*12,0)))</f>
        <v/>
      </c>
    </row>
    <row r="26">
      <c r="A26" s="10" t="inlineStr">
        <is>
          <t>Hair &amp; makeup</t>
        </is>
      </c>
      <c r="B26" s="10" t="inlineStr">
        <is>
          <t>Attire &amp; Beauty</t>
        </is>
      </c>
      <c r="C26" s="10" t="n"/>
      <c r="D26" s="14" t="n"/>
      <c r="E26" s="14" t="n"/>
      <c r="F26" s="46">
        <f>IF(A26="","",SUMIFS(Payments!$C$6:$C$85,Payments!$B$6:$B$85,A26,Payments!$E$6:$E$85,"✓"))</f>
        <v/>
      </c>
      <c r="G26" s="46">
        <f>IF(A26="","",MAX(0,N(I26)-N(F26)))</f>
        <v/>
      </c>
      <c r="H26" s="10" t="n"/>
      <c r="I26" s="32">
        <f>IF(A26="","",IF(E26&lt;&gt;"",N(E26),N(D26)))</f>
        <v/>
      </c>
      <c r="K26" s="51" t="inlineStr">
        <is>
          <t>Total</t>
        </is>
      </c>
      <c r="L26" s="52">
        <f>SUM(L6:L25)</f>
        <v/>
      </c>
      <c r="M26" s="53">
        <f>SUM(M6:M25)</f>
        <v/>
      </c>
      <c r="N26" s="53">
        <f>SUM(N6:N25)</f>
        <v/>
      </c>
      <c r="O26" s="53">
        <f>SUM(O6:O25)</f>
        <v/>
      </c>
      <c r="P26" s="53">
        <f>SUM(P6:P25)</f>
        <v/>
      </c>
      <c r="Q26" s="53">
        <f>SUM(Q6:Q25)</f>
        <v/>
      </c>
    </row>
    <row r="27">
      <c r="A27" s="10" t="inlineStr">
        <is>
          <t>Planner / day-of coordinator</t>
        </is>
      </c>
      <c r="B27" s="10" t="inlineStr">
        <is>
          <t>Planner &amp; Coordination</t>
        </is>
      </c>
      <c r="C27" s="10" t="n"/>
      <c r="D27" s="14" t="n"/>
      <c r="E27" s="14" t="n"/>
      <c r="F27" s="46">
        <f>IF(A27="","",SUMIFS(Payments!$C$6:$C$85,Payments!$B$6:$B$85,A27,Payments!$E$6:$E$85,"✓"))</f>
        <v/>
      </c>
      <c r="G27" s="46">
        <f>IF(A27="","",MAX(0,N(I27)-N(F27)))</f>
        <v/>
      </c>
      <c r="H27" s="10" t="n"/>
      <c r="I27" s="32">
        <f>IF(A27="","",IF(E27&lt;&gt;"",N(E27),N(D27)))</f>
        <v/>
      </c>
      <c r="K27" s="54">
        <f>IF(ROUND(L26,2)&lt;&gt;1,"Target % adds up to "&amp;TEXT(L26,"0%")&amp;" (aim for 100%)","")</f>
        <v/>
      </c>
    </row>
    <row r="28">
      <c r="A28" s="10" t="inlineStr">
        <is>
          <t>Wedding rings</t>
        </is>
      </c>
      <c r="B28" s="10" t="inlineStr">
        <is>
          <t>Rings</t>
        </is>
      </c>
      <c r="C28" s="10" t="n"/>
      <c r="D28" s="14" t="n"/>
      <c r="E28" s="14" t="n"/>
      <c r="F28" s="46">
        <f>IF(A28="","",SUMIFS(Payments!$C$6:$C$85,Payments!$B$6:$B$85,A28,Payments!$E$6:$E$85,"✓"))</f>
        <v/>
      </c>
      <c r="G28" s="46">
        <f>IF(A28="","",MAX(0,N(I28)-N(F28)))</f>
        <v/>
      </c>
      <c r="H28" s="10" t="n"/>
      <c r="I28" s="32">
        <f>IF(A28="","",IF(E28&lt;&gt;"",N(E28),N(D28)))</f>
        <v/>
      </c>
    </row>
    <row r="29">
      <c r="A29" s="10" t="inlineStr">
        <is>
          <t>Engraving</t>
        </is>
      </c>
      <c r="B29" s="10" t="inlineStr">
        <is>
          <t>Rings</t>
        </is>
      </c>
      <c r="C29" s="10" t="n"/>
      <c r="D29" s="14" t="n"/>
      <c r="E29" s="14" t="n"/>
      <c r="F29" s="46">
        <f>IF(A29="","",SUMIFS(Payments!$C$6:$C$85,Payments!$B$6:$B$85,A29,Payments!$E$6:$E$85,"✓"))</f>
        <v/>
      </c>
      <c r="G29" s="46">
        <f>IF(A29="","",MAX(0,N(I29)-N(F29)))</f>
        <v/>
      </c>
      <c r="H29" s="10" t="n"/>
      <c r="I29" s="32">
        <f>IF(A29="","",IF(E29&lt;&gt;"",N(E29),N(D29)))</f>
        <v/>
      </c>
    </row>
    <row r="30">
      <c r="A30" s="10" t="inlineStr">
        <is>
          <t>Tables &amp; chairs</t>
        </is>
      </c>
      <c r="B30" s="10" t="inlineStr">
        <is>
          <t>Rentals</t>
        </is>
      </c>
      <c r="C30" s="10" t="n"/>
      <c r="D30" s="14" t="n"/>
      <c r="E30" s="14" t="n"/>
      <c r="F30" s="46">
        <f>IF(A30="","",SUMIFS(Payments!$C$6:$C$85,Payments!$B$6:$B$85,A30,Payments!$E$6:$E$85,"✓"))</f>
        <v/>
      </c>
      <c r="G30" s="46">
        <f>IF(A30="","",MAX(0,N(I30)-N(F30)))</f>
        <v/>
      </c>
      <c r="H30" s="10" t="n"/>
      <c r="I30" s="32">
        <f>IF(A30="","",IF(E30&lt;&gt;"",N(E30),N(D30)))</f>
        <v/>
      </c>
    </row>
    <row r="31">
      <c r="A31" s="10" t="inlineStr">
        <is>
          <t>Linens &amp; tableware</t>
        </is>
      </c>
      <c r="B31" s="10" t="inlineStr">
        <is>
          <t>Rentals</t>
        </is>
      </c>
      <c r="C31" s="10" t="n"/>
      <c r="D31" s="14" t="n"/>
      <c r="E31" s="14" t="n"/>
      <c r="F31" s="46">
        <f>IF(A31="","",SUMIFS(Payments!$C$6:$C$85,Payments!$B$6:$B$85,A31,Payments!$E$6:$E$85,"✓"))</f>
        <v/>
      </c>
      <c r="G31" s="46">
        <f>IF(A31="","",MAX(0,N(I31)-N(F31)))</f>
        <v/>
      </c>
      <c r="H31" s="10" t="n"/>
      <c r="I31" s="32">
        <f>IF(A31="","",IF(E31&lt;&gt;"",N(E31),N(D31)))</f>
        <v/>
      </c>
    </row>
    <row r="32">
      <c r="A32" s="10" t="inlineStr">
        <is>
          <t>Emergency fund</t>
        </is>
      </c>
      <c r="B32" s="10" t="inlineStr">
        <is>
          <t>Contingency</t>
        </is>
      </c>
      <c r="C32" s="10" t="n"/>
      <c r="D32" s="14" t="n"/>
      <c r="E32" s="14" t="n"/>
      <c r="F32" s="46">
        <f>IF(A32="","",SUMIFS(Payments!$C$6:$C$85,Payments!$B$6:$B$85,A32,Payments!$E$6:$E$85,"✓"))</f>
        <v/>
      </c>
      <c r="G32" s="46">
        <f>IF(A32="","",MAX(0,N(I32)-N(F32)))</f>
        <v/>
      </c>
      <c r="H32" s="10" t="n"/>
      <c r="I32" s="32">
        <f>IF(A32="","",IF(E32&lt;&gt;"",N(E32),N(D32)))</f>
        <v/>
      </c>
    </row>
    <row r="33">
      <c r="A33" s="10" t="inlineStr">
        <is>
          <t>Vendor tips</t>
        </is>
      </c>
      <c r="B33" s="10" t="inlineStr">
        <is>
          <t>Contingency</t>
        </is>
      </c>
      <c r="C33" s="10" t="n"/>
      <c r="D33" s="14" t="n"/>
      <c r="E33" s="14" t="n"/>
      <c r="F33" s="46">
        <f>IF(A33="","",SUMIFS(Payments!$C$6:$C$85,Payments!$B$6:$B$85,A33,Payments!$E$6:$E$85,"✓"))</f>
        <v/>
      </c>
      <c r="G33" s="46">
        <f>IF(A33="","",MAX(0,N(I33)-N(F33)))</f>
        <v/>
      </c>
      <c r="H33" s="10" t="n"/>
      <c r="I33" s="32">
        <f>IF(A33="","",IF(E33&lt;&gt;"",N(E33),N(D33)))</f>
        <v/>
      </c>
    </row>
    <row r="34">
      <c r="A34" s="10" t="inlineStr">
        <is>
          <t>Officiant fee</t>
        </is>
      </c>
      <c r="B34" s="10" t="inlineStr">
        <is>
          <t>Ceremony &amp; Officiant</t>
        </is>
      </c>
      <c r="C34" s="10" t="n"/>
      <c r="D34" s="14" t="n"/>
      <c r="E34" s="14" t="n"/>
      <c r="F34" s="46">
        <f>IF(A34="","",SUMIFS(Payments!$C$6:$C$85,Payments!$B$6:$B$85,A34,Payments!$E$6:$E$85,"✓"))</f>
        <v/>
      </c>
      <c r="G34" s="46">
        <f>IF(A34="","",MAX(0,N(I34)-N(F34)))</f>
        <v/>
      </c>
      <c r="H34" s="10" t="n"/>
      <c r="I34" s="32">
        <f>IF(A34="","",IF(E34&lt;&gt;"",N(E34),N(D34)))</f>
        <v/>
      </c>
    </row>
    <row r="35">
      <c r="A35" s="10" t="inlineStr">
        <is>
          <t>Marriage license</t>
        </is>
      </c>
      <c r="B35" s="10" t="inlineStr">
        <is>
          <t>Ceremony &amp; Officiant</t>
        </is>
      </c>
      <c r="C35" s="10" t="n"/>
      <c r="D35" s="14" t="n"/>
      <c r="E35" s="14" t="n"/>
      <c r="F35" s="46">
        <f>IF(A35="","",SUMIFS(Payments!$C$6:$C$85,Payments!$B$6:$B$85,A35,Payments!$E$6:$E$85,"✓"))</f>
        <v/>
      </c>
      <c r="G35" s="46">
        <f>IF(A35="","",MAX(0,N(I35)-N(F35)))</f>
        <v/>
      </c>
      <c r="H35" s="10" t="n"/>
      <c r="I35" s="32">
        <f>IF(A35="","",IF(E35&lt;&gt;"",N(E35),N(D35)))</f>
        <v/>
      </c>
    </row>
    <row r="36">
      <c r="A36" s="10" t="inlineStr">
        <is>
          <t>Save-the-dates</t>
        </is>
      </c>
      <c r="B36" s="10" t="inlineStr">
        <is>
          <t>Stationery &amp; Postage</t>
        </is>
      </c>
      <c r="C36" s="10" t="n"/>
      <c r="D36" s="14" t="n"/>
      <c r="E36" s="14" t="n"/>
      <c r="F36" s="46">
        <f>IF(A36="","",SUMIFS(Payments!$C$6:$C$85,Payments!$B$6:$B$85,A36,Payments!$E$6:$E$85,"✓"))</f>
        <v/>
      </c>
      <c r="G36" s="46">
        <f>IF(A36="","",MAX(0,N(I36)-N(F36)))</f>
        <v/>
      </c>
      <c r="H36" s="10" t="n"/>
      <c r="I36" s="32">
        <f>IF(A36="","",IF(E36&lt;&gt;"",N(E36),N(D36)))</f>
        <v/>
      </c>
    </row>
    <row r="37">
      <c r="A37" s="10" t="inlineStr">
        <is>
          <t>Invitations &amp; postage</t>
        </is>
      </c>
      <c r="B37" s="10" t="inlineStr">
        <is>
          <t>Stationery &amp; Postage</t>
        </is>
      </c>
      <c r="C37" s="10" t="n"/>
      <c r="D37" s="14" t="n"/>
      <c r="E37" s="14" t="n"/>
      <c r="F37" s="46">
        <f>IF(A37="","",SUMIFS(Payments!$C$6:$C$85,Payments!$B$6:$B$85,A37,Payments!$E$6:$E$85,"✓"))</f>
        <v/>
      </c>
      <c r="G37" s="46">
        <f>IF(A37="","",MAX(0,N(I37)-N(F37)))</f>
        <v/>
      </c>
      <c r="H37" s="10" t="n"/>
      <c r="I37" s="32">
        <f>IF(A37="","",IF(E37&lt;&gt;"",N(E37),N(D37)))</f>
        <v/>
      </c>
    </row>
    <row r="38">
      <c r="A38" s="10" t="inlineStr">
        <is>
          <t>Day-of stationery</t>
        </is>
      </c>
      <c r="B38" s="10" t="inlineStr">
        <is>
          <t>Stationery &amp; Postage</t>
        </is>
      </c>
      <c r="C38" s="10" t="n"/>
      <c r="D38" s="14" t="n"/>
      <c r="E38" s="14" t="n"/>
      <c r="F38" s="46">
        <f>IF(A38="","",SUMIFS(Payments!$C$6:$C$85,Payments!$B$6:$B$85,A38,Payments!$E$6:$E$85,"✓"))</f>
        <v/>
      </c>
      <c r="G38" s="46">
        <f>IF(A38="","",MAX(0,N(I38)-N(F38)))</f>
        <v/>
      </c>
      <c r="H38" s="10" t="n"/>
      <c r="I38" s="32">
        <f>IF(A38="","",IF(E38&lt;&gt;"",N(E38),N(D38)))</f>
        <v/>
      </c>
    </row>
    <row r="39">
      <c r="A39" s="10" t="inlineStr">
        <is>
          <t>Thank-you cards</t>
        </is>
      </c>
      <c r="B39" s="10" t="inlineStr">
        <is>
          <t>Stationery &amp; Postage</t>
        </is>
      </c>
      <c r="C39" s="10" t="n"/>
      <c r="D39" s="14" t="n"/>
      <c r="E39" s="14" t="n"/>
      <c r="F39" s="46">
        <f>IF(A39="","",SUMIFS(Payments!$C$6:$C$85,Payments!$B$6:$B$85,A39,Payments!$E$6:$E$85,"✓"))</f>
        <v/>
      </c>
      <c r="G39" s="46">
        <f>IF(A39="","",MAX(0,N(I39)-N(F39)))</f>
        <v/>
      </c>
      <c r="H39" s="10" t="n"/>
      <c r="I39" s="32">
        <f>IF(A39="","",IF(E39&lt;&gt;"",N(E39),N(D39)))</f>
        <v/>
      </c>
    </row>
    <row r="40">
      <c r="A40" s="10" t="inlineStr">
        <is>
          <t>Wedding cake</t>
        </is>
      </c>
      <c r="B40" s="10" t="inlineStr">
        <is>
          <t>Cake &amp; Desserts</t>
        </is>
      </c>
      <c r="C40" s="10" t="n"/>
      <c r="D40" s="14" t="n"/>
      <c r="E40" s="14" t="n"/>
      <c r="F40" s="46">
        <f>IF(A40="","",SUMIFS(Payments!$C$6:$C$85,Payments!$B$6:$B$85,A40,Payments!$E$6:$E$85,"✓"))</f>
        <v/>
      </c>
      <c r="G40" s="46">
        <f>IF(A40="","",MAX(0,N(I40)-N(F40)))</f>
        <v/>
      </c>
      <c r="H40" s="10" t="n"/>
      <c r="I40" s="32">
        <f>IF(A40="","",IF(E40&lt;&gt;"",N(E40),N(D40)))</f>
        <v/>
      </c>
    </row>
    <row r="41">
      <c r="A41" s="10" t="inlineStr">
        <is>
          <t>Dessert table</t>
        </is>
      </c>
      <c r="B41" s="10" t="inlineStr">
        <is>
          <t>Cake &amp; Desserts</t>
        </is>
      </c>
      <c r="C41" s="10" t="n"/>
      <c r="D41" s="14" t="n"/>
      <c r="E41" s="14" t="n"/>
      <c r="F41" s="46">
        <f>IF(A41="","",SUMIFS(Payments!$C$6:$C$85,Payments!$B$6:$B$85,A41,Payments!$E$6:$E$85,"✓"))</f>
        <v/>
      </c>
      <c r="G41" s="46">
        <f>IF(A41="","",MAX(0,N(I41)-N(F41)))</f>
        <v/>
      </c>
      <c r="H41" s="10" t="n"/>
      <c r="I41" s="32">
        <f>IF(A41="","",IF(E41&lt;&gt;"",N(E41),N(D41)))</f>
        <v/>
      </c>
    </row>
    <row r="42">
      <c r="A42" s="10" t="inlineStr">
        <is>
          <t>Couple's transportation</t>
        </is>
      </c>
      <c r="B42" s="10" t="inlineStr">
        <is>
          <t>Transportation</t>
        </is>
      </c>
      <c r="C42" s="10" t="n"/>
      <c r="D42" s="14" t="n"/>
      <c r="E42" s="14" t="n"/>
      <c r="F42" s="46">
        <f>IF(A42="","",SUMIFS(Payments!$C$6:$C$85,Payments!$B$6:$B$85,A42,Payments!$E$6:$E$85,"✓"))</f>
        <v/>
      </c>
      <c r="G42" s="46">
        <f>IF(A42="","",MAX(0,N(I42)-N(F42)))</f>
        <v/>
      </c>
      <c r="H42" s="10" t="n"/>
      <c r="I42" s="32">
        <f>IF(A42="","",IF(E42&lt;&gt;"",N(E42),N(D42)))</f>
        <v/>
      </c>
    </row>
    <row r="43">
      <c r="A43" s="10" t="inlineStr">
        <is>
          <t>Guest shuttle</t>
        </is>
      </c>
      <c r="B43" s="10" t="inlineStr">
        <is>
          <t>Transportation</t>
        </is>
      </c>
      <c r="C43" s="10" t="n"/>
      <c r="D43" s="14" t="n"/>
      <c r="E43" s="14" t="n"/>
      <c r="F43" s="46">
        <f>IF(A43="","",SUMIFS(Payments!$C$6:$C$85,Payments!$B$6:$B$85,A43,Payments!$E$6:$E$85,"✓"))</f>
        <v/>
      </c>
      <c r="G43" s="46">
        <f>IF(A43="","",MAX(0,N(I43)-N(F43)))</f>
        <v/>
      </c>
      <c r="H43" s="10" t="n"/>
      <c r="I43" s="32">
        <f>IF(A43="","",IF(E43&lt;&gt;"",N(E43),N(D43)))</f>
        <v/>
      </c>
    </row>
    <row r="44">
      <c r="A44" s="10" t="inlineStr">
        <is>
          <t>Favors</t>
        </is>
      </c>
      <c r="B44" s="10" t="inlineStr">
        <is>
          <t>Favors &amp; Gifts</t>
        </is>
      </c>
      <c r="C44" s="10" t="n"/>
      <c r="D44" s="14" t="n"/>
      <c r="E44" s="14" t="n"/>
      <c r="F44" s="46">
        <f>IF(A44="","",SUMIFS(Payments!$C$6:$C$85,Payments!$B$6:$B$85,A44,Payments!$E$6:$E$85,"✓"))</f>
        <v/>
      </c>
      <c r="G44" s="46">
        <f>IF(A44="","",MAX(0,N(I44)-N(F44)))</f>
        <v/>
      </c>
      <c r="H44" s="10" t="n"/>
      <c r="I44" s="32">
        <f>IF(A44="","",IF(E44&lt;&gt;"",N(E44),N(D44)))</f>
        <v/>
      </c>
    </row>
    <row r="45">
      <c r="A45" s="10" t="inlineStr">
        <is>
          <t>Wedding party gifts</t>
        </is>
      </c>
      <c r="B45" s="10" t="inlineStr">
        <is>
          <t>Favors &amp; Gifts</t>
        </is>
      </c>
      <c r="C45" s="10" t="n"/>
      <c r="D45" s="14" t="n"/>
      <c r="E45" s="14" t="n"/>
      <c r="F45" s="46">
        <f>IF(A45="","",SUMIFS(Payments!$C$6:$C$85,Payments!$B$6:$B$85,A45,Payments!$E$6:$E$85,"✓"))</f>
        <v/>
      </c>
      <c r="G45" s="46">
        <f>IF(A45="","",MAX(0,N(I45)-N(F45)))</f>
        <v/>
      </c>
      <c r="H45" s="10" t="n"/>
      <c r="I45" s="32">
        <f>IF(A45="","",IF(E45&lt;&gt;"",N(E45),N(D45)))</f>
        <v/>
      </c>
    </row>
    <row r="46">
      <c r="A46" s="10" t="inlineStr">
        <is>
          <t>Parents' gifts</t>
        </is>
      </c>
      <c r="B46" s="10" t="inlineStr">
        <is>
          <t>Favors &amp; Gifts</t>
        </is>
      </c>
      <c r="C46" s="10" t="n"/>
      <c r="D46" s="14" t="n"/>
      <c r="E46" s="14" t="n"/>
      <c r="F46" s="46">
        <f>IF(A46="","",SUMIFS(Payments!$C$6:$C$85,Payments!$B$6:$B$85,A46,Payments!$E$6:$E$85,"✓"))</f>
        <v/>
      </c>
      <c r="G46" s="46">
        <f>IF(A46="","",MAX(0,N(I46)-N(F46)))</f>
        <v/>
      </c>
      <c r="H46" s="10" t="n"/>
      <c r="I46" s="32">
        <f>IF(A46="","",IF(E46&lt;&gt;"",N(E46),N(D46)))</f>
        <v/>
      </c>
    </row>
    <row r="47">
      <c r="A47" s="10" t="inlineStr">
        <is>
          <t>Welcome bags</t>
        </is>
      </c>
      <c r="B47" s="10" t="inlineStr">
        <is>
          <t>Favors &amp; Gifts</t>
        </is>
      </c>
      <c r="C47" s="10" t="n"/>
      <c r="D47" s="14" t="n"/>
      <c r="E47" s="14" t="n"/>
      <c r="F47" s="46">
        <f>IF(A47="","",SUMIFS(Payments!$C$6:$C$85,Payments!$B$6:$B$85,A47,Payments!$E$6:$E$85,"✓"))</f>
        <v/>
      </c>
      <c r="G47" s="46">
        <f>IF(A47="","",MAX(0,N(I47)-N(F47)))</f>
        <v/>
      </c>
      <c r="H47" s="10" t="n"/>
      <c r="I47" s="32">
        <f>IF(A47="","",IF(E47&lt;&gt;"",N(E47),N(D47)))</f>
        <v/>
      </c>
    </row>
    <row r="48">
      <c r="A48" s="10" t="n"/>
      <c r="B48" s="10" t="n"/>
      <c r="C48" s="10" t="n"/>
      <c r="D48" s="14" t="n"/>
      <c r="E48" s="14" t="n"/>
      <c r="F48" s="46">
        <f>IF(A48="","",SUMIFS(Payments!$C$6:$C$85,Payments!$B$6:$B$85,A48,Payments!$E$6:$E$85,"✓"))</f>
        <v/>
      </c>
      <c r="G48" s="46">
        <f>IF(A48="","",MAX(0,N(I48)-N(F48)))</f>
        <v/>
      </c>
      <c r="H48" s="10" t="n"/>
      <c r="I48" s="32">
        <f>IF(A48="","",IF(E48&lt;&gt;"",N(E48),N(D48)))</f>
        <v/>
      </c>
    </row>
    <row r="49">
      <c r="A49" s="10" t="n"/>
      <c r="B49" s="10" t="n"/>
      <c r="C49" s="10" t="n"/>
      <c r="D49" s="14" t="n"/>
      <c r="E49" s="14" t="n"/>
      <c r="F49" s="46">
        <f>IF(A49="","",SUMIFS(Payments!$C$6:$C$85,Payments!$B$6:$B$85,A49,Payments!$E$6:$E$85,"✓"))</f>
        <v/>
      </c>
      <c r="G49" s="46">
        <f>IF(A49="","",MAX(0,N(I49)-N(F49)))</f>
        <v/>
      </c>
      <c r="H49" s="10" t="n"/>
      <c r="I49" s="32">
        <f>IF(A49="","",IF(E49&lt;&gt;"",N(E49),N(D49)))</f>
        <v/>
      </c>
    </row>
    <row r="50">
      <c r="A50" s="10" t="n"/>
      <c r="B50" s="10" t="n"/>
      <c r="C50" s="10" t="n"/>
      <c r="D50" s="14" t="n"/>
      <c r="E50" s="14" t="n"/>
      <c r="F50" s="46">
        <f>IF(A50="","",SUMIFS(Payments!$C$6:$C$85,Payments!$B$6:$B$85,A50,Payments!$E$6:$E$85,"✓"))</f>
        <v/>
      </c>
      <c r="G50" s="46">
        <f>IF(A50="","",MAX(0,N(I50)-N(F50)))</f>
        <v/>
      </c>
      <c r="H50" s="10" t="n"/>
      <c r="I50" s="32">
        <f>IF(A50="","",IF(E50&lt;&gt;"",N(E50),N(D50)))</f>
        <v/>
      </c>
    </row>
    <row r="51">
      <c r="A51" s="10" t="n"/>
      <c r="B51" s="10" t="n"/>
      <c r="C51" s="10" t="n"/>
      <c r="D51" s="14" t="n"/>
      <c r="E51" s="14" t="n"/>
      <c r="F51" s="46">
        <f>IF(A51="","",SUMIFS(Payments!$C$6:$C$85,Payments!$B$6:$B$85,A51,Payments!$E$6:$E$85,"✓"))</f>
        <v/>
      </c>
      <c r="G51" s="46">
        <f>IF(A51="","",MAX(0,N(I51)-N(F51)))</f>
        <v/>
      </c>
      <c r="H51" s="10" t="n"/>
      <c r="I51" s="32">
        <f>IF(A51="","",IF(E51&lt;&gt;"",N(E51),N(D51)))</f>
        <v/>
      </c>
    </row>
    <row r="52">
      <c r="A52" s="10" t="n"/>
      <c r="B52" s="10" t="n"/>
      <c r="C52" s="10" t="n"/>
      <c r="D52" s="14" t="n"/>
      <c r="E52" s="14" t="n"/>
      <c r="F52" s="46">
        <f>IF(A52="","",SUMIFS(Payments!$C$6:$C$85,Payments!$B$6:$B$85,A52,Payments!$E$6:$E$85,"✓"))</f>
        <v/>
      </c>
      <c r="G52" s="46">
        <f>IF(A52="","",MAX(0,N(I52)-N(F52)))</f>
        <v/>
      </c>
      <c r="H52" s="10" t="n"/>
      <c r="I52" s="32">
        <f>IF(A52="","",IF(E52&lt;&gt;"",N(E52),N(D52)))</f>
        <v/>
      </c>
    </row>
    <row r="53">
      <c r="A53" s="10" t="n"/>
      <c r="B53" s="10" t="n"/>
      <c r="C53" s="10" t="n"/>
      <c r="D53" s="14" t="n"/>
      <c r="E53" s="14" t="n"/>
      <c r="F53" s="46">
        <f>IF(A53="","",SUMIFS(Payments!$C$6:$C$85,Payments!$B$6:$B$85,A53,Payments!$E$6:$E$85,"✓"))</f>
        <v/>
      </c>
      <c r="G53" s="46">
        <f>IF(A53="","",MAX(0,N(I53)-N(F53)))</f>
        <v/>
      </c>
      <c r="H53" s="10" t="n"/>
      <c r="I53" s="32">
        <f>IF(A53="","",IF(E53&lt;&gt;"",N(E53),N(D53)))</f>
        <v/>
      </c>
    </row>
    <row r="54">
      <c r="A54" s="10" t="n"/>
      <c r="B54" s="10" t="n"/>
      <c r="C54" s="10" t="n"/>
      <c r="D54" s="14" t="n"/>
      <c r="E54" s="14" t="n"/>
      <c r="F54" s="46">
        <f>IF(A54="","",SUMIFS(Payments!$C$6:$C$85,Payments!$B$6:$B$85,A54,Payments!$E$6:$E$85,"✓"))</f>
        <v/>
      </c>
      <c r="G54" s="46">
        <f>IF(A54="","",MAX(0,N(I54)-N(F54)))</f>
        <v/>
      </c>
      <c r="H54" s="10" t="n"/>
      <c r="I54" s="32">
        <f>IF(A54="","",IF(E54&lt;&gt;"",N(E54),N(D54)))</f>
        <v/>
      </c>
    </row>
    <row r="55">
      <c r="A55" s="10" t="n"/>
      <c r="B55" s="10" t="n"/>
      <c r="C55" s="10" t="n"/>
      <c r="D55" s="14" t="n"/>
      <c r="E55" s="14" t="n"/>
      <c r="F55" s="46">
        <f>IF(A55="","",SUMIFS(Payments!$C$6:$C$85,Payments!$B$6:$B$85,A55,Payments!$E$6:$E$85,"✓"))</f>
        <v/>
      </c>
      <c r="G55" s="46">
        <f>IF(A55="","",MAX(0,N(I55)-N(F55)))</f>
        <v/>
      </c>
      <c r="H55" s="10" t="n"/>
      <c r="I55" s="32">
        <f>IF(A55="","",IF(E55&lt;&gt;"",N(E55),N(D55)))</f>
        <v/>
      </c>
    </row>
    <row r="56">
      <c r="A56" s="10" t="n"/>
      <c r="B56" s="10" t="n"/>
      <c r="C56" s="10" t="n"/>
      <c r="D56" s="14" t="n"/>
      <c r="E56" s="14" t="n"/>
      <c r="F56" s="46">
        <f>IF(A56="","",SUMIFS(Payments!$C$6:$C$85,Payments!$B$6:$B$85,A56,Payments!$E$6:$E$85,"✓"))</f>
        <v/>
      </c>
      <c r="G56" s="46">
        <f>IF(A56="","",MAX(0,N(I56)-N(F56)))</f>
        <v/>
      </c>
      <c r="H56" s="10" t="n"/>
      <c r="I56" s="32">
        <f>IF(A56="","",IF(E56&lt;&gt;"",N(E56),N(D56)))</f>
        <v/>
      </c>
    </row>
    <row r="57">
      <c r="A57" s="10" t="n"/>
      <c r="B57" s="10" t="n"/>
      <c r="C57" s="10" t="n"/>
      <c r="D57" s="14" t="n"/>
      <c r="E57" s="14" t="n"/>
      <c r="F57" s="46">
        <f>IF(A57="","",SUMIFS(Payments!$C$6:$C$85,Payments!$B$6:$B$85,A57,Payments!$E$6:$E$85,"✓"))</f>
        <v/>
      </c>
      <c r="G57" s="46">
        <f>IF(A57="","",MAX(0,N(I57)-N(F57)))</f>
        <v/>
      </c>
      <c r="H57" s="10" t="n"/>
      <c r="I57" s="32">
        <f>IF(A57="","",IF(E57&lt;&gt;"",N(E57),N(D57)))</f>
        <v/>
      </c>
    </row>
    <row r="58">
      <c r="A58" s="10" t="n"/>
      <c r="B58" s="10" t="n"/>
      <c r="C58" s="10" t="n"/>
      <c r="D58" s="14" t="n"/>
      <c r="E58" s="14" t="n"/>
      <c r="F58" s="46">
        <f>IF(A58="","",SUMIFS(Payments!$C$6:$C$85,Payments!$B$6:$B$85,A58,Payments!$E$6:$E$85,"✓"))</f>
        <v/>
      </c>
      <c r="G58" s="46">
        <f>IF(A58="","",MAX(0,N(I58)-N(F58)))</f>
        <v/>
      </c>
      <c r="H58" s="10" t="n"/>
      <c r="I58" s="32">
        <f>IF(A58="","",IF(E58&lt;&gt;"",N(E58),N(D58)))</f>
        <v/>
      </c>
    </row>
    <row r="59">
      <c r="A59" s="10" t="n"/>
      <c r="B59" s="10" t="n"/>
      <c r="C59" s="10" t="n"/>
      <c r="D59" s="14" t="n"/>
      <c r="E59" s="14" t="n"/>
      <c r="F59" s="46">
        <f>IF(A59="","",SUMIFS(Payments!$C$6:$C$85,Payments!$B$6:$B$85,A59,Payments!$E$6:$E$85,"✓"))</f>
        <v/>
      </c>
      <c r="G59" s="46">
        <f>IF(A59="","",MAX(0,N(I59)-N(F59)))</f>
        <v/>
      </c>
      <c r="H59" s="10" t="n"/>
      <c r="I59" s="32">
        <f>IF(A59="","",IF(E59&lt;&gt;"",N(E59),N(D59)))</f>
        <v/>
      </c>
    </row>
    <row r="60">
      <c r="A60" s="10" t="n"/>
      <c r="B60" s="10" t="n"/>
      <c r="C60" s="10" t="n"/>
      <c r="D60" s="14" t="n"/>
      <c r="E60" s="14" t="n"/>
      <c r="F60" s="46">
        <f>IF(A60="","",SUMIFS(Payments!$C$6:$C$85,Payments!$B$6:$B$85,A60,Payments!$E$6:$E$85,"✓"))</f>
        <v/>
      </c>
      <c r="G60" s="46">
        <f>IF(A60="","",MAX(0,N(I60)-N(F60)))</f>
        <v/>
      </c>
      <c r="H60" s="10" t="n"/>
      <c r="I60" s="32">
        <f>IF(A60="","",IF(E60&lt;&gt;"",N(E60),N(D60)))</f>
        <v/>
      </c>
    </row>
    <row r="61">
      <c r="A61" s="10" t="n"/>
      <c r="B61" s="10" t="n"/>
      <c r="C61" s="10" t="n"/>
      <c r="D61" s="14" t="n"/>
      <c r="E61" s="14" t="n"/>
      <c r="F61" s="46">
        <f>IF(A61="","",SUMIFS(Payments!$C$6:$C$85,Payments!$B$6:$B$85,A61,Payments!$E$6:$E$85,"✓"))</f>
        <v/>
      </c>
      <c r="G61" s="46">
        <f>IF(A61="","",MAX(0,N(I61)-N(F61)))</f>
        <v/>
      </c>
      <c r="H61" s="10" t="n"/>
      <c r="I61" s="32">
        <f>IF(A61="","",IF(E61&lt;&gt;"",N(E61),N(D61)))</f>
        <v/>
      </c>
    </row>
    <row r="62">
      <c r="A62" s="10" t="n"/>
      <c r="B62" s="10" t="n"/>
      <c r="C62" s="10" t="n"/>
      <c r="D62" s="14" t="n"/>
      <c r="E62" s="14" t="n"/>
      <c r="F62" s="46">
        <f>IF(A62="","",SUMIFS(Payments!$C$6:$C$85,Payments!$B$6:$B$85,A62,Payments!$E$6:$E$85,"✓"))</f>
        <v/>
      </c>
      <c r="G62" s="46">
        <f>IF(A62="","",MAX(0,N(I62)-N(F62)))</f>
        <v/>
      </c>
      <c r="H62" s="10" t="n"/>
      <c r="I62" s="32">
        <f>IF(A62="","",IF(E62&lt;&gt;"",N(E62),N(D62)))</f>
        <v/>
      </c>
    </row>
    <row r="63">
      <c r="A63" s="10" t="n"/>
      <c r="B63" s="10" t="n"/>
      <c r="C63" s="10" t="n"/>
      <c r="D63" s="14" t="n"/>
      <c r="E63" s="14" t="n"/>
      <c r="F63" s="46">
        <f>IF(A63="","",SUMIFS(Payments!$C$6:$C$85,Payments!$B$6:$B$85,A63,Payments!$E$6:$E$85,"✓"))</f>
        <v/>
      </c>
      <c r="G63" s="46">
        <f>IF(A63="","",MAX(0,N(I63)-N(F63)))</f>
        <v/>
      </c>
      <c r="H63" s="10" t="n"/>
      <c r="I63" s="32">
        <f>IF(A63="","",IF(E63&lt;&gt;"",N(E63),N(D63)))</f>
        <v/>
      </c>
    </row>
    <row r="64">
      <c r="A64" s="10" t="n"/>
      <c r="B64" s="10" t="n"/>
      <c r="C64" s="10" t="n"/>
      <c r="D64" s="14" t="n"/>
      <c r="E64" s="14" t="n"/>
      <c r="F64" s="46">
        <f>IF(A64="","",SUMIFS(Payments!$C$6:$C$85,Payments!$B$6:$B$85,A64,Payments!$E$6:$E$85,"✓"))</f>
        <v/>
      </c>
      <c r="G64" s="46">
        <f>IF(A64="","",MAX(0,N(I64)-N(F64)))</f>
        <v/>
      </c>
      <c r="H64" s="10" t="n"/>
      <c r="I64" s="32">
        <f>IF(A64="","",IF(E64&lt;&gt;"",N(E64),N(D64)))</f>
        <v/>
      </c>
    </row>
    <row r="65">
      <c r="A65" s="10" t="n"/>
      <c r="B65" s="10" t="n"/>
      <c r="C65" s="10" t="n"/>
      <c r="D65" s="14" t="n"/>
      <c r="E65" s="14" t="n"/>
      <c r="F65" s="46">
        <f>IF(A65="","",SUMIFS(Payments!$C$6:$C$85,Payments!$B$6:$B$85,A65,Payments!$E$6:$E$85,"✓"))</f>
        <v/>
      </c>
      <c r="G65" s="46">
        <f>IF(A65="","",MAX(0,N(I65)-N(F65)))</f>
        <v/>
      </c>
      <c r="H65" s="10" t="n"/>
      <c r="I65" s="32">
        <f>IF(A65="","",IF(E65&lt;&gt;"",N(E65),N(D65)))</f>
        <v/>
      </c>
    </row>
    <row r="66">
      <c r="A66" s="10" t="n"/>
      <c r="B66" s="10" t="n"/>
      <c r="C66" s="10" t="n"/>
      <c r="D66" s="14" t="n"/>
      <c r="E66" s="14" t="n"/>
      <c r="F66" s="46">
        <f>IF(A66="","",SUMIFS(Payments!$C$6:$C$85,Payments!$B$6:$B$85,A66,Payments!$E$6:$E$85,"✓"))</f>
        <v/>
      </c>
      <c r="G66" s="46">
        <f>IF(A66="","",MAX(0,N(I66)-N(F66)))</f>
        <v/>
      </c>
      <c r="H66" s="10" t="n"/>
      <c r="I66" s="32">
        <f>IF(A66="","",IF(E66&lt;&gt;"",N(E66),N(D66)))</f>
        <v/>
      </c>
    </row>
    <row r="67">
      <c r="A67" s="10" t="n"/>
      <c r="B67" s="10" t="n"/>
      <c r="C67" s="10" t="n"/>
      <c r="D67" s="14" t="n"/>
      <c r="E67" s="14" t="n"/>
      <c r="F67" s="46">
        <f>IF(A67="","",SUMIFS(Payments!$C$6:$C$85,Payments!$B$6:$B$85,A67,Payments!$E$6:$E$85,"✓"))</f>
        <v/>
      </c>
      <c r="G67" s="46">
        <f>IF(A67="","",MAX(0,N(I67)-N(F67)))</f>
        <v/>
      </c>
      <c r="H67" s="10" t="n"/>
      <c r="I67" s="32">
        <f>IF(A67="","",IF(E67&lt;&gt;"",N(E67),N(D67)))</f>
        <v/>
      </c>
    </row>
    <row r="68">
      <c r="A68" s="10" t="n"/>
      <c r="B68" s="10" t="n"/>
      <c r="C68" s="10" t="n"/>
      <c r="D68" s="14" t="n"/>
      <c r="E68" s="14" t="n"/>
      <c r="F68" s="46">
        <f>IF(A68="","",SUMIFS(Payments!$C$6:$C$85,Payments!$B$6:$B$85,A68,Payments!$E$6:$E$85,"✓"))</f>
        <v/>
      </c>
      <c r="G68" s="46">
        <f>IF(A68="","",MAX(0,N(I68)-N(F68)))</f>
        <v/>
      </c>
      <c r="H68" s="10" t="n"/>
      <c r="I68" s="32">
        <f>IF(A68="","",IF(E68&lt;&gt;"",N(E68),N(D68)))</f>
        <v/>
      </c>
    </row>
    <row r="69">
      <c r="A69" s="10" t="n"/>
      <c r="B69" s="10" t="n"/>
      <c r="C69" s="10" t="n"/>
      <c r="D69" s="14" t="n"/>
      <c r="E69" s="14" t="n"/>
      <c r="F69" s="46">
        <f>IF(A69="","",SUMIFS(Payments!$C$6:$C$85,Payments!$B$6:$B$85,A69,Payments!$E$6:$E$85,"✓"))</f>
        <v/>
      </c>
      <c r="G69" s="46">
        <f>IF(A69="","",MAX(0,N(I69)-N(F69)))</f>
        <v/>
      </c>
      <c r="H69" s="10" t="n"/>
      <c r="I69" s="32">
        <f>IF(A69="","",IF(E69&lt;&gt;"",N(E69),N(D69)))</f>
        <v/>
      </c>
    </row>
    <row r="70">
      <c r="A70" s="10" t="n"/>
      <c r="B70" s="10" t="n"/>
      <c r="C70" s="10" t="n"/>
      <c r="D70" s="14" t="n"/>
      <c r="E70" s="14" t="n"/>
      <c r="F70" s="46">
        <f>IF(A70="","",SUMIFS(Payments!$C$6:$C$85,Payments!$B$6:$B$85,A70,Payments!$E$6:$E$85,"✓"))</f>
        <v/>
      </c>
      <c r="G70" s="46">
        <f>IF(A70="","",MAX(0,N(I70)-N(F70)))</f>
        <v/>
      </c>
      <c r="H70" s="10" t="n"/>
      <c r="I70" s="32">
        <f>IF(A70="","",IF(E70&lt;&gt;"",N(E70),N(D70)))</f>
        <v/>
      </c>
    </row>
    <row r="71">
      <c r="A71" s="10" t="n"/>
      <c r="B71" s="10" t="n"/>
      <c r="C71" s="10" t="n"/>
      <c r="D71" s="14" t="n"/>
      <c r="E71" s="14" t="n"/>
      <c r="F71" s="46">
        <f>IF(A71="","",SUMIFS(Payments!$C$6:$C$85,Payments!$B$6:$B$85,A71,Payments!$E$6:$E$85,"✓"))</f>
        <v/>
      </c>
      <c r="G71" s="46">
        <f>IF(A71="","",MAX(0,N(I71)-N(F71)))</f>
        <v/>
      </c>
      <c r="H71" s="10" t="n"/>
      <c r="I71" s="32">
        <f>IF(A71="","",IF(E71&lt;&gt;"",N(E71),N(D71)))</f>
        <v/>
      </c>
    </row>
    <row r="72">
      <c r="A72" s="10" t="n"/>
      <c r="B72" s="10" t="n"/>
      <c r="C72" s="10" t="n"/>
      <c r="D72" s="14" t="n"/>
      <c r="E72" s="14" t="n"/>
      <c r="F72" s="46">
        <f>IF(A72="","",SUMIFS(Payments!$C$6:$C$85,Payments!$B$6:$B$85,A72,Payments!$E$6:$E$85,"✓"))</f>
        <v/>
      </c>
      <c r="G72" s="46">
        <f>IF(A72="","",MAX(0,N(I72)-N(F72)))</f>
        <v/>
      </c>
      <c r="H72" s="10" t="n"/>
      <c r="I72" s="32">
        <f>IF(A72="","",IF(E72&lt;&gt;"",N(E72),N(D72)))</f>
        <v/>
      </c>
    </row>
    <row r="73">
      <c r="A73" s="10" t="n"/>
      <c r="B73" s="10" t="n"/>
      <c r="C73" s="10" t="n"/>
      <c r="D73" s="14" t="n"/>
      <c r="E73" s="14" t="n"/>
      <c r="F73" s="46">
        <f>IF(A73="","",SUMIFS(Payments!$C$6:$C$85,Payments!$B$6:$B$85,A73,Payments!$E$6:$E$85,"✓"))</f>
        <v/>
      </c>
      <c r="G73" s="46">
        <f>IF(A73="","",MAX(0,N(I73)-N(F73)))</f>
        <v/>
      </c>
      <c r="H73" s="10" t="n"/>
      <c r="I73" s="32">
        <f>IF(A73="","",IF(E73&lt;&gt;"",N(E73),N(D73)))</f>
        <v/>
      </c>
    </row>
    <row r="74">
      <c r="A74" s="10" t="n"/>
      <c r="B74" s="10" t="n"/>
      <c r="C74" s="10" t="n"/>
      <c r="D74" s="14" t="n"/>
      <c r="E74" s="14" t="n"/>
      <c r="F74" s="46">
        <f>IF(A74="","",SUMIFS(Payments!$C$6:$C$85,Payments!$B$6:$B$85,A74,Payments!$E$6:$E$85,"✓"))</f>
        <v/>
      </c>
      <c r="G74" s="46">
        <f>IF(A74="","",MAX(0,N(I74)-N(F74)))</f>
        <v/>
      </c>
      <c r="H74" s="10" t="n"/>
      <c r="I74" s="32">
        <f>IF(A74="","",IF(E74&lt;&gt;"",N(E74),N(D74)))</f>
        <v/>
      </c>
    </row>
    <row r="75">
      <c r="A75" s="10" t="n"/>
      <c r="B75" s="10" t="n"/>
      <c r="C75" s="10" t="n"/>
      <c r="D75" s="14" t="n"/>
      <c r="E75" s="14" t="n"/>
      <c r="F75" s="46">
        <f>IF(A75="","",SUMIFS(Payments!$C$6:$C$85,Payments!$B$6:$B$85,A75,Payments!$E$6:$E$85,"✓"))</f>
        <v/>
      </c>
      <c r="G75" s="46">
        <f>IF(A75="","",MAX(0,N(I75)-N(F75)))</f>
        <v/>
      </c>
      <c r="H75" s="10" t="n"/>
      <c r="I75" s="32">
        <f>IF(A75="","",IF(E75&lt;&gt;"",N(E75),N(D75)))</f>
        <v/>
      </c>
    </row>
    <row r="76">
      <c r="A76" s="10" t="n"/>
      <c r="B76" s="10" t="n"/>
      <c r="C76" s="10" t="n"/>
      <c r="D76" s="14" t="n"/>
      <c r="E76" s="14" t="n"/>
      <c r="F76" s="46">
        <f>IF(A76="","",SUMIFS(Payments!$C$6:$C$85,Payments!$B$6:$B$85,A76,Payments!$E$6:$E$85,"✓"))</f>
        <v/>
      </c>
      <c r="G76" s="46">
        <f>IF(A76="","",MAX(0,N(I76)-N(F76)))</f>
        <v/>
      </c>
      <c r="H76" s="10" t="n"/>
      <c r="I76" s="32">
        <f>IF(A76="","",IF(E76&lt;&gt;"",N(E76),N(D76)))</f>
        <v/>
      </c>
    </row>
    <row r="77">
      <c r="A77" s="10" t="n"/>
      <c r="B77" s="10" t="n"/>
      <c r="C77" s="10" t="n"/>
      <c r="D77" s="14" t="n"/>
      <c r="E77" s="14" t="n"/>
      <c r="F77" s="46">
        <f>IF(A77="","",SUMIFS(Payments!$C$6:$C$85,Payments!$B$6:$B$85,A77,Payments!$E$6:$E$85,"✓"))</f>
        <v/>
      </c>
      <c r="G77" s="46">
        <f>IF(A77="","",MAX(0,N(I77)-N(F77)))</f>
        <v/>
      </c>
      <c r="H77" s="10" t="n"/>
      <c r="I77" s="32">
        <f>IF(A77="","",IF(E77&lt;&gt;"",N(E77),N(D77)))</f>
        <v/>
      </c>
    </row>
    <row r="78">
      <c r="A78" s="10" t="n"/>
      <c r="B78" s="10" t="n"/>
      <c r="C78" s="10" t="n"/>
      <c r="D78" s="14" t="n"/>
      <c r="E78" s="14" t="n"/>
      <c r="F78" s="46">
        <f>IF(A78="","",SUMIFS(Payments!$C$6:$C$85,Payments!$B$6:$B$85,A78,Payments!$E$6:$E$85,"✓"))</f>
        <v/>
      </c>
      <c r="G78" s="46">
        <f>IF(A78="","",MAX(0,N(I78)-N(F78)))</f>
        <v/>
      </c>
      <c r="H78" s="10" t="n"/>
      <c r="I78" s="32">
        <f>IF(A78="","",IF(E78&lt;&gt;"",N(E78),N(D78)))</f>
        <v/>
      </c>
    </row>
    <row r="79">
      <c r="A79" s="10" t="n"/>
      <c r="B79" s="10" t="n"/>
      <c r="C79" s="10" t="n"/>
      <c r="D79" s="14" t="n"/>
      <c r="E79" s="14" t="n"/>
      <c r="F79" s="46">
        <f>IF(A79="","",SUMIFS(Payments!$C$6:$C$85,Payments!$B$6:$B$85,A79,Payments!$E$6:$E$85,"✓"))</f>
        <v/>
      </c>
      <c r="G79" s="46">
        <f>IF(A79="","",MAX(0,N(I79)-N(F79)))</f>
        <v/>
      </c>
      <c r="H79" s="10" t="n"/>
      <c r="I79" s="32">
        <f>IF(A79="","",IF(E79&lt;&gt;"",N(E79),N(D79)))</f>
        <v/>
      </c>
    </row>
    <row r="80">
      <c r="A80" s="10" t="n"/>
      <c r="B80" s="10" t="n"/>
      <c r="C80" s="10" t="n"/>
      <c r="D80" s="14" t="n"/>
      <c r="E80" s="14" t="n"/>
      <c r="F80" s="46">
        <f>IF(A80="","",SUMIFS(Payments!$C$6:$C$85,Payments!$B$6:$B$85,A80,Payments!$E$6:$E$85,"✓"))</f>
        <v/>
      </c>
      <c r="G80" s="46">
        <f>IF(A80="","",MAX(0,N(I80)-N(F80)))</f>
        <v/>
      </c>
      <c r="H80" s="10" t="n"/>
      <c r="I80" s="32">
        <f>IF(A80="","",IF(E80&lt;&gt;"",N(E80),N(D80)))</f>
        <v/>
      </c>
    </row>
    <row r="81">
      <c r="A81" s="10" t="n"/>
      <c r="B81" s="10" t="n"/>
      <c r="C81" s="10" t="n"/>
      <c r="D81" s="14" t="n"/>
      <c r="E81" s="14" t="n"/>
      <c r="F81" s="46">
        <f>IF(A81="","",SUMIFS(Payments!$C$6:$C$85,Payments!$B$6:$B$85,A81,Payments!$E$6:$E$85,"✓"))</f>
        <v/>
      </c>
      <c r="G81" s="46">
        <f>IF(A81="","",MAX(0,N(I81)-N(F81)))</f>
        <v/>
      </c>
      <c r="H81" s="10" t="n"/>
      <c r="I81" s="32">
        <f>IF(A81="","",IF(E81&lt;&gt;"",N(E81),N(D81)))</f>
        <v/>
      </c>
    </row>
    <row r="82">
      <c r="A82" s="10" t="n"/>
      <c r="B82" s="10" t="n"/>
      <c r="C82" s="10" t="n"/>
      <c r="D82" s="14" t="n"/>
      <c r="E82" s="14" t="n"/>
      <c r="F82" s="46">
        <f>IF(A82="","",SUMIFS(Payments!$C$6:$C$85,Payments!$B$6:$B$85,A82,Payments!$E$6:$E$85,"✓"))</f>
        <v/>
      </c>
      <c r="G82" s="46">
        <f>IF(A82="","",MAX(0,N(I82)-N(F82)))</f>
        <v/>
      </c>
      <c r="H82" s="10" t="n"/>
      <c r="I82" s="32">
        <f>IF(A82="","",IF(E82&lt;&gt;"",N(E82),N(D82)))</f>
        <v/>
      </c>
    </row>
    <row r="83">
      <c r="A83" s="10" t="n"/>
      <c r="B83" s="10" t="n"/>
      <c r="C83" s="10" t="n"/>
      <c r="D83" s="14" t="n"/>
      <c r="E83" s="14" t="n"/>
      <c r="F83" s="46">
        <f>IF(A83="","",SUMIFS(Payments!$C$6:$C$85,Payments!$B$6:$B$85,A83,Payments!$E$6:$E$85,"✓"))</f>
        <v/>
      </c>
      <c r="G83" s="46">
        <f>IF(A83="","",MAX(0,N(I83)-N(F83)))</f>
        <v/>
      </c>
      <c r="H83" s="10" t="n"/>
      <c r="I83" s="32">
        <f>IF(A83="","",IF(E83&lt;&gt;"",N(E83),N(D83)))</f>
        <v/>
      </c>
    </row>
    <row r="84">
      <c r="A84" s="10" t="n"/>
      <c r="B84" s="10" t="n"/>
      <c r="C84" s="10" t="n"/>
      <c r="D84" s="14" t="n"/>
      <c r="E84" s="14" t="n"/>
      <c r="F84" s="46">
        <f>IF(A84="","",SUMIFS(Payments!$C$6:$C$85,Payments!$B$6:$B$85,A84,Payments!$E$6:$E$85,"✓"))</f>
        <v/>
      </c>
      <c r="G84" s="46">
        <f>IF(A84="","",MAX(0,N(I84)-N(F84)))</f>
        <v/>
      </c>
      <c r="H84" s="10" t="n"/>
      <c r="I84" s="32">
        <f>IF(A84="","",IF(E84&lt;&gt;"",N(E84),N(D84)))</f>
        <v/>
      </c>
    </row>
    <row r="85">
      <c r="A85" s="10" t="n"/>
      <c r="B85" s="10" t="n"/>
      <c r="C85" s="10" t="n"/>
      <c r="D85" s="14" t="n"/>
      <c r="E85" s="14" t="n"/>
      <c r="F85" s="46">
        <f>IF(A85="","",SUMIFS(Payments!$C$6:$C$85,Payments!$B$6:$B$85,A85,Payments!$E$6:$E$85,"✓"))</f>
        <v/>
      </c>
      <c r="G85" s="46">
        <f>IF(A85="","",MAX(0,N(I85)-N(F85)))</f>
        <v/>
      </c>
      <c r="H85" s="10" t="n"/>
      <c r="I85" s="32">
        <f>IF(A85="","",IF(E85&lt;&gt;"",N(E85),N(D85)))</f>
        <v/>
      </c>
    </row>
    <row r="86">
      <c r="A86" s="10" t="n"/>
      <c r="B86" s="10" t="n"/>
      <c r="C86" s="10" t="n"/>
      <c r="D86" s="14" t="n"/>
      <c r="E86" s="14" t="n"/>
      <c r="F86" s="46">
        <f>IF(A86="","",SUMIFS(Payments!$C$6:$C$85,Payments!$B$6:$B$85,A86,Payments!$E$6:$E$85,"✓"))</f>
        <v/>
      </c>
      <c r="G86" s="46">
        <f>IF(A86="","",MAX(0,N(I86)-N(F86)))</f>
        <v/>
      </c>
      <c r="H86" s="10" t="n"/>
      <c r="I86" s="32">
        <f>IF(A86="","",IF(E86&lt;&gt;"",N(E86),N(D86)))</f>
        <v/>
      </c>
    </row>
    <row r="87">
      <c r="A87" s="10" t="n"/>
      <c r="B87" s="10" t="n"/>
      <c r="C87" s="10" t="n"/>
      <c r="D87" s="14" t="n"/>
      <c r="E87" s="14" t="n"/>
      <c r="F87" s="46">
        <f>IF(A87="","",SUMIFS(Payments!$C$6:$C$85,Payments!$B$6:$B$85,A87,Payments!$E$6:$E$85,"✓"))</f>
        <v/>
      </c>
      <c r="G87" s="46">
        <f>IF(A87="","",MAX(0,N(I87)-N(F87)))</f>
        <v/>
      </c>
      <c r="H87" s="10" t="n"/>
      <c r="I87" s="32">
        <f>IF(A87="","",IF(E87&lt;&gt;"",N(E87),N(D87)))</f>
        <v/>
      </c>
    </row>
    <row r="88">
      <c r="A88" s="10" t="n"/>
      <c r="B88" s="10" t="n"/>
      <c r="C88" s="10" t="n"/>
      <c r="D88" s="14" t="n"/>
      <c r="E88" s="14" t="n"/>
      <c r="F88" s="46">
        <f>IF(A88="","",SUMIFS(Payments!$C$6:$C$85,Payments!$B$6:$B$85,A88,Payments!$E$6:$E$85,"✓"))</f>
        <v/>
      </c>
      <c r="G88" s="46">
        <f>IF(A88="","",MAX(0,N(I88)-N(F88)))</f>
        <v/>
      </c>
      <c r="H88" s="10" t="n"/>
      <c r="I88" s="32">
        <f>IF(A88="","",IF(E88&lt;&gt;"",N(E88),N(D88)))</f>
        <v/>
      </c>
    </row>
    <row r="89">
      <c r="A89" s="10" t="n"/>
      <c r="B89" s="10" t="n"/>
      <c r="C89" s="10" t="n"/>
      <c r="D89" s="14" t="n"/>
      <c r="E89" s="14" t="n"/>
      <c r="F89" s="46">
        <f>IF(A89="","",SUMIFS(Payments!$C$6:$C$85,Payments!$B$6:$B$85,A89,Payments!$E$6:$E$85,"✓"))</f>
        <v/>
      </c>
      <c r="G89" s="46">
        <f>IF(A89="","",MAX(0,N(I89)-N(F89)))</f>
        <v/>
      </c>
      <c r="H89" s="10" t="n"/>
      <c r="I89" s="32">
        <f>IF(A89="","",IF(E89&lt;&gt;"",N(E89),N(D89)))</f>
        <v/>
      </c>
    </row>
    <row r="90">
      <c r="A90" s="10" t="n"/>
      <c r="B90" s="10" t="n"/>
      <c r="C90" s="10" t="n"/>
      <c r="D90" s="14" t="n"/>
      <c r="E90" s="14" t="n"/>
      <c r="F90" s="46">
        <f>IF(A90="","",SUMIFS(Payments!$C$6:$C$85,Payments!$B$6:$B$85,A90,Payments!$E$6:$E$85,"✓"))</f>
        <v/>
      </c>
      <c r="G90" s="46">
        <f>IF(A90="","",MAX(0,N(I90)-N(F90)))</f>
        <v/>
      </c>
      <c r="H90" s="10" t="n"/>
      <c r="I90" s="32">
        <f>IF(A90="","",IF(E90&lt;&gt;"",N(E90),N(D90)))</f>
        <v/>
      </c>
    </row>
    <row r="91">
      <c r="A91" s="10" t="n"/>
      <c r="B91" s="10" t="n"/>
      <c r="C91" s="10" t="n"/>
      <c r="D91" s="14" t="n"/>
      <c r="E91" s="14" t="n"/>
      <c r="F91" s="46">
        <f>IF(A91="","",SUMIFS(Payments!$C$6:$C$85,Payments!$B$6:$B$85,A91,Payments!$E$6:$E$85,"✓"))</f>
        <v/>
      </c>
      <c r="G91" s="46">
        <f>IF(A91="","",MAX(0,N(I91)-N(F91)))</f>
        <v/>
      </c>
      <c r="H91" s="10" t="n"/>
      <c r="I91" s="32">
        <f>IF(A91="","",IF(E91&lt;&gt;"",N(E91),N(D91)))</f>
        <v/>
      </c>
    </row>
    <row r="92">
      <c r="A92" s="10" t="n"/>
      <c r="B92" s="10" t="n"/>
      <c r="C92" s="10" t="n"/>
      <c r="D92" s="14" t="n"/>
      <c r="E92" s="14" t="n"/>
      <c r="F92" s="46">
        <f>IF(A92="","",SUMIFS(Payments!$C$6:$C$85,Payments!$B$6:$B$85,A92,Payments!$E$6:$E$85,"✓"))</f>
        <v/>
      </c>
      <c r="G92" s="46">
        <f>IF(A92="","",MAX(0,N(I92)-N(F92)))</f>
        <v/>
      </c>
      <c r="H92" s="10" t="n"/>
      <c r="I92" s="32">
        <f>IF(A92="","",IF(E92&lt;&gt;"",N(E92),N(D92)))</f>
        <v/>
      </c>
    </row>
    <row r="93">
      <c r="A93" s="10" t="n"/>
      <c r="B93" s="10" t="n"/>
      <c r="C93" s="10" t="n"/>
      <c r="D93" s="14" t="n"/>
      <c r="E93" s="14" t="n"/>
      <c r="F93" s="46">
        <f>IF(A93="","",SUMIFS(Payments!$C$6:$C$85,Payments!$B$6:$B$85,A93,Payments!$E$6:$E$85,"✓"))</f>
        <v/>
      </c>
      <c r="G93" s="46">
        <f>IF(A93="","",MAX(0,N(I93)-N(F93)))</f>
        <v/>
      </c>
      <c r="H93" s="10" t="n"/>
      <c r="I93" s="32">
        <f>IF(A93="","",IF(E93&lt;&gt;"",N(E93),N(D93)))</f>
        <v/>
      </c>
    </row>
    <row r="94">
      <c r="A94" s="10" t="n"/>
      <c r="B94" s="10" t="n"/>
      <c r="C94" s="10" t="n"/>
      <c r="D94" s="14" t="n"/>
      <c r="E94" s="14" t="n"/>
      <c r="F94" s="46">
        <f>IF(A94="","",SUMIFS(Payments!$C$6:$C$85,Payments!$B$6:$B$85,A94,Payments!$E$6:$E$85,"✓"))</f>
        <v/>
      </c>
      <c r="G94" s="46">
        <f>IF(A94="","",MAX(0,N(I94)-N(F94)))</f>
        <v/>
      </c>
      <c r="H94" s="10" t="n"/>
      <c r="I94" s="32">
        <f>IF(A94="","",IF(E94&lt;&gt;"",N(E94),N(D94)))</f>
        <v/>
      </c>
    </row>
    <row r="95">
      <c r="A95" s="10" t="n"/>
      <c r="B95" s="10" t="n"/>
      <c r="C95" s="10" t="n"/>
      <c r="D95" s="14" t="n"/>
      <c r="E95" s="14" t="n"/>
      <c r="F95" s="46">
        <f>IF(A95="","",SUMIFS(Payments!$C$6:$C$85,Payments!$B$6:$B$85,A95,Payments!$E$6:$E$85,"✓"))</f>
        <v/>
      </c>
      <c r="G95" s="46">
        <f>IF(A95="","",MAX(0,N(I95)-N(F95)))</f>
        <v/>
      </c>
      <c r="H95" s="10" t="n"/>
      <c r="I95" s="32">
        <f>IF(A95="","",IF(E95&lt;&gt;"",N(E95),N(D95)))</f>
        <v/>
      </c>
    </row>
    <row r="96">
      <c r="A96" s="10" t="n"/>
      <c r="B96" s="10" t="n"/>
      <c r="C96" s="10" t="n"/>
      <c r="D96" s="14" t="n"/>
      <c r="E96" s="14" t="n"/>
      <c r="F96" s="46">
        <f>IF(A96="","",SUMIFS(Payments!$C$6:$C$85,Payments!$B$6:$B$85,A96,Payments!$E$6:$E$85,"✓"))</f>
        <v/>
      </c>
      <c r="G96" s="46">
        <f>IF(A96="","",MAX(0,N(I96)-N(F96)))</f>
        <v/>
      </c>
      <c r="H96" s="10" t="n"/>
      <c r="I96" s="32">
        <f>IF(A96="","",IF(E96&lt;&gt;"",N(E96),N(D96)))</f>
        <v/>
      </c>
    </row>
    <row r="97">
      <c r="A97" s="10" t="n"/>
      <c r="B97" s="10" t="n"/>
      <c r="C97" s="10" t="n"/>
      <c r="D97" s="14" t="n"/>
      <c r="E97" s="14" t="n"/>
      <c r="F97" s="46">
        <f>IF(A97="","",SUMIFS(Payments!$C$6:$C$85,Payments!$B$6:$B$85,A97,Payments!$E$6:$E$85,"✓"))</f>
        <v/>
      </c>
      <c r="G97" s="46">
        <f>IF(A97="","",MAX(0,N(I97)-N(F97)))</f>
        <v/>
      </c>
      <c r="H97" s="10" t="n"/>
      <c r="I97" s="32">
        <f>IF(A97="","",IF(E97&lt;&gt;"",N(E97),N(D97)))</f>
        <v/>
      </c>
    </row>
    <row r="98">
      <c r="A98" s="10" t="n"/>
      <c r="B98" s="10" t="n"/>
      <c r="C98" s="10" t="n"/>
      <c r="D98" s="14" t="n"/>
      <c r="E98" s="14" t="n"/>
      <c r="F98" s="46">
        <f>IF(A98="","",SUMIFS(Payments!$C$6:$C$85,Payments!$B$6:$B$85,A98,Payments!$E$6:$E$85,"✓"))</f>
        <v/>
      </c>
      <c r="G98" s="46">
        <f>IF(A98="","",MAX(0,N(I98)-N(F98)))</f>
        <v/>
      </c>
      <c r="H98" s="10" t="n"/>
      <c r="I98" s="32">
        <f>IF(A98="","",IF(E98&lt;&gt;"",N(E98),N(D98)))</f>
        <v/>
      </c>
    </row>
    <row r="99">
      <c r="A99" s="10" t="n"/>
      <c r="B99" s="10" t="n"/>
      <c r="C99" s="10" t="n"/>
      <c r="D99" s="14" t="n"/>
      <c r="E99" s="14" t="n"/>
      <c r="F99" s="46">
        <f>IF(A99="","",SUMIFS(Payments!$C$6:$C$85,Payments!$B$6:$B$85,A99,Payments!$E$6:$E$85,"✓"))</f>
        <v/>
      </c>
      <c r="G99" s="46">
        <f>IF(A99="","",MAX(0,N(I99)-N(F99)))</f>
        <v/>
      </c>
      <c r="H99" s="10" t="n"/>
      <c r="I99" s="32">
        <f>IF(A99="","",IF(E99&lt;&gt;"",N(E99),N(D99)))</f>
        <v/>
      </c>
    </row>
    <row r="100">
      <c r="A100" s="10" t="n"/>
      <c r="B100" s="10" t="n"/>
      <c r="C100" s="10" t="n"/>
      <c r="D100" s="14" t="n"/>
      <c r="E100" s="14" t="n"/>
      <c r="F100" s="46">
        <f>IF(A100="","",SUMIFS(Payments!$C$6:$C$85,Payments!$B$6:$B$85,A100,Payments!$E$6:$E$85,"✓"))</f>
        <v/>
      </c>
      <c r="G100" s="46">
        <f>IF(A100="","",MAX(0,N(I100)-N(F100)))</f>
        <v/>
      </c>
      <c r="H100" s="10" t="n"/>
      <c r="I100" s="32">
        <f>IF(A100="","",IF(E100&lt;&gt;"",N(E100),N(D100)))</f>
        <v/>
      </c>
    </row>
    <row r="101">
      <c r="A101" s="10" t="n"/>
      <c r="B101" s="10" t="n"/>
      <c r="C101" s="10" t="n"/>
      <c r="D101" s="14" t="n"/>
      <c r="E101" s="14" t="n"/>
      <c r="F101" s="46">
        <f>IF(A101="","",SUMIFS(Payments!$C$6:$C$85,Payments!$B$6:$B$85,A101,Payments!$E$6:$E$85,"✓"))</f>
        <v/>
      </c>
      <c r="G101" s="46">
        <f>IF(A101="","",MAX(0,N(I101)-N(F101)))</f>
        <v/>
      </c>
      <c r="H101" s="10" t="n"/>
      <c r="I101" s="32">
        <f>IF(A101="","",IF(E101&lt;&gt;"",N(E101),N(D101)))</f>
        <v/>
      </c>
    </row>
    <row r="102">
      <c r="A102" s="10" t="n"/>
      <c r="B102" s="10" t="n"/>
      <c r="C102" s="10" t="n"/>
      <c r="D102" s="14" t="n"/>
      <c r="E102" s="14" t="n"/>
      <c r="F102" s="46">
        <f>IF(A102="","",SUMIFS(Payments!$C$6:$C$85,Payments!$B$6:$B$85,A102,Payments!$E$6:$E$85,"✓"))</f>
        <v/>
      </c>
      <c r="G102" s="46">
        <f>IF(A102="","",MAX(0,N(I102)-N(F102)))</f>
        <v/>
      </c>
      <c r="H102" s="10" t="n"/>
      <c r="I102" s="32">
        <f>IF(A102="","",IF(E102&lt;&gt;"",N(E102),N(D102)))</f>
        <v/>
      </c>
    </row>
    <row r="103">
      <c r="A103" s="10" t="n"/>
      <c r="B103" s="10" t="n"/>
      <c r="C103" s="10" t="n"/>
      <c r="D103" s="14" t="n"/>
      <c r="E103" s="14" t="n"/>
      <c r="F103" s="46">
        <f>IF(A103="","",SUMIFS(Payments!$C$6:$C$85,Payments!$B$6:$B$85,A103,Payments!$E$6:$E$85,"✓"))</f>
        <v/>
      </c>
      <c r="G103" s="46">
        <f>IF(A103="","",MAX(0,N(I103)-N(F103)))</f>
        <v/>
      </c>
      <c r="H103" s="10" t="n"/>
      <c r="I103" s="32">
        <f>IF(A103="","",IF(E103&lt;&gt;"",N(E103),N(D103)))</f>
        <v/>
      </c>
    </row>
    <row r="104">
      <c r="A104" s="10" t="n"/>
      <c r="B104" s="10" t="n"/>
      <c r="C104" s="10" t="n"/>
      <c r="D104" s="14" t="n"/>
      <c r="E104" s="14" t="n"/>
      <c r="F104" s="46">
        <f>IF(A104="","",SUMIFS(Payments!$C$6:$C$85,Payments!$B$6:$B$85,A104,Payments!$E$6:$E$85,"✓"))</f>
        <v/>
      </c>
      <c r="G104" s="46">
        <f>IF(A104="","",MAX(0,N(I104)-N(F104)))</f>
        <v/>
      </c>
      <c r="H104" s="10" t="n"/>
      <c r="I104" s="32">
        <f>IF(A104="","",IF(E104&lt;&gt;"",N(E104),N(D104)))</f>
        <v/>
      </c>
    </row>
    <row r="105">
      <c r="A105" s="10" t="n"/>
      <c r="B105" s="10" t="n"/>
      <c r="C105" s="10" t="n"/>
      <c r="D105" s="14" t="n"/>
      <c r="E105" s="14" t="n"/>
      <c r="F105" s="46">
        <f>IF(A105="","",SUMIFS(Payments!$C$6:$C$85,Payments!$B$6:$B$85,A105,Payments!$E$6:$E$85,"✓"))</f>
        <v/>
      </c>
      <c r="G105" s="46">
        <f>IF(A105="","",MAX(0,N(I105)-N(F105)))</f>
        <v/>
      </c>
      <c r="H105" s="10" t="n"/>
      <c r="I105" s="32">
        <f>IF(A105="","",IF(E105&lt;&gt;"",N(E105),N(D105)))</f>
        <v/>
      </c>
    </row>
  </sheetData>
  <conditionalFormatting sqref="Q6:Q25">
    <cfRule type="expression" priority="1" dxfId="1" stopIfTrue="0">
      <formula>AND(ISNUMBER($Q6),$Q6&lt;0)</formula>
    </cfRule>
  </conditionalFormatting>
  <dataValidations count="2">
    <dataValidation sqref="B6:B105" showDropDown="0" showInputMessage="0" showErrorMessage="0" allowBlank="1" type="list">
      <formula1>=Lists!$A$5:$A$24</formula1>
    </dataValidation>
    <dataValidation sqref="C6:C105" showDropDown="0" showInputMessage="0" showErrorMessage="0" allowBlank="1" type="list">
      <formula1>=Vendors!$A$6:$A$45</formula1>
    </dataValidation>
  </dataValidations>
  <pageMargins left="0.5" right="0.5" top="0.6" bottom="0.6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D9CBA6"/>
    <outlinePr summaryBelow="1" summaryRight="1"/>
    <pageSetUpPr fitToPage="1"/>
  </sheetPr>
  <dimension ref="A1:J8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11" customWidth="1" min="3" max="3"/>
    <col width="12" customWidth="1" min="4" max="4"/>
    <col width="8" customWidth="1" min="5" max="5"/>
    <col width="12" customWidth="1" min="6" max="6"/>
    <col width="9" customWidth="1" min="7" max="7"/>
    <col width="12" customWidth="1" min="8" max="8"/>
    <col width="24" customWidth="1" min="9" max="9"/>
    <col hidden="1" width="13" customWidth="1" min="10" max="10"/>
  </cols>
  <sheetData>
    <row r="1" ht="30" customHeight="1">
      <c r="A1" s="1" t="inlineStr">
        <is>
          <t>Payments</t>
        </is>
      </c>
    </row>
    <row r="2">
      <c r="A2" s="11" t="inlineStr">
        <is>
          <t>Log every deposit and balance. Tick ✓ when paid. Overdue = red, due within 14 days = amber.</t>
        </is>
      </c>
    </row>
    <row r="3">
      <c r="A3" s="42">
        <f>"Paid "&amp;TEXT(SUMIFS(C6:C85,E6:E85,"✓"),"$#,##0")&amp;" · Still to pay "&amp;TEXT(SUM(C6:C85)-SUMIFS(C6:C85,E6:E85,"✓"),"$#,##0")&amp;" · Overdue: "&amp;COUNTIF(H6:H85,"Overdue")</f>
        <v/>
      </c>
    </row>
    <row r="4"/>
    <row r="5" ht="30" customHeight="1">
      <c r="A5" s="43" t="inlineStr">
        <is>
          <t>Vendor</t>
        </is>
      </c>
      <c r="B5" s="43" t="inlineStr">
        <is>
          <t>Budget item</t>
        </is>
      </c>
      <c r="C5" s="43" t="inlineStr">
        <is>
          <t>Amount</t>
        </is>
      </c>
      <c r="D5" s="43" t="inlineStr">
        <is>
          <t>Due date</t>
        </is>
      </c>
      <c r="E5" s="43" t="inlineStr">
        <is>
          <t>Paid ✓</t>
        </is>
      </c>
      <c r="F5" s="43" t="inlineStr">
        <is>
          <t>Paid on</t>
        </is>
      </c>
      <c r="G5" s="43" t="inlineStr">
        <is>
          <t>Days left</t>
        </is>
      </c>
      <c r="H5" s="43" t="inlineStr">
        <is>
          <t>Status</t>
        </is>
      </c>
      <c r="I5" s="43" t="inlineStr">
        <is>
          <t>Method / notes</t>
        </is>
      </c>
    </row>
    <row r="6">
      <c r="A6" s="10" t="n"/>
      <c r="B6" s="10" t="n"/>
      <c r="C6" s="55" t="n"/>
      <c r="D6" s="12" t="n"/>
      <c r="E6" s="56" t="n"/>
      <c r="F6" s="12" t="n"/>
      <c r="G6" s="57">
        <f>IF(OR(D6="",E6="✓",C6=""),"",D6-TODAY())</f>
        <v/>
      </c>
      <c r="H6" s="47">
        <f>IF(C6="","",IF(E6="✓","Paid",IF(D6="","No due date",IF(D6&lt;TODAY(),"Overdue",IF(D6-TODAY()&lt;=14,"Due soon","Upcoming")))))</f>
        <v/>
      </c>
      <c r="I6" s="10" t="n"/>
      <c r="J6" s="32">
        <f>IF(AND(C6&lt;&gt;"",E6&lt;&gt;"✓",D6&lt;&gt;""),D6+ROW()/100000,"")</f>
        <v/>
      </c>
    </row>
    <row r="7">
      <c r="A7" s="10" t="n"/>
      <c r="B7" s="10" t="n"/>
      <c r="C7" s="55" t="n"/>
      <c r="D7" s="12" t="n"/>
      <c r="E7" s="56" t="n"/>
      <c r="F7" s="12" t="n"/>
      <c r="G7" s="57">
        <f>IF(OR(D7="",E7="✓",C7=""),"",D7-TODAY())</f>
        <v/>
      </c>
      <c r="H7" s="47">
        <f>IF(C7="","",IF(E7="✓","Paid",IF(D7="","No due date",IF(D7&lt;TODAY(),"Overdue",IF(D7-TODAY()&lt;=14,"Due soon","Upcoming")))))</f>
        <v/>
      </c>
      <c r="I7" s="10" t="n"/>
      <c r="J7" s="32">
        <f>IF(AND(C7&lt;&gt;"",E7&lt;&gt;"✓",D7&lt;&gt;""),D7+ROW()/100000,"")</f>
        <v/>
      </c>
    </row>
    <row r="8">
      <c r="A8" s="10" t="n"/>
      <c r="B8" s="10" t="n"/>
      <c r="C8" s="55" t="n"/>
      <c r="D8" s="12" t="n"/>
      <c r="E8" s="56" t="n"/>
      <c r="F8" s="12" t="n"/>
      <c r="G8" s="57">
        <f>IF(OR(D8="",E8="✓",C8=""),"",D8-TODAY())</f>
        <v/>
      </c>
      <c r="H8" s="47">
        <f>IF(C8="","",IF(E8="✓","Paid",IF(D8="","No due date",IF(D8&lt;TODAY(),"Overdue",IF(D8-TODAY()&lt;=14,"Due soon","Upcoming")))))</f>
        <v/>
      </c>
      <c r="I8" s="10" t="n"/>
      <c r="J8" s="32">
        <f>IF(AND(C8&lt;&gt;"",E8&lt;&gt;"✓",D8&lt;&gt;""),D8+ROW()/100000,"")</f>
        <v/>
      </c>
    </row>
    <row r="9">
      <c r="A9" s="10" t="n"/>
      <c r="B9" s="10" t="n"/>
      <c r="C9" s="55" t="n"/>
      <c r="D9" s="12" t="n"/>
      <c r="E9" s="56" t="n"/>
      <c r="F9" s="12" t="n"/>
      <c r="G9" s="57">
        <f>IF(OR(D9="",E9="✓",C9=""),"",D9-TODAY())</f>
        <v/>
      </c>
      <c r="H9" s="47">
        <f>IF(C9="","",IF(E9="✓","Paid",IF(D9="","No due date",IF(D9&lt;TODAY(),"Overdue",IF(D9-TODAY()&lt;=14,"Due soon","Upcoming")))))</f>
        <v/>
      </c>
      <c r="I9" s="10" t="n"/>
      <c r="J9" s="32">
        <f>IF(AND(C9&lt;&gt;"",E9&lt;&gt;"✓",D9&lt;&gt;""),D9+ROW()/100000,"")</f>
        <v/>
      </c>
    </row>
    <row r="10">
      <c r="A10" s="10" t="n"/>
      <c r="B10" s="10" t="n"/>
      <c r="C10" s="55" t="n"/>
      <c r="D10" s="12" t="n"/>
      <c r="E10" s="56" t="n"/>
      <c r="F10" s="12" t="n"/>
      <c r="G10" s="57">
        <f>IF(OR(D10="",E10="✓",C10=""),"",D10-TODAY())</f>
        <v/>
      </c>
      <c r="H10" s="47">
        <f>IF(C10="","",IF(E10="✓","Paid",IF(D10="","No due date",IF(D10&lt;TODAY(),"Overdue",IF(D10-TODAY()&lt;=14,"Due soon","Upcoming")))))</f>
        <v/>
      </c>
      <c r="I10" s="10" t="n"/>
      <c r="J10" s="32">
        <f>IF(AND(C10&lt;&gt;"",E10&lt;&gt;"✓",D10&lt;&gt;""),D10+ROW()/100000,"")</f>
        <v/>
      </c>
    </row>
    <row r="11">
      <c r="A11" s="10" t="n"/>
      <c r="B11" s="10" t="n"/>
      <c r="C11" s="55" t="n"/>
      <c r="D11" s="12" t="n"/>
      <c r="E11" s="56" t="n"/>
      <c r="F11" s="12" t="n"/>
      <c r="G11" s="57">
        <f>IF(OR(D11="",E11="✓",C11=""),"",D11-TODAY())</f>
        <v/>
      </c>
      <c r="H11" s="47">
        <f>IF(C11="","",IF(E11="✓","Paid",IF(D11="","No due date",IF(D11&lt;TODAY(),"Overdue",IF(D11-TODAY()&lt;=14,"Due soon","Upcoming")))))</f>
        <v/>
      </c>
      <c r="I11" s="10" t="n"/>
      <c r="J11" s="32">
        <f>IF(AND(C11&lt;&gt;"",E11&lt;&gt;"✓",D11&lt;&gt;""),D11+ROW()/100000,"")</f>
        <v/>
      </c>
    </row>
    <row r="12">
      <c r="A12" s="10" t="n"/>
      <c r="B12" s="10" t="n"/>
      <c r="C12" s="55" t="n"/>
      <c r="D12" s="12" t="n"/>
      <c r="E12" s="56" t="n"/>
      <c r="F12" s="12" t="n"/>
      <c r="G12" s="57">
        <f>IF(OR(D12="",E12="✓",C12=""),"",D12-TODAY())</f>
        <v/>
      </c>
      <c r="H12" s="47">
        <f>IF(C12="","",IF(E12="✓","Paid",IF(D12="","No due date",IF(D12&lt;TODAY(),"Overdue",IF(D12-TODAY()&lt;=14,"Due soon","Upcoming")))))</f>
        <v/>
      </c>
      <c r="I12" s="10" t="n"/>
      <c r="J12" s="32">
        <f>IF(AND(C12&lt;&gt;"",E12&lt;&gt;"✓",D12&lt;&gt;""),D12+ROW()/100000,"")</f>
        <v/>
      </c>
    </row>
    <row r="13">
      <c r="A13" s="10" t="n"/>
      <c r="B13" s="10" t="n"/>
      <c r="C13" s="55" t="n"/>
      <c r="D13" s="12" t="n"/>
      <c r="E13" s="56" t="n"/>
      <c r="F13" s="12" t="n"/>
      <c r="G13" s="57">
        <f>IF(OR(D13="",E13="✓",C13=""),"",D13-TODAY())</f>
        <v/>
      </c>
      <c r="H13" s="47">
        <f>IF(C13="","",IF(E13="✓","Paid",IF(D13="","No due date",IF(D13&lt;TODAY(),"Overdue",IF(D13-TODAY()&lt;=14,"Due soon","Upcoming")))))</f>
        <v/>
      </c>
      <c r="I13" s="10" t="n"/>
      <c r="J13" s="32">
        <f>IF(AND(C13&lt;&gt;"",E13&lt;&gt;"✓",D13&lt;&gt;""),D13+ROW()/100000,"")</f>
        <v/>
      </c>
    </row>
    <row r="14">
      <c r="A14" s="10" t="n"/>
      <c r="B14" s="10" t="n"/>
      <c r="C14" s="55" t="n"/>
      <c r="D14" s="12" t="n"/>
      <c r="E14" s="56" t="n"/>
      <c r="F14" s="12" t="n"/>
      <c r="G14" s="57">
        <f>IF(OR(D14="",E14="✓",C14=""),"",D14-TODAY())</f>
        <v/>
      </c>
      <c r="H14" s="47">
        <f>IF(C14="","",IF(E14="✓","Paid",IF(D14="","No due date",IF(D14&lt;TODAY(),"Overdue",IF(D14-TODAY()&lt;=14,"Due soon","Upcoming")))))</f>
        <v/>
      </c>
      <c r="I14" s="10" t="n"/>
      <c r="J14" s="32">
        <f>IF(AND(C14&lt;&gt;"",E14&lt;&gt;"✓",D14&lt;&gt;""),D14+ROW()/100000,"")</f>
        <v/>
      </c>
    </row>
    <row r="15">
      <c r="A15" s="10" t="n"/>
      <c r="B15" s="10" t="n"/>
      <c r="C15" s="55" t="n"/>
      <c r="D15" s="12" t="n"/>
      <c r="E15" s="56" t="n"/>
      <c r="F15" s="12" t="n"/>
      <c r="G15" s="57">
        <f>IF(OR(D15="",E15="✓",C15=""),"",D15-TODAY())</f>
        <v/>
      </c>
      <c r="H15" s="47">
        <f>IF(C15="","",IF(E15="✓","Paid",IF(D15="","No due date",IF(D15&lt;TODAY(),"Overdue",IF(D15-TODAY()&lt;=14,"Due soon","Upcoming")))))</f>
        <v/>
      </c>
      <c r="I15" s="10" t="n"/>
      <c r="J15" s="32">
        <f>IF(AND(C15&lt;&gt;"",E15&lt;&gt;"✓",D15&lt;&gt;""),D15+ROW()/100000,"")</f>
        <v/>
      </c>
    </row>
    <row r="16">
      <c r="A16" s="10" t="n"/>
      <c r="B16" s="10" t="n"/>
      <c r="C16" s="55" t="n"/>
      <c r="D16" s="12" t="n"/>
      <c r="E16" s="56" t="n"/>
      <c r="F16" s="12" t="n"/>
      <c r="G16" s="57">
        <f>IF(OR(D16="",E16="✓",C16=""),"",D16-TODAY())</f>
        <v/>
      </c>
      <c r="H16" s="47">
        <f>IF(C16="","",IF(E16="✓","Paid",IF(D16="","No due date",IF(D16&lt;TODAY(),"Overdue",IF(D16-TODAY()&lt;=14,"Due soon","Upcoming")))))</f>
        <v/>
      </c>
      <c r="I16" s="10" t="n"/>
      <c r="J16" s="32">
        <f>IF(AND(C16&lt;&gt;"",E16&lt;&gt;"✓",D16&lt;&gt;""),D16+ROW()/100000,"")</f>
        <v/>
      </c>
    </row>
    <row r="17">
      <c r="A17" s="10" t="n"/>
      <c r="B17" s="10" t="n"/>
      <c r="C17" s="55" t="n"/>
      <c r="D17" s="12" t="n"/>
      <c r="E17" s="56" t="n"/>
      <c r="F17" s="12" t="n"/>
      <c r="G17" s="57">
        <f>IF(OR(D17="",E17="✓",C17=""),"",D17-TODAY())</f>
        <v/>
      </c>
      <c r="H17" s="47">
        <f>IF(C17="","",IF(E17="✓","Paid",IF(D17="","No due date",IF(D17&lt;TODAY(),"Overdue",IF(D17-TODAY()&lt;=14,"Due soon","Upcoming")))))</f>
        <v/>
      </c>
      <c r="I17" s="10" t="n"/>
      <c r="J17" s="32">
        <f>IF(AND(C17&lt;&gt;"",E17&lt;&gt;"✓",D17&lt;&gt;""),D17+ROW()/100000,"")</f>
        <v/>
      </c>
    </row>
    <row r="18">
      <c r="A18" s="10" t="n"/>
      <c r="B18" s="10" t="n"/>
      <c r="C18" s="55" t="n"/>
      <c r="D18" s="12" t="n"/>
      <c r="E18" s="56" t="n"/>
      <c r="F18" s="12" t="n"/>
      <c r="G18" s="57">
        <f>IF(OR(D18="",E18="✓",C18=""),"",D18-TODAY())</f>
        <v/>
      </c>
      <c r="H18" s="47">
        <f>IF(C18="","",IF(E18="✓","Paid",IF(D18="","No due date",IF(D18&lt;TODAY(),"Overdue",IF(D18-TODAY()&lt;=14,"Due soon","Upcoming")))))</f>
        <v/>
      </c>
      <c r="I18" s="10" t="n"/>
      <c r="J18" s="32">
        <f>IF(AND(C18&lt;&gt;"",E18&lt;&gt;"✓",D18&lt;&gt;""),D18+ROW()/100000,"")</f>
        <v/>
      </c>
    </row>
    <row r="19">
      <c r="A19" s="10" t="n"/>
      <c r="B19" s="10" t="n"/>
      <c r="C19" s="55" t="n"/>
      <c r="D19" s="12" t="n"/>
      <c r="E19" s="56" t="n"/>
      <c r="F19" s="12" t="n"/>
      <c r="G19" s="57">
        <f>IF(OR(D19="",E19="✓",C19=""),"",D19-TODAY())</f>
        <v/>
      </c>
      <c r="H19" s="47">
        <f>IF(C19="","",IF(E19="✓","Paid",IF(D19="","No due date",IF(D19&lt;TODAY(),"Overdue",IF(D19-TODAY()&lt;=14,"Due soon","Upcoming")))))</f>
        <v/>
      </c>
      <c r="I19" s="10" t="n"/>
      <c r="J19" s="32">
        <f>IF(AND(C19&lt;&gt;"",E19&lt;&gt;"✓",D19&lt;&gt;""),D19+ROW()/100000,"")</f>
        <v/>
      </c>
    </row>
    <row r="20">
      <c r="A20" s="10" t="n"/>
      <c r="B20" s="10" t="n"/>
      <c r="C20" s="55" t="n"/>
      <c r="D20" s="12" t="n"/>
      <c r="E20" s="56" t="n"/>
      <c r="F20" s="12" t="n"/>
      <c r="G20" s="57">
        <f>IF(OR(D20="",E20="✓",C20=""),"",D20-TODAY())</f>
        <v/>
      </c>
      <c r="H20" s="47">
        <f>IF(C20="","",IF(E20="✓","Paid",IF(D20="","No due date",IF(D20&lt;TODAY(),"Overdue",IF(D20-TODAY()&lt;=14,"Due soon","Upcoming")))))</f>
        <v/>
      </c>
      <c r="I20" s="10" t="n"/>
      <c r="J20" s="32">
        <f>IF(AND(C20&lt;&gt;"",E20&lt;&gt;"✓",D20&lt;&gt;""),D20+ROW()/100000,"")</f>
        <v/>
      </c>
    </row>
    <row r="21">
      <c r="A21" s="10" t="n"/>
      <c r="B21" s="10" t="n"/>
      <c r="C21" s="55" t="n"/>
      <c r="D21" s="12" t="n"/>
      <c r="E21" s="56" t="n"/>
      <c r="F21" s="12" t="n"/>
      <c r="G21" s="57">
        <f>IF(OR(D21="",E21="✓",C21=""),"",D21-TODAY())</f>
        <v/>
      </c>
      <c r="H21" s="47">
        <f>IF(C21="","",IF(E21="✓","Paid",IF(D21="","No due date",IF(D21&lt;TODAY(),"Overdue",IF(D21-TODAY()&lt;=14,"Due soon","Upcoming")))))</f>
        <v/>
      </c>
      <c r="I21" s="10" t="n"/>
      <c r="J21" s="32">
        <f>IF(AND(C21&lt;&gt;"",E21&lt;&gt;"✓",D21&lt;&gt;""),D21+ROW()/100000,"")</f>
        <v/>
      </c>
    </row>
    <row r="22">
      <c r="A22" s="10" t="n"/>
      <c r="B22" s="10" t="n"/>
      <c r="C22" s="55" t="n"/>
      <c r="D22" s="12" t="n"/>
      <c r="E22" s="56" t="n"/>
      <c r="F22" s="12" t="n"/>
      <c r="G22" s="57">
        <f>IF(OR(D22="",E22="✓",C22=""),"",D22-TODAY())</f>
        <v/>
      </c>
      <c r="H22" s="47">
        <f>IF(C22="","",IF(E22="✓","Paid",IF(D22="","No due date",IF(D22&lt;TODAY(),"Overdue",IF(D22-TODAY()&lt;=14,"Due soon","Upcoming")))))</f>
        <v/>
      </c>
      <c r="I22" s="10" t="n"/>
      <c r="J22" s="32">
        <f>IF(AND(C22&lt;&gt;"",E22&lt;&gt;"✓",D22&lt;&gt;""),D22+ROW()/100000,"")</f>
        <v/>
      </c>
    </row>
    <row r="23">
      <c r="A23" s="10" t="n"/>
      <c r="B23" s="10" t="n"/>
      <c r="C23" s="55" t="n"/>
      <c r="D23" s="12" t="n"/>
      <c r="E23" s="56" t="n"/>
      <c r="F23" s="12" t="n"/>
      <c r="G23" s="57">
        <f>IF(OR(D23="",E23="✓",C23=""),"",D23-TODAY())</f>
        <v/>
      </c>
      <c r="H23" s="47">
        <f>IF(C23="","",IF(E23="✓","Paid",IF(D23="","No due date",IF(D23&lt;TODAY(),"Overdue",IF(D23-TODAY()&lt;=14,"Due soon","Upcoming")))))</f>
        <v/>
      </c>
      <c r="I23" s="10" t="n"/>
      <c r="J23" s="32">
        <f>IF(AND(C23&lt;&gt;"",E23&lt;&gt;"✓",D23&lt;&gt;""),D23+ROW()/100000,"")</f>
        <v/>
      </c>
    </row>
    <row r="24">
      <c r="A24" s="10" t="n"/>
      <c r="B24" s="10" t="n"/>
      <c r="C24" s="55" t="n"/>
      <c r="D24" s="12" t="n"/>
      <c r="E24" s="56" t="n"/>
      <c r="F24" s="12" t="n"/>
      <c r="G24" s="57">
        <f>IF(OR(D24="",E24="✓",C24=""),"",D24-TODAY())</f>
        <v/>
      </c>
      <c r="H24" s="47">
        <f>IF(C24="","",IF(E24="✓","Paid",IF(D24="","No due date",IF(D24&lt;TODAY(),"Overdue",IF(D24-TODAY()&lt;=14,"Due soon","Upcoming")))))</f>
        <v/>
      </c>
      <c r="I24" s="10" t="n"/>
      <c r="J24" s="32">
        <f>IF(AND(C24&lt;&gt;"",E24&lt;&gt;"✓",D24&lt;&gt;""),D24+ROW()/100000,"")</f>
        <v/>
      </c>
    </row>
    <row r="25">
      <c r="A25" s="10" t="n"/>
      <c r="B25" s="10" t="n"/>
      <c r="C25" s="55" t="n"/>
      <c r="D25" s="12" t="n"/>
      <c r="E25" s="56" t="n"/>
      <c r="F25" s="12" t="n"/>
      <c r="G25" s="57">
        <f>IF(OR(D25="",E25="✓",C25=""),"",D25-TODAY())</f>
        <v/>
      </c>
      <c r="H25" s="47">
        <f>IF(C25="","",IF(E25="✓","Paid",IF(D25="","No due date",IF(D25&lt;TODAY(),"Overdue",IF(D25-TODAY()&lt;=14,"Due soon","Upcoming")))))</f>
        <v/>
      </c>
      <c r="I25" s="10" t="n"/>
      <c r="J25" s="32">
        <f>IF(AND(C25&lt;&gt;"",E25&lt;&gt;"✓",D25&lt;&gt;""),D25+ROW()/100000,"")</f>
        <v/>
      </c>
    </row>
    <row r="26">
      <c r="A26" s="10" t="n"/>
      <c r="B26" s="10" t="n"/>
      <c r="C26" s="55" t="n"/>
      <c r="D26" s="12" t="n"/>
      <c r="E26" s="56" t="n"/>
      <c r="F26" s="12" t="n"/>
      <c r="G26" s="57">
        <f>IF(OR(D26="",E26="✓",C26=""),"",D26-TODAY())</f>
        <v/>
      </c>
      <c r="H26" s="47">
        <f>IF(C26="","",IF(E26="✓","Paid",IF(D26="","No due date",IF(D26&lt;TODAY(),"Overdue",IF(D26-TODAY()&lt;=14,"Due soon","Upcoming")))))</f>
        <v/>
      </c>
      <c r="I26" s="10" t="n"/>
      <c r="J26" s="32">
        <f>IF(AND(C26&lt;&gt;"",E26&lt;&gt;"✓",D26&lt;&gt;""),D26+ROW()/100000,"")</f>
        <v/>
      </c>
    </row>
    <row r="27">
      <c r="A27" s="10" t="n"/>
      <c r="B27" s="10" t="n"/>
      <c r="C27" s="55" t="n"/>
      <c r="D27" s="12" t="n"/>
      <c r="E27" s="56" t="n"/>
      <c r="F27" s="12" t="n"/>
      <c r="G27" s="57">
        <f>IF(OR(D27="",E27="✓",C27=""),"",D27-TODAY())</f>
        <v/>
      </c>
      <c r="H27" s="47">
        <f>IF(C27="","",IF(E27="✓","Paid",IF(D27="","No due date",IF(D27&lt;TODAY(),"Overdue",IF(D27-TODAY()&lt;=14,"Due soon","Upcoming")))))</f>
        <v/>
      </c>
      <c r="I27" s="10" t="n"/>
      <c r="J27" s="32">
        <f>IF(AND(C27&lt;&gt;"",E27&lt;&gt;"✓",D27&lt;&gt;""),D27+ROW()/100000,"")</f>
        <v/>
      </c>
    </row>
    <row r="28">
      <c r="A28" s="10" t="n"/>
      <c r="B28" s="10" t="n"/>
      <c r="C28" s="55" t="n"/>
      <c r="D28" s="12" t="n"/>
      <c r="E28" s="56" t="n"/>
      <c r="F28" s="12" t="n"/>
      <c r="G28" s="57">
        <f>IF(OR(D28="",E28="✓",C28=""),"",D28-TODAY())</f>
        <v/>
      </c>
      <c r="H28" s="47">
        <f>IF(C28="","",IF(E28="✓","Paid",IF(D28="","No due date",IF(D28&lt;TODAY(),"Overdue",IF(D28-TODAY()&lt;=14,"Due soon","Upcoming")))))</f>
        <v/>
      </c>
      <c r="I28" s="10" t="n"/>
      <c r="J28" s="32">
        <f>IF(AND(C28&lt;&gt;"",E28&lt;&gt;"✓",D28&lt;&gt;""),D28+ROW()/100000,"")</f>
        <v/>
      </c>
    </row>
    <row r="29">
      <c r="A29" s="10" t="n"/>
      <c r="B29" s="10" t="n"/>
      <c r="C29" s="55" t="n"/>
      <c r="D29" s="12" t="n"/>
      <c r="E29" s="56" t="n"/>
      <c r="F29" s="12" t="n"/>
      <c r="G29" s="57">
        <f>IF(OR(D29="",E29="✓",C29=""),"",D29-TODAY())</f>
        <v/>
      </c>
      <c r="H29" s="47">
        <f>IF(C29="","",IF(E29="✓","Paid",IF(D29="","No due date",IF(D29&lt;TODAY(),"Overdue",IF(D29-TODAY()&lt;=14,"Due soon","Upcoming")))))</f>
        <v/>
      </c>
      <c r="I29" s="10" t="n"/>
      <c r="J29" s="32">
        <f>IF(AND(C29&lt;&gt;"",E29&lt;&gt;"✓",D29&lt;&gt;""),D29+ROW()/100000,"")</f>
        <v/>
      </c>
    </row>
    <row r="30">
      <c r="A30" s="10" t="n"/>
      <c r="B30" s="10" t="n"/>
      <c r="C30" s="55" t="n"/>
      <c r="D30" s="12" t="n"/>
      <c r="E30" s="56" t="n"/>
      <c r="F30" s="12" t="n"/>
      <c r="G30" s="57">
        <f>IF(OR(D30="",E30="✓",C30=""),"",D30-TODAY())</f>
        <v/>
      </c>
      <c r="H30" s="47">
        <f>IF(C30="","",IF(E30="✓","Paid",IF(D30="","No due date",IF(D30&lt;TODAY(),"Overdue",IF(D30-TODAY()&lt;=14,"Due soon","Upcoming")))))</f>
        <v/>
      </c>
      <c r="I30" s="10" t="n"/>
      <c r="J30" s="32">
        <f>IF(AND(C30&lt;&gt;"",E30&lt;&gt;"✓",D30&lt;&gt;""),D30+ROW()/100000,"")</f>
        <v/>
      </c>
    </row>
    <row r="31">
      <c r="A31" s="10" t="n"/>
      <c r="B31" s="10" t="n"/>
      <c r="C31" s="55" t="n"/>
      <c r="D31" s="12" t="n"/>
      <c r="E31" s="56" t="n"/>
      <c r="F31" s="12" t="n"/>
      <c r="G31" s="57">
        <f>IF(OR(D31="",E31="✓",C31=""),"",D31-TODAY())</f>
        <v/>
      </c>
      <c r="H31" s="47">
        <f>IF(C31="","",IF(E31="✓","Paid",IF(D31="","No due date",IF(D31&lt;TODAY(),"Overdue",IF(D31-TODAY()&lt;=14,"Due soon","Upcoming")))))</f>
        <v/>
      </c>
      <c r="I31" s="10" t="n"/>
      <c r="J31" s="32">
        <f>IF(AND(C31&lt;&gt;"",E31&lt;&gt;"✓",D31&lt;&gt;""),D31+ROW()/100000,"")</f>
        <v/>
      </c>
    </row>
    <row r="32">
      <c r="A32" s="10" t="n"/>
      <c r="B32" s="10" t="n"/>
      <c r="C32" s="55" t="n"/>
      <c r="D32" s="12" t="n"/>
      <c r="E32" s="56" t="n"/>
      <c r="F32" s="12" t="n"/>
      <c r="G32" s="57">
        <f>IF(OR(D32="",E32="✓",C32=""),"",D32-TODAY())</f>
        <v/>
      </c>
      <c r="H32" s="47">
        <f>IF(C32="","",IF(E32="✓","Paid",IF(D32="","No due date",IF(D32&lt;TODAY(),"Overdue",IF(D32-TODAY()&lt;=14,"Due soon","Upcoming")))))</f>
        <v/>
      </c>
      <c r="I32" s="10" t="n"/>
      <c r="J32" s="32">
        <f>IF(AND(C32&lt;&gt;"",E32&lt;&gt;"✓",D32&lt;&gt;""),D32+ROW()/100000,"")</f>
        <v/>
      </c>
    </row>
    <row r="33">
      <c r="A33" s="10" t="n"/>
      <c r="B33" s="10" t="n"/>
      <c r="C33" s="55" t="n"/>
      <c r="D33" s="12" t="n"/>
      <c r="E33" s="56" t="n"/>
      <c r="F33" s="12" t="n"/>
      <c r="G33" s="57">
        <f>IF(OR(D33="",E33="✓",C33=""),"",D33-TODAY())</f>
        <v/>
      </c>
      <c r="H33" s="47">
        <f>IF(C33="","",IF(E33="✓","Paid",IF(D33="","No due date",IF(D33&lt;TODAY(),"Overdue",IF(D33-TODAY()&lt;=14,"Due soon","Upcoming")))))</f>
        <v/>
      </c>
      <c r="I33" s="10" t="n"/>
      <c r="J33" s="32">
        <f>IF(AND(C33&lt;&gt;"",E33&lt;&gt;"✓",D33&lt;&gt;""),D33+ROW()/100000,"")</f>
        <v/>
      </c>
    </row>
    <row r="34">
      <c r="A34" s="10" t="n"/>
      <c r="B34" s="10" t="n"/>
      <c r="C34" s="55" t="n"/>
      <c r="D34" s="12" t="n"/>
      <c r="E34" s="56" t="n"/>
      <c r="F34" s="12" t="n"/>
      <c r="G34" s="57">
        <f>IF(OR(D34="",E34="✓",C34=""),"",D34-TODAY())</f>
        <v/>
      </c>
      <c r="H34" s="47">
        <f>IF(C34="","",IF(E34="✓","Paid",IF(D34="","No due date",IF(D34&lt;TODAY(),"Overdue",IF(D34-TODAY()&lt;=14,"Due soon","Upcoming")))))</f>
        <v/>
      </c>
      <c r="I34" s="10" t="n"/>
      <c r="J34" s="32">
        <f>IF(AND(C34&lt;&gt;"",E34&lt;&gt;"✓",D34&lt;&gt;""),D34+ROW()/100000,"")</f>
        <v/>
      </c>
    </row>
    <row r="35">
      <c r="A35" s="10" t="n"/>
      <c r="B35" s="10" t="n"/>
      <c r="C35" s="55" t="n"/>
      <c r="D35" s="12" t="n"/>
      <c r="E35" s="56" t="n"/>
      <c r="F35" s="12" t="n"/>
      <c r="G35" s="57">
        <f>IF(OR(D35="",E35="✓",C35=""),"",D35-TODAY())</f>
        <v/>
      </c>
      <c r="H35" s="47">
        <f>IF(C35="","",IF(E35="✓","Paid",IF(D35="","No due date",IF(D35&lt;TODAY(),"Overdue",IF(D35-TODAY()&lt;=14,"Due soon","Upcoming")))))</f>
        <v/>
      </c>
      <c r="I35" s="10" t="n"/>
      <c r="J35" s="32">
        <f>IF(AND(C35&lt;&gt;"",E35&lt;&gt;"✓",D35&lt;&gt;""),D35+ROW()/100000,"")</f>
        <v/>
      </c>
    </row>
    <row r="36">
      <c r="A36" s="10" t="n"/>
      <c r="B36" s="10" t="n"/>
      <c r="C36" s="55" t="n"/>
      <c r="D36" s="12" t="n"/>
      <c r="E36" s="56" t="n"/>
      <c r="F36" s="12" t="n"/>
      <c r="G36" s="57">
        <f>IF(OR(D36="",E36="✓",C36=""),"",D36-TODAY())</f>
        <v/>
      </c>
      <c r="H36" s="47">
        <f>IF(C36="","",IF(E36="✓","Paid",IF(D36="","No due date",IF(D36&lt;TODAY(),"Overdue",IF(D36-TODAY()&lt;=14,"Due soon","Upcoming")))))</f>
        <v/>
      </c>
      <c r="I36" s="10" t="n"/>
      <c r="J36" s="32">
        <f>IF(AND(C36&lt;&gt;"",E36&lt;&gt;"✓",D36&lt;&gt;""),D36+ROW()/100000,"")</f>
        <v/>
      </c>
    </row>
    <row r="37">
      <c r="A37" s="10" t="n"/>
      <c r="B37" s="10" t="n"/>
      <c r="C37" s="55" t="n"/>
      <c r="D37" s="12" t="n"/>
      <c r="E37" s="56" t="n"/>
      <c r="F37" s="12" t="n"/>
      <c r="G37" s="57">
        <f>IF(OR(D37="",E37="✓",C37=""),"",D37-TODAY())</f>
        <v/>
      </c>
      <c r="H37" s="47">
        <f>IF(C37="","",IF(E37="✓","Paid",IF(D37="","No due date",IF(D37&lt;TODAY(),"Overdue",IF(D37-TODAY()&lt;=14,"Due soon","Upcoming")))))</f>
        <v/>
      </c>
      <c r="I37" s="10" t="n"/>
      <c r="J37" s="32">
        <f>IF(AND(C37&lt;&gt;"",E37&lt;&gt;"✓",D37&lt;&gt;""),D37+ROW()/100000,"")</f>
        <v/>
      </c>
    </row>
    <row r="38">
      <c r="A38" s="10" t="n"/>
      <c r="B38" s="10" t="n"/>
      <c r="C38" s="55" t="n"/>
      <c r="D38" s="12" t="n"/>
      <c r="E38" s="56" t="n"/>
      <c r="F38" s="12" t="n"/>
      <c r="G38" s="57">
        <f>IF(OR(D38="",E38="✓",C38=""),"",D38-TODAY())</f>
        <v/>
      </c>
      <c r="H38" s="47">
        <f>IF(C38="","",IF(E38="✓","Paid",IF(D38="","No due date",IF(D38&lt;TODAY(),"Overdue",IF(D38-TODAY()&lt;=14,"Due soon","Upcoming")))))</f>
        <v/>
      </c>
      <c r="I38" s="10" t="n"/>
      <c r="J38" s="32">
        <f>IF(AND(C38&lt;&gt;"",E38&lt;&gt;"✓",D38&lt;&gt;""),D38+ROW()/100000,"")</f>
        <v/>
      </c>
    </row>
    <row r="39">
      <c r="A39" s="10" t="n"/>
      <c r="B39" s="10" t="n"/>
      <c r="C39" s="55" t="n"/>
      <c r="D39" s="12" t="n"/>
      <c r="E39" s="56" t="n"/>
      <c r="F39" s="12" t="n"/>
      <c r="G39" s="57">
        <f>IF(OR(D39="",E39="✓",C39=""),"",D39-TODAY())</f>
        <v/>
      </c>
      <c r="H39" s="47">
        <f>IF(C39="","",IF(E39="✓","Paid",IF(D39="","No due date",IF(D39&lt;TODAY(),"Overdue",IF(D39-TODAY()&lt;=14,"Due soon","Upcoming")))))</f>
        <v/>
      </c>
      <c r="I39" s="10" t="n"/>
      <c r="J39" s="32">
        <f>IF(AND(C39&lt;&gt;"",E39&lt;&gt;"✓",D39&lt;&gt;""),D39+ROW()/100000,"")</f>
        <v/>
      </c>
    </row>
    <row r="40">
      <c r="A40" s="10" t="n"/>
      <c r="B40" s="10" t="n"/>
      <c r="C40" s="55" t="n"/>
      <c r="D40" s="12" t="n"/>
      <c r="E40" s="56" t="n"/>
      <c r="F40" s="12" t="n"/>
      <c r="G40" s="57">
        <f>IF(OR(D40="",E40="✓",C40=""),"",D40-TODAY())</f>
        <v/>
      </c>
      <c r="H40" s="47">
        <f>IF(C40="","",IF(E40="✓","Paid",IF(D40="","No due date",IF(D40&lt;TODAY(),"Overdue",IF(D40-TODAY()&lt;=14,"Due soon","Upcoming")))))</f>
        <v/>
      </c>
      <c r="I40" s="10" t="n"/>
      <c r="J40" s="32">
        <f>IF(AND(C40&lt;&gt;"",E40&lt;&gt;"✓",D40&lt;&gt;""),D40+ROW()/100000,"")</f>
        <v/>
      </c>
    </row>
    <row r="41">
      <c r="A41" s="10" t="n"/>
      <c r="B41" s="10" t="n"/>
      <c r="C41" s="55" t="n"/>
      <c r="D41" s="12" t="n"/>
      <c r="E41" s="56" t="n"/>
      <c r="F41" s="12" t="n"/>
      <c r="G41" s="57">
        <f>IF(OR(D41="",E41="✓",C41=""),"",D41-TODAY())</f>
        <v/>
      </c>
      <c r="H41" s="47">
        <f>IF(C41="","",IF(E41="✓","Paid",IF(D41="","No due date",IF(D41&lt;TODAY(),"Overdue",IF(D41-TODAY()&lt;=14,"Due soon","Upcoming")))))</f>
        <v/>
      </c>
      <c r="I41" s="10" t="n"/>
      <c r="J41" s="32">
        <f>IF(AND(C41&lt;&gt;"",E41&lt;&gt;"✓",D41&lt;&gt;""),D41+ROW()/100000,"")</f>
        <v/>
      </c>
    </row>
    <row r="42">
      <c r="A42" s="10" t="n"/>
      <c r="B42" s="10" t="n"/>
      <c r="C42" s="55" t="n"/>
      <c r="D42" s="12" t="n"/>
      <c r="E42" s="56" t="n"/>
      <c r="F42" s="12" t="n"/>
      <c r="G42" s="57">
        <f>IF(OR(D42="",E42="✓",C42=""),"",D42-TODAY())</f>
        <v/>
      </c>
      <c r="H42" s="47">
        <f>IF(C42="","",IF(E42="✓","Paid",IF(D42="","No due date",IF(D42&lt;TODAY(),"Overdue",IF(D42-TODAY()&lt;=14,"Due soon","Upcoming")))))</f>
        <v/>
      </c>
      <c r="I42" s="10" t="n"/>
      <c r="J42" s="32">
        <f>IF(AND(C42&lt;&gt;"",E42&lt;&gt;"✓",D42&lt;&gt;""),D42+ROW()/100000,"")</f>
        <v/>
      </c>
    </row>
    <row r="43">
      <c r="A43" s="10" t="n"/>
      <c r="B43" s="10" t="n"/>
      <c r="C43" s="55" t="n"/>
      <c r="D43" s="12" t="n"/>
      <c r="E43" s="56" t="n"/>
      <c r="F43" s="12" t="n"/>
      <c r="G43" s="57">
        <f>IF(OR(D43="",E43="✓",C43=""),"",D43-TODAY())</f>
        <v/>
      </c>
      <c r="H43" s="47">
        <f>IF(C43="","",IF(E43="✓","Paid",IF(D43="","No due date",IF(D43&lt;TODAY(),"Overdue",IF(D43-TODAY()&lt;=14,"Due soon","Upcoming")))))</f>
        <v/>
      </c>
      <c r="I43" s="10" t="n"/>
      <c r="J43" s="32">
        <f>IF(AND(C43&lt;&gt;"",E43&lt;&gt;"✓",D43&lt;&gt;""),D43+ROW()/100000,"")</f>
        <v/>
      </c>
    </row>
    <row r="44">
      <c r="A44" s="10" t="n"/>
      <c r="B44" s="10" t="n"/>
      <c r="C44" s="55" t="n"/>
      <c r="D44" s="12" t="n"/>
      <c r="E44" s="56" t="n"/>
      <c r="F44" s="12" t="n"/>
      <c r="G44" s="57">
        <f>IF(OR(D44="",E44="✓",C44=""),"",D44-TODAY())</f>
        <v/>
      </c>
      <c r="H44" s="47">
        <f>IF(C44="","",IF(E44="✓","Paid",IF(D44="","No due date",IF(D44&lt;TODAY(),"Overdue",IF(D44-TODAY()&lt;=14,"Due soon","Upcoming")))))</f>
        <v/>
      </c>
      <c r="I44" s="10" t="n"/>
      <c r="J44" s="32">
        <f>IF(AND(C44&lt;&gt;"",E44&lt;&gt;"✓",D44&lt;&gt;""),D44+ROW()/100000,"")</f>
        <v/>
      </c>
    </row>
    <row r="45">
      <c r="A45" s="10" t="n"/>
      <c r="B45" s="10" t="n"/>
      <c r="C45" s="55" t="n"/>
      <c r="D45" s="12" t="n"/>
      <c r="E45" s="56" t="n"/>
      <c r="F45" s="12" t="n"/>
      <c r="G45" s="57">
        <f>IF(OR(D45="",E45="✓",C45=""),"",D45-TODAY())</f>
        <v/>
      </c>
      <c r="H45" s="47">
        <f>IF(C45="","",IF(E45="✓","Paid",IF(D45="","No due date",IF(D45&lt;TODAY(),"Overdue",IF(D45-TODAY()&lt;=14,"Due soon","Upcoming")))))</f>
        <v/>
      </c>
      <c r="I45" s="10" t="n"/>
      <c r="J45" s="32">
        <f>IF(AND(C45&lt;&gt;"",E45&lt;&gt;"✓",D45&lt;&gt;""),D45+ROW()/100000,"")</f>
        <v/>
      </c>
    </row>
    <row r="46">
      <c r="A46" s="10" t="n"/>
      <c r="B46" s="10" t="n"/>
      <c r="C46" s="55" t="n"/>
      <c r="D46" s="12" t="n"/>
      <c r="E46" s="56" t="n"/>
      <c r="F46" s="12" t="n"/>
      <c r="G46" s="57">
        <f>IF(OR(D46="",E46="✓",C46=""),"",D46-TODAY())</f>
        <v/>
      </c>
      <c r="H46" s="47">
        <f>IF(C46="","",IF(E46="✓","Paid",IF(D46="","No due date",IF(D46&lt;TODAY(),"Overdue",IF(D46-TODAY()&lt;=14,"Due soon","Upcoming")))))</f>
        <v/>
      </c>
      <c r="I46" s="10" t="n"/>
      <c r="J46" s="32">
        <f>IF(AND(C46&lt;&gt;"",E46&lt;&gt;"✓",D46&lt;&gt;""),D46+ROW()/100000,"")</f>
        <v/>
      </c>
    </row>
    <row r="47">
      <c r="A47" s="10" t="n"/>
      <c r="B47" s="10" t="n"/>
      <c r="C47" s="55" t="n"/>
      <c r="D47" s="12" t="n"/>
      <c r="E47" s="56" t="n"/>
      <c r="F47" s="12" t="n"/>
      <c r="G47" s="57">
        <f>IF(OR(D47="",E47="✓",C47=""),"",D47-TODAY())</f>
        <v/>
      </c>
      <c r="H47" s="47">
        <f>IF(C47="","",IF(E47="✓","Paid",IF(D47="","No due date",IF(D47&lt;TODAY(),"Overdue",IF(D47-TODAY()&lt;=14,"Due soon","Upcoming")))))</f>
        <v/>
      </c>
      <c r="I47" s="10" t="n"/>
      <c r="J47" s="32">
        <f>IF(AND(C47&lt;&gt;"",E47&lt;&gt;"✓",D47&lt;&gt;""),D47+ROW()/100000,"")</f>
        <v/>
      </c>
    </row>
    <row r="48">
      <c r="A48" s="10" t="n"/>
      <c r="B48" s="10" t="n"/>
      <c r="C48" s="55" t="n"/>
      <c r="D48" s="12" t="n"/>
      <c r="E48" s="56" t="n"/>
      <c r="F48" s="12" t="n"/>
      <c r="G48" s="57">
        <f>IF(OR(D48="",E48="✓",C48=""),"",D48-TODAY())</f>
        <v/>
      </c>
      <c r="H48" s="47">
        <f>IF(C48="","",IF(E48="✓","Paid",IF(D48="","No due date",IF(D48&lt;TODAY(),"Overdue",IF(D48-TODAY()&lt;=14,"Due soon","Upcoming")))))</f>
        <v/>
      </c>
      <c r="I48" s="10" t="n"/>
      <c r="J48" s="32">
        <f>IF(AND(C48&lt;&gt;"",E48&lt;&gt;"✓",D48&lt;&gt;""),D48+ROW()/100000,"")</f>
        <v/>
      </c>
    </row>
    <row r="49">
      <c r="A49" s="10" t="n"/>
      <c r="B49" s="10" t="n"/>
      <c r="C49" s="55" t="n"/>
      <c r="D49" s="12" t="n"/>
      <c r="E49" s="56" t="n"/>
      <c r="F49" s="12" t="n"/>
      <c r="G49" s="57">
        <f>IF(OR(D49="",E49="✓",C49=""),"",D49-TODAY())</f>
        <v/>
      </c>
      <c r="H49" s="47">
        <f>IF(C49="","",IF(E49="✓","Paid",IF(D49="","No due date",IF(D49&lt;TODAY(),"Overdue",IF(D49-TODAY()&lt;=14,"Due soon","Upcoming")))))</f>
        <v/>
      </c>
      <c r="I49" s="10" t="n"/>
      <c r="J49" s="32">
        <f>IF(AND(C49&lt;&gt;"",E49&lt;&gt;"✓",D49&lt;&gt;""),D49+ROW()/100000,"")</f>
        <v/>
      </c>
    </row>
    <row r="50">
      <c r="A50" s="10" t="n"/>
      <c r="B50" s="10" t="n"/>
      <c r="C50" s="55" t="n"/>
      <c r="D50" s="12" t="n"/>
      <c r="E50" s="56" t="n"/>
      <c r="F50" s="12" t="n"/>
      <c r="G50" s="57">
        <f>IF(OR(D50="",E50="✓",C50=""),"",D50-TODAY())</f>
        <v/>
      </c>
      <c r="H50" s="47">
        <f>IF(C50="","",IF(E50="✓","Paid",IF(D50="","No due date",IF(D50&lt;TODAY(),"Overdue",IF(D50-TODAY()&lt;=14,"Due soon","Upcoming")))))</f>
        <v/>
      </c>
      <c r="I50" s="10" t="n"/>
      <c r="J50" s="32">
        <f>IF(AND(C50&lt;&gt;"",E50&lt;&gt;"✓",D50&lt;&gt;""),D50+ROW()/100000,"")</f>
        <v/>
      </c>
    </row>
    <row r="51">
      <c r="A51" s="10" t="n"/>
      <c r="B51" s="10" t="n"/>
      <c r="C51" s="55" t="n"/>
      <c r="D51" s="12" t="n"/>
      <c r="E51" s="56" t="n"/>
      <c r="F51" s="12" t="n"/>
      <c r="G51" s="57">
        <f>IF(OR(D51="",E51="✓",C51=""),"",D51-TODAY())</f>
        <v/>
      </c>
      <c r="H51" s="47">
        <f>IF(C51="","",IF(E51="✓","Paid",IF(D51="","No due date",IF(D51&lt;TODAY(),"Overdue",IF(D51-TODAY()&lt;=14,"Due soon","Upcoming")))))</f>
        <v/>
      </c>
      <c r="I51" s="10" t="n"/>
      <c r="J51" s="32">
        <f>IF(AND(C51&lt;&gt;"",E51&lt;&gt;"✓",D51&lt;&gt;""),D51+ROW()/100000,"")</f>
        <v/>
      </c>
    </row>
    <row r="52">
      <c r="A52" s="10" t="n"/>
      <c r="B52" s="10" t="n"/>
      <c r="C52" s="55" t="n"/>
      <c r="D52" s="12" t="n"/>
      <c r="E52" s="56" t="n"/>
      <c r="F52" s="12" t="n"/>
      <c r="G52" s="57">
        <f>IF(OR(D52="",E52="✓",C52=""),"",D52-TODAY())</f>
        <v/>
      </c>
      <c r="H52" s="47">
        <f>IF(C52="","",IF(E52="✓","Paid",IF(D52="","No due date",IF(D52&lt;TODAY(),"Overdue",IF(D52-TODAY()&lt;=14,"Due soon","Upcoming")))))</f>
        <v/>
      </c>
      <c r="I52" s="10" t="n"/>
      <c r="J52" s="32">
        <f>IF(AND(C52&lt;&gt;"",E52&lt;&gt;"✓",D52&lt;&gt;""),D52+ROW()/100000,"")</f>
        <v/>
      </c>
    </row>
    <row r="53">
      <c r="A53" s="10" t="n"/>
      <c r="B53" s="10" t="n"/>
      <c r="C53" s="55" t="n"/>
      <c r="D53" s="12" t="n"/>
      <c r="E53" s="56" t="n"/>
      <c r="F53" s="12" t="n"/>
      <c r="G53" s="57">
        <f>IF(OR(D53="",E53="✓",C53=""),"",D53-TODAY())</f>
        <v/>
      </c>
      <c r="H53" s="47">
        <f>IF(C53="","",IF(E53="✓","Paid",IF(D53="","No due date",IF(D53&lt;TODAY(),"Overdue",IF(D53-TODAY()&lt;=14,"Due soon","Upcoming")))))</f>
        <v/>
      </c>
      <c r="I53" s="10" t="n"/>
      <c r="J53" s="32">
        <f>IF(AND(C53&lt;&gt;"",E53&lt;&gt;"✓",D53&lt;&gt;""),D53+ROW()/100000,"")</f>
        <v/>
      </c>
    </row>
    <row r="54">
      <c r="A54" s="10" t="n"/>
      <c r="B54" s="10" t="n"/>
      <c r="C54" s="55" t="n"/>
      <c r="D54" s="12" t="n"/>
      <c r="E54" s="56" t="n"/>
      <c r="F54" s="12" t="n"/>
      <c r="G54" s="57">
        <f>IF(OR(D54="",E54="✓",C54=""),"",D54-TODAY())</f>
        <v/>
      </c>
      <c r="H54" s="47">
        <f>IF(C54="","",IF(E54="✓","Paid",IF(D54="","No due date",IF(D54&lt;TODAY(),"Overdue",IF(D54-TODAY()&lt;=14,"Due soon","Upcoming")))))</f>
        <v/>
      </c>
      <c r="I54" s="10" t="n"/>
      <c r="J54" s="32">
        <f>IF(AND(C54&lt;&gt;"",E54&lt;&gt;"✓",D54&lt;&gt;""),D54+ROW()/100000,"")</f>
        <v/>
      </c>
    </row>
    <row r="55">
      <c r="A55" s="10" t="n"/>
      <c r="B55" s="10" t="n"/>
      <c r="C55" s="55" t="n"/>
      <c r="D55" s="12" t="n"/>
      <c r="E55" s="56" t="n"/>
      <c r="F55" s="12" t="n"/>
      <c r="G55" s="57">
        <f>IF(OR(D55="",E55="✓",C55=""),"",D55-TODAY())</f>
        <v/>
      </c>
      <c r="H55" s="47">
        <f>IF(C55="","",IF(E55="✓","Paid",IF(D55="","No due date",IF(D55&lt;TODAY(),"Overdue",IF(D55-TODAY()&lt;=14,"Due soon","Upcoming")))))</f>
        <v/>
      </c>
      <c r="I55" s="10" t="n"/>
      <c r="J55" s="32">
        <f>IF(AND(C55&lt;&gt;"",E55&lt;&gt;"✓",D55&lt;&gt;""),D55+ROW()/100000,"")</f>
        <v/>
      </c>
    </row>
    <row r="56">
      <c r="A56" s="10" t="n"/>
      <c r="B56" s="10" t="n"/>
      <c r="C56" s="55" t="n"/>
      <c r="D56" s="12" t="n"/>
      <c r="E56" s="56" t="n"/>
      <c r="F56" s="12" t="n"/>
      <c r="G56" s="57">
        <f>IF(OR(D56="",E56="✓",C56=""),"",D56-TODAY())</f>
        <v/>
      </c>
      <c r="H56" s="47">
        <f>IF(C56="","",IF(E56="✓","Paid",IF(D56="","No due date",IF(D56&lt;TODAY(),"Overdue",IF(D56-TODAY()&lt;=14,"Due soon","Upcoming")))))</f>
        <v/>
      </c>
      <c r="I56" s="10" t="n"/>
      <c r="J56" s="32">
        <f>IF(AND(C56&lt;&gt;"",E56&lt;&gt;"✓",D56&lt;&gt;""),D56+ROW()/100000,"")</f>
        <v/>
      </c>
    </row>
    <row r="57">
      <c r="A57" s="10" t="n"/>
      <c r="B57" s="10" t="n"/>
      <c r="C57" s="55" t="n"/>
      <c r="D57" s="12" t="n"/>
      <c r="E57" s="56" t="n"/>
      <c r="F57" s="12" t="n"/>
      <c r="G57" s="57">
        <f>IF(OR(D57="",E57="✓",C57=""),"",D57-TODAY())</f>
        <v/>
      </c>
      <c r="H57" s="47">
        <f>IF(C57="","",IF(E57="✓","Paid",IF(D57="","No due date",IF(D57&lt;TODAY(),"Overdue",IF(D57-TODAY()&lt;=14,"Due soon","Upcoming")))))</f>
        <v/>
      </c>
      <c r="I57" s="10" t="n"/>
      <c r="J57" s="32">
        <f>IF(AND(C57&lt;&gt;"",E57&lt;&gt;"✓",D57&lt;&gt;""),D57+ROW()/100000,"")</f>
        <v/>
      </c>
    </row>
    <row r="58">
      <c r="A58" s="10" t="n"/>
      <c r="B58" s="10" t="n"/>
      <c r="C58" s="55" t="n"/>
      <c r="D58" s="12" t="n"/>
      <c r="E58" s="56" t="n"/>
      <c r="F58" s="12" t="n"/>
      <c r="G58" s="57">
        <f>IF(OR(D58="",E58="✓",C58=""),"",D58-TODAY())</f>
        <v/>
      </c>
      <c r="H58" s="47">
        <f>IF(C58="","",IF(E58="✓","Paid",IF(D58="","No due date",IF(D58&lt;TODAY(),"Overdue",IF(D58-TODAY()&lt;=14,"Due soon","Upcoming")))))</f>
        <v/>
      </c>
      <c r="I58" s="10" t="n"/>
      <c r="J58" s="32">
        <f>IF(AND(C58&lt;&gt;"",E58&lt;&gt;"✓",D58&lt;&gt;""),D58+ROW()/100000,"")</f>
        <v/>
      </c>
    </row>
    <row r="59">
      <c r="A59" s="10" t="n"/>
      <c r="B59" s="10" t="n"/>
      <c r="C59" s="55" t="n"/>
      <c r="D59" s="12" t="n"/>
      <c r="E59" s="56" t="n"/>
      <c r="F59" s="12" t="n"/>
      <c r="G59" s="57">
        <f>IF(OR(D59="",E59="✓",C59=""),"",D59-TODAY())</f>
        <v/>
      </c>
      <c r="H59" s="47">
        <f>IF(C59="","",IF(E59="✓","Paid",IF(D59="","No due date",IF(D59&lt;TODAY(),"Overdue",IF(D59-TODAY()&lt;=14,"Due soon","Upcoming")))))</f>
        <v/>
      </c>
      <c r="I59" s="10" t="n"/>
      <c r="J59" s="32">
        <f>IF(AND(C59&lt;&gt;"",E59&lt;&gt;"✓",D59&lt;&gt;""),D59+ROW()/100000,"")</f>
        <v/>
      </c>
    </row>
    <row r="60">
      <c r="A60" s="10" t="n"/>
      <c r="B60" s="10" t="n"/>
      <c r="C60" s="55" t="n"/>
      <c r="D60" s="12" t="n"/>
      <c r="E60" s="56" t="n"/>
      <c r="F60" s="12" t="n"/>
      <c r="G60" s="57">
        <f>IF(OR(D60="",E60="✓",C60=""),"",D60-TODAY())</f>
        <v/>
      </c>
      <c r="H60" s="47">
        <f>IF(C60="","",IF(E60="✓","Paid",IF(D60="","No due date",IF(D60&lt;TODAY(),"Overdue",IF(D60-TODAY()&lt;=14,"Due soon","Upcoming")))))</f>
        <v/>
      </c>
      <c r="I60" s="10" t="n"/>
      <c r="J60" s="32">
        <f>IF(AND(C60&lt;&gt;"",E60&lt;&gt;"✓",D60&lt;&gt;""),D60+ROW()/100000,"")</f>
        <v/>
      </c>
    </row>
    <row r="61">
      <c r="A61" s="10" t="n"/>
      <c r="B61" s="10" t="n"/>
      <c r="C61" s="55" t="n"/>
      <c r="D61" s="12" t="n"/>
      <c r="E61" s="56" t="n"/>
      <c r="F61" s="12" t="n"/>
      <c r="G61" s="57">
        <f>IF(OR(D61="",E61="✓",C61=""),"",D61-TODAY())</f>
        <v/>
      </c>
      <c r="H61" s="47">
        <f>IF(C61="","",IF(E61="✓","Paid",IF(D61="","No due date",IF(D61&lt;TODAY(),"Overdue",IF(D61-TODAY()&lt;=14,"Due soon","Upcoming")))))</f>
        <v/>
      </c>
      <c r="I61" s="10" t="n"/>
      <c r="J61" s="32">
        <f>IF(AND(C61&lt;&gt;"",E61&lt;&gt;"✓",D61&lt;&gt;""),D61+ROW()/100000,"")</f>
        <v/>
      </c>
    </row>
    <row r="62">
      <c r="A62" s="10" t="n"/>
      <c r="B62" s="10" t="n"/>
      <c r="C62" s="55" t="n"/>
      <c r="D62" s="12" t="n"/>
      <c r="E62" s="56" t="n"/>
      <c r="F62" s="12" t="n"/>
      <c r="G62" s="57">
        <f>IF(OR(D62="",E62="✓",C62=""),"",D62-TODAY())</f>
        <v/>
      </c>
      <c r="H62" s="47">
        <f>IF(C62="","",IF(E62="✓","Paid",IF(D62="","No due date",IF(D62&lt;TODAY(),"Overdue",IF(D62-TODAY()&lt;=14,"Due soon","Upcoming")))))</f>
        <v/>
      </c>
      <c r="I62" s="10" t="n"/>
      <c r="J62" s="32">
        <f>IF(AND(C62&lt;&gt;"",E62&lt;&gt;"✓",D62&lt;&gt;""),D62+ROW()/100000,"")</f>
        <v/>
      </c>
    </row>
    <row r="63">
      <c r="A63" s="10" t="n"/>
      <c r="B63" s="10" t="n"/>
      <c r="C63" s="55" t="n"/>
      <c r="D63" s="12" t="n"/>
      <c r="E63" s="56" t="n"/>
      <c r="F63" s="12" t="n"/>
      <c r="G63" s="57">
        <f>IF(OR(D63="",E63="✓",C63=""),"",D63-TODAY())</f>
        <v/>
      </c>
      <c r="H63" s="47">
        <f>IF(C63="","",IF(E63="✓","Paid",IF(D63="","No due date",IF(D63&lt;TODAY(),"Overdue",IF(D63-TODAY()&lt;=14,"Due soon","Upcoming")))))</f>
        <v/>
      </c>
      <c r="I63" s="10" t="n"/>
      <c r="J63" s="32">
        <f>IF(AND(C63&lt;&gt;"",E63&lt;&gt;"✓",D63&lt;&gt;""),D63+ROW()/100000,"")</f>
        <v/>
      </c>
    </row>
    <row r="64">
      <c r="A64" s="10" t="n"/>
      <c r="B64" s="10" t="n"/>
      <c r="C64" s="55" t="n"/>
      <c r="D64" s="12" t="n"/>
      <c r="E64" s="56" t="n"/>
      <c r="F64" s="12" t="n"/>
      <c r="G64" s="57">
        <f>IF(OR(D64="",E64="✓",C64=""),"",D64-TODAY())</f>
        <v/>
      </c>
      <c r="H64" s="47">
        <f>IF(C64="","",IF(E64="✓","Paid",IF(D64="","No due date",IF(D64&lt;TODAY(),"Overdue",IF(D64-TODAY()&lt;=14,"Due soon","Upcoming")))))</f>
        <v/>
      </c>
      <c r="I64" s="10" t="n"/>
      <c r="J64" s="32">
        <f>IF(AND(C64&lt;&gt;"",E64&lt;&gt;"✓",D64&lt;&gt;""),D64+ROW()/100000,"")</f>
        <v/>
      </c>
    </row>
    <row r="65">
      <c r="A65" s="10" t="n"/>
      <c r="B65" s="10" t="n"/>
      <c r="C65" s="55" t="n"/>
      <c r="D65" s="12" t="n"/>
      <c r="E65" s="56" t="n"/>
      <c r="F65" s="12" t="n"/>
      <c r="G65" s="57">
        <f>IF(OR(D65="",E65="✓",C65=""),"",D65-TODAY())</f>
        <v/>
      </c>
      <c r="H65" s="47">
        <f>IF(C65="","",IF(E65="✓","Paid",IF(D65="","No due date",IF(D65&lt;TODAY(),"Overdue",IF(D65-TODAY()&lt;=14,"Due soon","Upcoming")))))</f>
        <v/>
      </c>
      <c r="I65" s="10" t="n"/>
      <c r="J65" s="32">
        <f>IF(AND(C65&lt;&gt;"",E65&lt;&gt;"✓",D65&lt;&gt;""),D65+ROW()/100000,"")</f>
        <v/>
      </c>
    </row>
    <row r="66">
      <c r="A66" s="10" t="n"/>
      <c r="B66" s="10" t="n"/>
      <c r="C66" s="55" t="n"/>
      <c r="D66" s="12" t="n"/>
      <c r="E66" s="56" t="n"/>
      <c r="F66" s="12" t="n"/>
      <c r="G66" s="57">
        <f>IF(OR(D66="",E66="✓",C66=""),"",D66-TODAY())</f>
        <v/>
      </c>
      <c r="H66" s="47">
        <f>IF(C66="","",IF(E66="✓","Paid",IF(D66="","No due date",IF(D66&lt;TODAY(),"Overdue",IF(D66-TODAY()&lt;=14,"Due soon","Upcoming")))))</f>
        <v/>
      </c>
      <c r="I66" s="10" t="n"/>
      <c r="J66" s="32">
        <f>IF(AND(C66&lt;&gt;"",E66&lt;&gt;"✓",D66&lt;&gt;""),D66+ROW()/100000,"")</f>
        <v/>
      </c>
    </row>
    <row r="67">
      <c r="A67" s="10" t="n"/>
      <c r="B67" s="10" t="n"/>
      <c r="C67" s="55" t="n"/>
      <c r="D67" s="12" t="n"/>
      <c r="E67" s="56" t="n"/>
      <c r="F67" s="12" t="n"/>
      <c r="G67" s="57">
        <f>IF(OR(D67="",E67="✓",C67=""),"",D67-TODAY())</f>
        <v/>
      </c>
      <c r="H67" s="47">
        <f>IF(C67="","",IF(E67="✓","Paid",IF(D67="","No due date",IF(D67&lt;TODAY(),"Overdue",IF(D67-TODAY()&lt;=14,"Due soon","Upcoming")))))</f>
        <v/>
      </c>
      <c r="I67" s="10" t="n"/>
      <c r="J67" s="32">
        <f>IF(AND(C67&lt;&gt;"",E67&lt;&gt;"✓",D67&lt;&gt;""),D67+ROW()/100000,"")</f>
        <v/>
      </c>
    </row>
    <row r="68">
      <c r="A68" s="10" t="n"/>
      <c r="B68" s="10" t="n"/>
      <c r="C68" s="55" t="n"/>
      <c r="D68" s="12" t="n"/>
      <c r="E68" s="56" t="n"/>
      <c r="F68" s="12" t="n"/>
      <c r="G68" s="57">
        <f>IF(OR(D68="",E68="✓",C68=""),"",D68-TODAY())</f>
        <v/>
      </c>
      <c r="H68" s="47">
        <f>IF(C68="","",IF(E68="✓","Paid",IF(D68="","No due date",IF(D68&lt;TODAY(),"Overdue",IF(D68-TODAY()&lt;=14,"Due soon","Upcoming")))))</f>
        <v/>
      </c>
      <c r="I68" s="10" t="n"/>
      <c r="J68" s="32">
        <f>IF(AND(C68&lt;&gt;"",E68&lt;&gt;"✓",D68&lt;&gt;""),D68+ROW()/100000,"")</f>
        <v/>
      </c>
    </row>
    <row r="69">
      <c r="A69" s="10" t="n"/>
      <c r="B69" s="10" t="n"/>
      <c r="C69" s="55" t="n"/>
      <c r="D69" s="12" t="n"/>
      <c r="E69" s="56" t="n"/>
      <c r="F69" s="12" t="n"/>
      <c r="G69" s="57">
        <f>IF(OR(D69="",E69="✓",C69=""),"",D69-TODAY())</f>
        <v/>
      </c>
      <c r="H69" s="47">
        <f>IF(C69="","",IF(E69="✓","Paid",IF(D69="","No due date",IF(D69&lt;TODAY(),"Overdue",IF(D69-TODAY()&lt;=14,"Due soon","Upcoming")))))</f>
        <v/>
      </c>
      <c r="I69" s="10" t="n"/>
      <c r="J69" s="32">
        <f>IF(AND(C69&lt;&gt;"",E69&lt;&gt;"✓",D69&lt;&gt;""),D69+ROW()/100000,"")</f>
        <v/>
      </c>
    </row>
    <row r="70">
      <c r="A70" s="10" t="n"/>
      <c r="B70" s="10" t="n"/>
      <c r="C70" s="55" t="n"/>
      <c r="D70" s="12" t="n"/>
      <c r="E70" s="56" t="n"/>
      <c r="F70" s="12" t="n"/>
      <c r="G70" s="57">
        <f>IF(OR(D70="",E70="✓",C70=""),"",D70-TODAY())</f>
        <v/>
      </c>
      <c r="H70" s="47">
        <f>IF(C70="","",IF(E70="✓","Paid",IF(D70="","No due date",IF(D70&lt;TODAY(),"Overdue",IF(D70-TODAY()&lt;=14,"Due soon","Upcoming")))))</f>
        <v/>
      </c>
      <c r="I70" s="10" t="n"/>
      <c r="J70" s="32">
        <f>IF(AND(C70&lt;&gt;"",E70&lt;&gt;"✓",D70&lt;&gt;""),D70+ROW()/100000,"")</f>
        <v/>
      </c>
    </row>
    <row r="71">
      <c r="A71" s="10" t="n"/>
      <c r="B71" s="10" t="n"/>
      <c r="C71" s="55" t="n"/>
      <c r="D71" s="12" t="n"/>
      <c r="E71" s="56" t="n"/>
      <c r="F71" s="12" t="n"/>
      <c r="G71" s="57">
        <f>IF(OR(D71="",E71="✓",C71=""),"",D71-TODAY())</f>
        <v/>
      </c>
      <c r="H71" s="47">
        <f>IF(C71="","",IF(E71="✓","Paid",IF(D71="","No due date",IF(D71&lt;TODAY(),"Overdue",IF(D71-TODAY()&lt;=14,"Due soon","Upcoming")))))</f>
        <v/>
      </c>
      <c r="I71" s="10" t="n"/>
      <c r="J71" s="32">
        <f>IF(AND(C71&lt;&gt;"",E71&lt;&gt;"✓",D71&lt;&gt;""),D71+ROW()/100000,"")</f>
        <v/>
      </c>
    </row>
    <row r="72">
      <c r="A72" s="10" t="n"/>
      <c r="B72" s="10" t="n"/>
      <c r="C72" s="55" t="n"/>
      <c r="D72" s="12" t="n"/>
      <c r="E72" s="56" t="n"/>
      <c r="F72" s="12" t="n"/>
      <c r="G72" s="57">
        <f>IF(OR(D72="",E72="✓",C72=""),"",D72-TODAY())</f>
        <v/>
      </c>
      <c r="H72" s="47">
        <f>IF(C72="","",IF(E72="✓","Paid",IF(D72="","No due date",IF(D72&lt;TODAY(),"Overdue",IF(D72-TODAY()&lt;=14,"Due soon","Upcoming")))))</f>
        <v/>
      </c>
      <c r="I72" s="10" t="n"/>
      <c r="J72" s="32">
        <f>IF(AND(C72&lt;&gt;"",E72&lt;&gt;"✓",D72&lt;&gt;""),D72+ROW()/100000,"")</f>
        <v/>
      </c>
    </row>
    <row r="73">
      <c r="A73" s="10" t="n"/>
      <c r="B73" s="10" t="n"/>
      <c r="C73" s="55" t="n"/>
      <c r="D73" s="12" t="n"/>
      <c r="E73" s="56" t="n"/>
      <c r="F73" s="12" t="n"/>
      <c r="G73" s="57">
        <f>IF(OR(D73="",E73="✓",C73=""),"",D73-TODAY())</f>
        <v/>
      </c>
      <c r="H73" s="47">
        <f>IF(C73="","",IF(E73="✓","Paid",IF(D73="","No due date",IF(D73&lt;TODAY(),"Overdue",IF(D73-TODAY()&lt;=14,"Due soon","Upcoming")))))</f>
        <v/>
      </c>
      <c r="I73" s="10" t="n"/>
      <c r="J73" s="32">
        <f>IF(AND(C73&lt;&gt;"",E73&lt;&gt;"✓",D73&lt;&gt;""),D73+ROW()/100000,"")</f>
        <v/>
      </c>
    </row>
    <row r="74">
      <c r="A74" s="10" t="n"/>
      <c r="B74" s="10" t="n"/>
      <c r="C74" s="55" t="n"/>
      <c r="D74" s="12" t="n"/>
      <c r="E74" s="56" t="n"/>
      <c r="F74" s="12" t="n"/>
      <c r="G74" s="57">
        <f>IF(OR(D74="",E74="✓",C74=""),"",D74-TODAY())</f>
        <v/>
      </c>
      <c r="H74" s="47">
        <f>IF(C74="","",IF(E74="✓","Paid",IF(D74="","No due date",IF(D74&lt;TODAY(),"Overdue",IF(D74-TODAY()&lt;=14,"Due soon","Upcoming")))))</f>
        <v/>
      </c>
      <c r="I74" s="10" t="n"/>
      <c r="J74" s="32">
        <f>IF(AND(C74&lt;&gt;"",E74&lt;&gt;"✓",D74&lt;&gt;""),D74+ROW()/100000,"")</f>
        <v/>
      </c>
    </row>
    <row r="75">
      <c r="A75" s="10" t="n"/>
      <c r="B75" s="10" t="n"/>
      <c r="C75" s="55" t="n"/>
      <c r="D75" s="12" t="n"/>
      <c r="E75" s="56" t="n"/>
      <c r="F75" s="12" t="n"/>
      <c r="G75" s="57">
        <f>IF(OR(D75="",E75="✓",C75=""),"",D75-TODAY())</f>
        <v/>
      </c>
      <c r="H75" s="47">
        <f>IF(C75="","",IF(E75="✓","Paid",IF(D75="","No due date",IF(D75&lt;TODAY(),"Overdue",IF(D75-TODAY()&lt;=14,"Due soon","Upcoming")))))</f>
        <v/>
      </c>
      <c r="I75" s="10" t="n"/>
      <c r="J75" s="32">
        <f>IF(AND(C75&lt;&gt;"",E75&lt;&gt;"✓",D75&lt;&gt;""),D75+ROW()/100000,"")</f>
        <v/>
      </c>
    </row>
    <row r="76">
      <c r="A76" s="10" t="n"/>
      <c r="B76" s="10" t="n"/>
      <c r="C76" s="55" t="n"/>
      <c r="D76" s="12" t="n"/>
      <c r="E76" s="56" t="n"/>
      <c r="F76" s="12" t="n"/>
      <c r="G76" s="57">
        <f>IF(OR(D76="",E76="✓",C76=""),"",D76-TODAY())</f>
        <v/>
      </c>
      <c r="H76" s="47">
        <f>IF(C76="","",IF(E76="✓","Paid",IF(D76="","No due date",IF(D76&lt;TODAY(),"Overdue",IF(D76-TODAY()&lt;=14,"Due soon","Upcoming")))))</f>
        <v/>
      </c>
      <c r="I76" s="10" t="n"/>
      <c r="J76" s="32">
        <f>IF(AND(C76&lt;&gt;"",E76&lt;&gt;"✓",D76&lt;&gt;""),D76+ROW()/100000,"")</f>
        <v/>
      </c>
    </row>
    <row r="77">
      <c r="A77" s="10" t="n"/>
      <c r="B77" s="10" t="n"/>
      <c r="C77" s="55" t="n"/>
      <c r="D77" s="12" t="n"/>
      <c r="E77" s="56" t="n"/>
      <c r="F77" s="12" t="n"/>
      <c r="G77" s="57">
        <f>IF(OR(D77="",E77="✓",C77=""),"",D77-TODAY())</f>
        <v/>
      </c>
      <c r="H77" s="47">
        <f>IF(C77="","",IF(E77="✓","Paid",IF(D77="","No due date",IF(D77&lt;TODAY(),"Overdue",IF(D77-TODAY()&lt;=14,"Due soon","Upcoming")))))</f>
        <v/>
      </c>
      <c r="I77" s="10" t="n"/>
      <c r="J77" s="32">
        <f>IF(AND(C77&lt;&gt;"",E77&lt;&gt;"✓",D77&lt;&gt;""),D77+ROW()/100000,"")</f>
        <v/>
      </c>
    </row>
    <row r="78">
      <c r="A78" s="10" t="n"/>
      <c r="B78" s="10" t="n"/>
      <c r="C78" s="55" t="n"/>
      <c r="D78" s="12" t="n"/>
      <c r="E78" s="56" t="n"/>
      <c r="F78" s="12" t="n"/>
      <c r="G78" s="57">
        <f>IF(OR(D78="",E78="✓",C78=""),"",D78-TODAY())</f>
        <v/>
      </c>
      <c r="H78" s="47">
        <f>IF(C78="","",IF(E78="✓","Paid",IF(D78="","No due date",IF(D78&lt;TODAY(),"Overdue",IF(D78-TODAY()&lt;=14,"Due soon","Upcoming")))))</f>
        <v/>
      </c>
      <c r="I78" s="10" t="n"/>
      <c r="J78" s="32">
        <f>IF(AND(C78&lt;&gt;"",E78&lt;&gt;"✓",D78&lt;&gt;""),D78+ROW()/100000,"")</f>
        <v/>
      </c>
    </row>
    <row r="79">
      <c r="A79" s="10" t="n"/>
      <c r="B79" s="10" t="n"/>
      <c r="C79" s="55" t="n"/>
      <c r="D79" s="12" t="n"/>
      <c r="E79" s="56" t="n"/>
      <c r="F79" s="12" t="n"/>
      <c r="G79" s="57">
        <f>IF(OR(D79="",E79="✓",C79=""),"",D79-TODAY())</f>
        <v/>
      </c>
      <c r="H79" s="47">
        <f>IF(C79="","",IF(E79="✓","Paid",IF(D79="","No due date",IF(D79&lt;TODAY(),"Overdue",IF(D79-TODAY()&lt;=14,"Due soon","Upcoming")))))</f>
        <v/>
      </c>
      <c r="I79" s="10" t="n"/>
      <c r="J79" s="32">
        <f>IF(AND(C79&lt;&gt;"",E79&lt;&gt;"✓",D79&lt;&gt;""),D79+ROW()/100000,"")</f>
        <v/>
      </c>
    </row>
    <row r="80">
      <c r="A80" s="10" t="n"/>
      <c r="B80" s="10" t="n"/>
      <c r="C80" s="55" t="n"/>
      <c r="D80" s="12" t="n"/>
      <c r="E80" s="56" t="n"/>
      <c r="F80" s="12" t="n"/>
      <c r="G80" s="57">
        <f>IF(OR(D80="",E80="✓",C80=""),"",D80-TODAY())</f>
        <v/>
      </c>
      <c r="H80" s="47">
        <f>IF(C80="","",IF(E80="✓","Paid",IF(D80="","No due date",IF(D80&lt;TODAY(),"Overdue",IF(D80-TODAY()&lt;=14,"Due soon","Upcoming")))))</f>
        <v/>
      </c>
      <c r="I80" s="10" t="n"/>
      <c r="J80" s="32">
        <f>IF(AND(C80&lt;&gt;"",E80&lt;&gt;"✓",D80&lt;&gt;""),D80+ROW()/100000,"")</f>
        <v/>
      </c>
    </row>
    <row r="81">
      <c r="A81" s="10" t="n"/>
      <c r="B81" s="10" t="n"/>
      <c r="C81" s="55" t="n"/>
      <c r="D81" s="12" t="n"/>
      <c r="E81" s="56" t="n"/>
      <c r="F81" s="12" t="n"/>
      <c r="G81" s="57">
        <f>IF(OR(D81="",E81="✓",C81=""),"",D81-TODAY())</f>
        <v/>
      </c>
      <c r="H81" s="47">
        <f>IF(C81="","",IF(E81="✓","Paid",IF(D81="","No due date",IF(D81&lt;TODAY(),"Overdue",IF(D81-TODAY()&lt;=14,"Due soon","Upcoming")))))</f>
        <v/>
      </c>
      <c r="I81" s="10" t="n"/>
      <c r="J81" s="32">
        <f>IF(AND(C81&lt;&gt;"",E81&lt;&gt;"✓",D81&lt;&gt;""),D81+ROW()/100000,"")</f>
        <v/>
      </c>
    </row>
    <row r="82">
      <c r="A82" s="10" t="n"/>
      <c r="B82" s="10" t="n"/>
      <c r="C82" s="55" t="n"/>
      <c r="D82" s="12" t="n"/>
      <c r="E82" s="56" t="n"/>
      <c r="F82" s="12" t="n"/>
      <c r="G82" s="57">
        <f>IF(OR(D82="",E82="✓",C82=""),"",D82-TODAY())</f>
        <v/>
      </c>
      <c r="H82" s="47">
        <f>IF(C82="","",IF(E82="✓","Paid",IF(D82="","No due date",IF(D82&lt;TODAY(),"Overdue",IF(D82-TODAY()&lt;=14,"Due soon","Upcoming")))))</f>
        <v/>
      </c>
      <c r="I82" s="10" t="n"/>
      <c r="J82" s="32">
        <f>IF(AND(C82&lt;&gt;"",E82&lt;&gt;"✓",D82&lt;&gt;""),D82+ROW()/100000,"")</f>
        <v/>
      </c>
    </row>
    <row r="83">
      <c r="A83" s="10" t="n"/>
      <c r="B83" s="10" t="n"/>
      <c r="C83" s="55" t="n"/>
      <c r="D83" s="12" t="n"/>
      <c r="E83" s="56" t="n"/>
      <c r="F83" s="12" t="n"/>
      <c r="G83" s="57">
        <f>IF(OR(D83="",E83="✓",C83=""),"",D83-TODAY())</f>
        <v/>
      </c>
      <c r="H83" s="47">
        <f>IF(C83="","",IF(E83="✓","Paid",IF(D83="","No due date",IF(D83&lt;TODAY(),"Overdue",IF(D83-TODAY()&lt;=14,"Due soon","Upcoming")))))</f>
        <v/>
      </c>
      <c r="I83" s="10" t="n"/>
      <c r="J83" s="32">
        <f>IF(AND(C83&lt;&gt;"",E83&lt;&gt;"✓",D83&lt;&gt;""),D83+ROW()/100000,"")</f>
        <v/>
      </c>
    </row>
    <row r="84">
      <c r="A84" s="10" t="n"/>
      <c r="B84" s="10" t="n"/>
      <c r="C84" s="55" t="n"/>
      <c r="D84" s="12" t="n"/>
      <c r="E84" s="56" t="n"/>
      <c r="F84" s="12" t="n"/>
      <c r="G84" s="57">
        <f>IF(OR(D84="",E84="✓",C84=""),"",D84-TODAY())</f>
        <v/>
      </c>
      <c r="H84" s="47">
        <f>IF(C84="","",IF(E84="✓","Paid",IF(D84="","No due date",IF(D84&lt;TODAY(),"Overdue",IF(D84-TODAY()&lt;=14,"Due soon","Upcoming")))))</f>
        <v/>
      </c>
      <c r="I84" s="10" t="n"/>
      <c r="J84" s="32">
        <f>IF(AND(C84&lt;&gt;"",E84&lt;&gt;"✓",D84&lt;&gt;""),D84+ROW()/100000,"")</f>
        <v/>
      </c>
    </row>
    <row r="85">
      <c r="A85" s="10" t="n"/>
      <c r="B85" s="10" t="n"/>
      <c r="C85" s="55" t="n"/>
      <c r="D85" s="12" t="n"/>
      <c r="E85" s="56" t="n"/>
      <c r="F85" s="12" t="n"/>
      <c r="G85" s="57">
        <f>IF(OR(D85="",E85="✓",C85=""),"",D85-TODAY())</f>
        <v/>
      </c>
      <c r="H85" s="47">
        <f>IF(C85="","",IF(E85="✓","Paid",IF(D85="","No due date",IF(D85&lt;TODAY(),"Overdue",IF(D85-TODAY()&lt;=14,"Due soon","Upcoming")))))</f>
        <v/>
      </c>
      <c r="I85" s="10" t="n"/>
      <c r="J85" s="32">
        <f>IF(AND(C85&lt;&gt;"",E85&lt;&gt;"✓",D85&lt;&gt;""),D85+ROW()/100000,"")</f>
        <v/>
      </c>
    </row>
  </sheetData>
  <conditionalFormatting sqref="A6:I85">
    <cfRule type="expression" priority="1" dxfId="6" stopIfTrue="0">
      <formula>$H6="Paid"</formula>
    </cfRule>
    <cfRule type="expression" priority="2" dxfId="1" stopIfTrue="0">
      <formula>$H6="Overdue"</formula>
    </cfRule>
    <cfRule type="expression" priority="3" dxfId="0" stopIfTrue="0">
      <formula>$H6="Due soon"</formula>
    </cfRule>
  </conditionalFormatting>
  <dataValidations count="3">
    <dataValidation sqref="A6:A85" showDropDown="0" showInputMessage="0" showErrorMessage="0" allowBlank="1" type="list">
      <formula1>=Vendors!$A$6:$A$45</formula1>
    </dataValidation>
    <dataValidation sqref="B6:B85" showDropDown="0" showInputMessage="0" showErrorMessage="0" allowBlank="1" type="list">
      <formula1>=Budget!$A$6:$A$105</formula1>
    </dataValidation>
    <dataValidation sqref="E6:E85" showDropDown="0" showInputMessage="0" showErrorMessage="0" allowBlank="1" type="list">
      <formula1>=Lists!$M$5:$M$5</formula1>
    </dataValidation>
  </dataValidations>
  <pageMargins left="0.5" right="0.5" top="0.6" bottom="0.6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C9D3E0"/>
    <outlinePr summaryBelow="1" summaryRight="1"/>
    <pageSetUpPr fitToPage="1"/>
  </sheetPr>
  <dimension ref="A1:L4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4" customWidth="1" min="4" max="4"/>
    <col width="22" customWidth="1" min="5" max="5"/>
    <col width="22" customWidth="1" min="6" max="6"/>
    <col width="12" customWidth="1" min="7" max="7"/>
    <col width="9" customWidth="1" min="8" max="8"/>
    <col width="11" customWidth="1" min="9" max="9"/>
    <col width="11" customWidth="1" min="10" max="10"/>
    <col width="11" customWidth="1" min="11" max="11"/>
    <col width="24" customWidth="1" min="12" max="12"/>
  </cols>
  <sheetData>
    <row r="1" ht="30" customHeight="1">
      <c r="A1" s="1" t="inlineStr">
        <is>
          <t>Vendors</t>
        </is>
      </c>
    </row>
    <row r="2">
      <c r="A2" s="11" t="inlineStr">
        <is>
          <t>Committed and Paid fill in from Budget and Payments when you pick this vendor there.</t>
        </is>
      </c>
    </row>
    <row r="3"/>
    <row r="4"/>
    <row r="5" ht="30" customHeight="1">
      <c r="A5" s="43" t="inlineStr">
        <is>
          <t>Vendor</t>
        </is>
      </c>
      <c r="B5" s="43" t="inlineStr">
        <is>
          <t>Category</t>
        </is>
      </c>
      <c r="C5" s="43" t="inlineStr">
        <is>
          <t>Contact</t>
        </is>
      </c>
      <c r="D5" s="43" t="inlineStr">
        <is>
          <t>Phone</t>
        </is>
      </c>
      <c r="E5" s="43" t="inlineStr">
        <is>
          <t>Email</t>
        </is>
      </c>
      <c r="F5" s="43" t="inlineStr">
        <is>
          <t>Website</t>
        </is>
      </c>
      <c r="G5" s="43" t="inlineStr">
        <is>
          <t>Status</t>
        </is>
      </c>
      <c r="H5" s="43" t="inlineStr">
        <is>
          <t>Contract ✓</t>
        </is>
      </c>
      <c r="I5" s="43" t="inlineStr">
        <is>
          <t>Committed</t>
        </is>
      </c>
      <c r="J5" s="43" t="inlineStr">
        <is>
          <t>Paid</t>
        </is>
      </c>
      <c r="K5" s="43" t="inlineStr">
        <is>
          <t>Balance</t>
        </is>
      </c>
      <c r="L5" s="43" t="inlineStr">
        <is>
          <t>Notes</t>
        </is>
      </c>
    </row>
    <row r="6">
      <c r="A6" s="10" t="n"/>
      <c r="B6" s="10" t="n"/>
      <c r="C6" s="10" t="n"/>
      <c r="D6" s="58" t="n"/>
      <c r="E6" s="10" t="n"/>
      <c r="F6" s="10" t="n"/>
      <c r="G6" s="10" t="n"/>
      <c r="H6" s="56" t="n"/>
      <c r="I6" s="46">
        <f>IF(A6="","",SUMIFS(Budget!$I$6:$I$105,Budget!$C$6:$C$105,A6))</f>
        <v/>
      </c>
      <c r="J6" s="46">
        <f>IF(A6="","",SUMIFS(Payments!$C$6:$C$85,Payments!$A$6:$A$85,A6,Payments!$E$6:$E$85,"✓"))</f>
        <v/>
      </c>
      <c r="K6" s="46">
        <f>IF(A6="","",MAX(0,N(I6)-N(J6)))</f>
        <v/>
      </c>
      <c r="L6" s="10" t="n"/>
    </row>
    <row r="7">
      <c r="A7" s="10" t="n"/>
      <c r="B7" s="10" t="n"/>
      <c r="C7" s="10" t="n"/>
      <c r="D7" s="58" t="n"/>
      <c r="E7" s="10" t="n"/>
      <c r="F7" s="10" t="n"/>
      <c r="G7" s="10" t="n"/>
      <c r="H7" s="56" t="n"/>
      <c r="I7" s="46">
        <f>IF(A7="","",SUMIFS(Budget!$I$6:$I$105,Budget!$C$6:$C$105,A7))</f>
        <v/>
      </c>
      <c r="J7" s="46">
        <f>IF(A7="","",SUMIFS(Payments!$C$6:$C$85,Payments!$A$6:$A$85,A7,Payments!$E$6:$E$85,"✓"))</f>
        <v/>
      </c>
      <c r="K7" s="46">
        <f>IF(A7="","",MAX(0,N(I7)-N(J7)))</f>
        <v/>
      </c>
      <c r="L7" s="10" t="n"/>
    </row>
    <row r="8">
      <c r="A8" s="10" t="n"/>
      <c r="B8" s="10" t="n"/>
      <c r="C8" s="10" t="n"/>
      <c r="D8" s="58" t="n"/>
      <c r="E8" s="10" t="n"/>
      <c r="F8" s="10" t="n"/>
      <c r="G8" s="10" t="n"/>
      <c r="H8" s="56" t="n"/>
      <c r="I8" s="46">
        <f>IF(A8="","",SUMIFS(Budget!$I$6:$I$105,Budget!$C$6:$C$105,A8))</f>
        <v/>
      </c>
      <c r="J8" s="46">
        <f>IF(A8="","",SUMIFS(Payments!$C$6:$C$85,Payments!$A$6:$A$85,A8,Payments!$E$6:$E$85,"✓"))</f>
        <v/>
      </c>
      <c r="K8" s="46">
        <f>IF(A8="","",MAX(0,N(I8)-N(J8)))</f>
        <v/>
      </c>
      <c r="L8" s="10" t="n"/>
    </row>
    <row r="9">
      <c r="A9" s="10" t="n"/>
      <c r="B9" s="10" t="n"/>
      <c r="C9" s="10" t="n"/>
      <c r="D9" s="58" t="n"/>
      <c r="E9" s="10" t="n"/>
      <c r="F9" s="10" t="n"/>
      <c r="G9" s="10" t="n"/>
      <c r="H9" s="56" t="n"/>
      <c r="I9" s="46">
        <f>IF(A9="","",SUMIFS(Budget!$I$6:$I$105,Budget!$C$6:$C$105,A9))</f>
        <v/>
      </c>
      <c r="J9" s="46">
        <f>IF(A9="","",SUMIFS(Payments!$C$6:$C$85,Payments!$A$6:$A$85,A9,Payments!$E$6:$E$85,"✓"))</f>
        <v/>
      </c>
      <c r="K9" s="46">
        <f>IF(A9="","",MAX(0,N(I9)-N(J9)))</f>
        <v/>
      </c>
      <c r="L9" s="10" t="n"/>
    </row>
    <row r="10">
      <c r="A10" s="10" t="n"/>
      <c r="B10" s="10" t="n"/>
      <c r="C10" s="10" t="n"/>
      <c r="D10" s="58" t="n"/>
      <c r="E10" s="10" t="n"/>
      <c r="F10" s="10" t="n"/>
      <c r="G10" s="10" t="n"/>
      <c r="H10" s="56" t="n"/>
      <c r="I10" s="46">
        <f>IF(A10="","",SUMIFS(Budget!$I$6:$I$105,Budget!$C$6:$C$105,A10))</f>
        <v/>
      </c>
      <c r="J10" s="46">
        <f>IF(A10="","",SUMIFS(Payments!$C$6:$C$85,Payments!$A$6:$A$85,A10,Payments!$E$6:$E$85,"✓"))</f>
        <v/>
      </c>
      <c r="K10" s="46">
        <f>IF(A10="","",MAX(0,N(I10)-N(J10)))</f>
        <v/>
      </c>
      <c r="L10" s="10" t="n"/>
    </row>
    <row r="11">
      <c r="A11" s="10" t="n"/>
      <c r="B11" s="10" t="n"/>
      <c r="C11" s="10" t="n"/>
      <c r="D11" s="58" t="n"/>
      <c r="E11" s="10" t="n"/>
      <c r="F11" s="10" t="n"/>
      <c r="G11" s="10" t="n"/>
      <c r="H11" s="56" t="n"/>
      <c r="I11" s="46">
        <f>IF(A11="","",SUMIFS(Budget!$I$6:$I$105,Budget!$C$6:$C$105,A11))</f>
        <v/>
      </c>
      <c r="J11" s="46">
        <f>IF(A11="","",SUMIFS(Payments!$C$6:$C$85,Payments!$A$6:$A$85,A11,Payments!$E$6:$E$85,"✓"))</f>
        <v/>
      </c>
      <c r="K11" s="46">
        <f>IF(A11="","",MAX(0,N(I11)-N(J11)))</f>
        <v/>
      </c>
      <c r="L11" s="10" t="n"/>
    </row>
    <row r="12">
      <c r="A12" s="10" t="n"/>
      <c r="B12" s="10" t="n"/>
      <c r="C12" s="10" t="n"/>
      <c r="D12" s="58" t="n"/>
      <c r="E12" s="10" t="n"/>
      <c r="F12" s="10" t="n"/>
      <c r="G12" s="10" t="n"/>
      <c r="H12" s="56" t="n"/>
      <c r="I12" s="46">
        <f>IF(A12="","",SUMIFS(Budget!$I$6:$I$105,Budget!$C$6:$C$105,A12))</f>
        <v/>
      </c>
      <c r="J12" s="46">
        <f>IF(A12="","",SUMIFS(Payments!$C$6:$C$85,Payments!$A$6:$A$85,A12,Payments!$E$6:$E$85,"✓"))</f>
        <v/>
      </c>
      <c r="K12" s="46">
        <f>IF(A12="","",MAX(0,N(I12)-N(J12)))</f>
        <v/>
      </c>
      <c r="L12" s="10" t="n"/>
    </row>
    <row r="13">
      <c r="A13" s="10" t="n"/>
      <c r="B13" s="10" t="n"/>
      <c r="C13" s="10" t="n"/>
      <c r="D13" s="58" t="n"/>
      <c r="E13" s="10" t="n"/>
      <c r="F13" s="10" t="n"/>
      <c r="G13" s="10" t="n"/>
      <c r="H13" s="56" t="n"/>
      <c r="I13" s="46">
        <f>IF(A13="","",SUMIFS(Budget!$I$6:$I$105,Budget!$C$6:$C$105,A13))</f>
        <v/>
      </c>
      <c r="J13" s="46">
        <f>IF(A13="","",SUMIFS(Payments!$C$6:$C$85,Payments!$A$6:$A$85,A13,Payments!$E$6:$E$85,"✓"))</f>
        <v/>
      </c>
      <c r="K13" s="46">
        <f>IF(A13="","",MAX(0,N(I13)-N(J13)))</f>
        <v/>
      </c>
      <c r="L13" s="10" t="n"/>
    </row>
    <row r="14">
      <c r="A14" s="10" t="n"/>
      <c r="B14" s="10" t="n"/>
      <c r="C14" s="10" t="n"/>
      <c r="D14" s="58" t="n"/>
      <c r="E14" s="10" t="n"/>
      <c r="F14" s="10" t="n"/>
      <c r="G14" s="10" t="n"/>
      <c r="H14" s="56" t="n"/>
      <c r="I14" s="46">
        <f>IF(A14="","",SUMIFS(Budget!$I$6:$I$105,Budget!$C$6:$C$105,A14))</f>
        <v/>
      </c>
      <c r="J14" s="46">
        <f>IF(A14="","",SUMIFS(Payments!$C$6:$C$85,Payments!$A$6:$A$85,A14,Payments!$E$6:$E$85,"✓"))</f>
        <v/>
      </c>
      <c r="K14" s="46">
        <f>IF(A14="","",MAX(0,N(I14)-N(J14)))</f>
        <v/>
      </c>
      <c r="L14" s="10" t="n"/>
    </row>
    <row r="15">
      <c r="A15" s="10" t="n"/>
      <c r="B15" s="10" t="n"/>
      <c r="C15" s="10" t="n"/>
      <c r="D15" s="58" t="n"/>
      <c r="E15" s="10" t="n"/>
      <c r="F15" s="10" t="n"/>
      <c r="G15" s="10" t="n"/>
      <c r="H15" s="56" t="n"/>
      <c r="I15" s="46">
        <f>IF(A15="","",SUMIFS(Budget!$I$6:$I$105,Budget!$C$6:$C$105,A15))</f>
        <v/>
      </c>
      <c r="J15" s="46">
        <f>IF(A15="","",SUMIFS(Payments!$C$6:$C$85,Payments!$A$6:$A$85,A15,Payments!$E$6:$E$85,"✓"))</f>
        <v/>
      </c>
      <c r="K15" s="46">
        <f>IF(A15="","",MAX(0,N(I15)-N(J15)))</f>
        <v/>
      </c>
      <c r="L15" s="10" t="n"/>
    </row>
    <row r="16">
      <c r="A16" s="10" t="n"/>
      <c r="B16" s="10" t="n"/>
      <c r="C16" s="10" t="n"/>
      <c r="D16" s="58" t="n"/>
      <c r="E16" s="10" t="n"/>
      <c r="F16" s="10" t="n"/>
      <c r="G16" s="10" t="n"/>
      <c r="H16" s="56" t="n"/>
      <c r="I16" s="46">
        <f>IF(A16="","",SUMIFS(Budget!$I$6:$I$105,Budget!$C$6:$C$105,A16))</f>
        <v/>
      </c>
      <c r="J16" s="46">
        <f>IF(A16="","",SUMIFS(Payments!$C$6:$C$85,Payments!$A$6:$A$85,A16,Payments!$E$6:$E$85,"✓"))</f>
        <v/>
      </c>
      <c r="K16" s="46">
        <f>IF(A16="","",MAX(0,N(I16)-N(J16)))</f>
        <v/>
      </c>
      <c r="L16" s="10" t="n"/>
    </row>
    <row r="17">
      <c r="A17" s="10" t="n"/>
      <c r="B17" s="10" t="n"/>
      <c r="C17" s="10" t="n"/>
      <c r="D17" s="58" t="n"/>
      <c r="E17" s="10" t="n"/>
      <c r="F17" s="10" t="n"/>
      <c r="G17" s="10" t="n"/>
      <c r="H17" s="56" t="n"/>
      <c r="I17" s="46">
        <f>IF(A17="","",SUMIFS(Budget!$I$6:$I$105,Budget!$C$6:$C$105,A17))</f>
        <v/>
      </c>
      <c r="J17" s="46">
        <f>IF(A17="","",SUMIFS(Payments!$C$6:$C$85,Payments!$A$6:$A$85,A17,Payments!$E$6:$E$85,"✓"))</f>
        <v/>
      </c>
      <c r="K17" s="46">
        <f>IF(A17="","",MAX(0,N(I17)-N(J17)))</f>
        <v/>
      </c>
      <c r="L17" s="10" t="n"/>
    </row>
    <row r="18">
      <c r="A18" s="10" t="n"/>
      <c r="B18" s="10" t="n"/>
      <c r="C18" s="10" t="n"/>
      <c r="D18" s="58" t="n"/>
      <c r="E18" s="10" t="n"/>
      <c r="F18" s="10" t="n"/>
      <c r="G18" s="10" t="n"/>
      <c r="H18" s="56" t="n"/>
      <c r="I18" s="46">
        <f>IF(A18="","",SUMIFS(Budget!$I$6:$I$105,Budget!$C$6:$C$105,A18))</f>
        <v/>
      </c>
      <c r="J18" s="46">
        <f>IF(A18="","",SUMIFS(Payments!$C$6:$C$85,Payments!$A$6:$A$85,A18,Payments!$E$6:$E$85,"✓"))</f>
        <v/>
      </c>
      <c r="K18" s="46">
        <f>IF(A18="","",MAX(0,N(I18)-N(J18)))</f>
        <v/>
      </c>
      <c r="L18" s="10" t="n"/>
    </row>
    <row r="19">
      <c r="A19" s="10" t="n"/>
      <c r="B19" s="10" t="n"/>
      <c r="C19" s="10" t="n"/>
      <c r="D19" s="58" t="n"/>
      <c r="E19" s="10" t="n"/>
      <c r="F19" s="10" t="n"/>
      <c r="G19" s="10" t="n"/>
      <c r="H19" s="56" t="n"/>
      <c r="I19" s="46">
        <f>IF(A19="","",SUMIFS(Budget!$I$6:$I$105,Budget!$C$6:$C$105,A19))</f>
        <v/>
      </c>
      <c r="J19" s="46">
        <f>IF(A19="","",SUMIFS(Payments!$C$6:$C$85,Payments!$A$6:$A$85,A19,Payments!$E$6:$E$85,"✓"))</f>
        <v/>
      </c>
      <c r="K19" s="46">
        <f>IF(A19="","",MAX(0,N(I19)-N(J19)))</f>
        <v/>
      </c>
      <c r="L19" s="10" t="n"/>
    </row>
    <row r="20">
      <c r="A20" s="10" t="n"/>
      <c r="B20" s="10" t="n"/>
      <c r="C20" s="10" t="n"/>
      <c r="D20" s="58" t="n"/>
      <c r="E20" s="10" t="n"/>
      <c r="F20" s="10" t="n"/>
      <c r="G20" s="10" t="n"/>
      <c r="H20" s="56" t="n"/>
      <c r="I20" s="46">
        <f>IF(A20="","",SUMIFS(Budget!$I$6:$I$105,Budget!$C$6:$C$105,A20))</f>
        <v/>
      </c>
      <c r="J20" s="46">
        <f>IF(A20="","",SUMIFS(Payments!$C$6:$C$85,Payments!$A$6:$A$85,A20,Payments!$E$6:$E$85,"✓"))</f>
        <v/>
      </c>
      <c r="K20" s="46">
        <f>IF(A20="","",MAX(0,N(I20)-N(J20)))</f>
        <v/>
      </c>
      <c r="L20" s="10" t="n"/>
    </row>
    <row r="21">
      <c r="A21" s="10" t="n"/>
      <c r="B21" s="10" t="n"/>
      <c r="C21" s="10" t="n"/>
      <c r="D21" s="58" t="n"/>
      <c r="E21" s="10" t="n"/>
      <c r="F21" s="10" t="n"/>
      <c r="G21" s="10" t="n"/>
      <c r="H21" s="56" t="n"/>
      <c r="I21" s="46">
        <f>IF(A21="","",SUMIFS(Budget!$I$6:$I$105,Budget!$C$6:$C$105,A21))</f>
        <v/>
      </c>
      <c r="J21" s="46">
        <f>IF(A21="","",SUMIFS(Payments!$C$6:$C$85,Payments!$A$6:$A$85,A21,Payments!$E$6:$E$85,"✓"))</f>
        <v/>
      </c>
      <c r="K21" s="46">
        <f>IF(A21="","",MAX(0,N(I21)-N(J21)))</f>
        <v/>
      </c>
      <c r="L21" s="10" t="n"/>
    </row>
    <row r="22">
      <c r="A22" s="10" t="n"/>
      <c r="B22" s="10" t="n"/>
      <c r="C22" s="10" t="n"/>
      <c r="D22" s="58" t="n"/>
      <c r="E22" s="10" t="n"/>
      <c r="F22" s="10" t="n"/>
      <c r="G22" s="10" t="n"/>
      <c r="H22" s="56" t="n"/>
      <c r="I22" s="46">
        <f>IF(A22="","",SUMIFS(Budget!$I$6:$I$105,Budget!$C$6:$C$105,A22))</f>
        <v/>
      </c>
      <c r="J22" s="46">
        <f>IF(A22="","",SUMIFS(Payments!$C$6:$C$85,Payments!$A$6:$A$85,A22,Payments!$E$6:$E$85,"✓"))</f>
        <v/>
      </c>
      <c r="K22" s="46">
        <f>IF(A22="","",MAX(0,N(I22)-N(J22)))</f>
        <v/>
      </c>
      <c r="L22" s="10" t="n"/>
    </row>
    <row r="23">
      <c r="A23" s="10" t="n"/>
      <c r="B23" s="10" t="n"/>
      <c r="C23" s="10" t="n"/>
      <c r="D23" s="58" t="n"/>
      <c r="E23" s="10" t="n"/>
      <c r="F23" s="10" t="n"/>
      <c r="G23" s="10" t="n"/>
      <c r="H23" s="56" t="n"/>
      <c r="I23" s="46">
        <f>IF(A23="","",SUMIFS(Budget!$I$6:$I$105,Budget!$C$6:$C$105,A23))</f>
        <v/>
      </c>
      <c r="J23" s="46">
        <f>IF(A23="","",SUMIFS(Payments!$C$6:$C$85,Payments!$A$6:$A$85,A23,Payments!$E$6:$E$85,"✓"))</f>
        <v/>
      </c>
      <c r="K23" s="46">
        <f>IF(A23="","",MAX(0,N(I23)-N(J23)))</f>
        <v/>
      </c>
      <c r="L23" s="10" t="n"/>
    </row>
    <row r="24">
      <c r="A24" s="10" t="n"/>
      <c r="B24" s="10" t="n"/>
      <c r="C24" s="10" t="n"/>
      <c r="D24" s="58" t="n"/>
      <c r="E24" s="10" t="n"/>
      <c r="F24" s="10" t="n"/>
      <c r="G24" s="10" t="n"/>
      <c r="H24" s="56" t="n"/>
      <c r="I24" s="46">
        <f>IF(A24="","",SUMIFS(Budget!$I$6:$I$105,Budget!$C$6:$C$105,A24))</f>
        <v/>
      </c>
      <c r="J24" s="46">
        <f>IF(A24="","",SUMIFS(Payments!$C$6:$C$85,Payments!$A$6:$A$85,A24,Payments!$E$6:$E$85,"✓"))</f>
        <v/>
      </c>
      <c r="K24" s="46">
        <f>IF(A24="","",MAX(0,N(I24)-N(J24)))</f>
        <v/>
      </c>
      <c r="L24" s="10" t="n"/>
    </row>
    <row r="25">
      <c r="A25" s="10" t="n"/>
      <c r="B25" s="10" t="n"/>
      <c r="C25" s="10" t="n"/>
      <c r="D25" s="58" t="n"/>
      <c r="E25" s="10" t="n"/>
      <c r="F25" s="10" t="n"/>
      <c r="G25" s="10" t="n"/>
      <c r="H25" s="56" t="n"/>
      <c r="I25" s="46">
        <f>IF(A25="","",SUMIFS(Budget!$I$6:$I$105,Budget!$C$6:$C$105,A25))</f>
        <v/>
      </c>
      <c r="J25" s="46">
        <f>IF(A25="","",SUMIFS(Payments!$C$6:$C$85,Payments!$A$6:$A$85,A25,Payments!$E$6:$E$85,"✓"))</f>
        <v/>
      </c>
      <c r="K25" s="46">
        <f>IF(A25="","",MAX(0,N(I25)-N(J25)))</f>
        <v/>
      </c>
      <c r="L25" s="10" t="n"/>
    </row>
    <row r="26">
      <c r="A26" s="10" t="n"/>
      <c r="B26" s="10" t="n"/>
      <c r="C26" s="10" t="n"/>
      <c r="D26" s="58" t="n"/>
      <c r="E26" s="10" t="n"/>
      <c r="F26" s="10" t="n"/>
      <c r="G26" s="10" t="n"/>
      <c r="H26" s="56" t="n"/>
      <c r="I26" s="46">
        <f>IF(A26="","",SUMIFS(Budget!$I$6:$I$105,Budget!$C$6:$C$105,A26))</f>
        <v/>
      </c>
      <c r="J26" s="46">
        <f>IF(A26="","",SUMIFS(Payments!$C$6:$C$85,Payments!$A$6:$A$85,A26,Payments!$E$6:$E$85,"✓"))</f>
        <v/>
      </c>
      <c r="K26" s="46">
        <f>IF(A26="","",MAX(0,N(I26)-N(J26)))</f>
        <v/>
      </c>
      <c r="L26" s="10" t="n"/>
    </row>
    <row r="27">
      <c r="A27" s="10" t="n"/>
      <c r="B27" s="10" t="n"/>
      <c r="C27" s="10" t="n"/>
      <c r="D27" s="58" t="n"/>
      <c r="E27" s="10" t="n"/>
      <c r="F27" s="10" t="n"/>
      <c r="G27" s="10" t="n"/>
      <c r="H27" s="56" t="n"/>
      <c r="I27" s="46">
        <f>IF(A27="","",SUMIFS(Budget!$I$6:$I$105,Budget!$C$6:$C$105,A27))</f>
        <v/>
      </c>
      <c r="J27" s="46">
        <f>IF(A27="","",SUMIFS(Payments!$C$6:$C$85,Payments!$A$6:$A$85,A27,Payments!$E$6:$E$85,"✓"))</f>
        <v/>
      </c>
      <c r="K27" s="46">
        <f>IF(A27="","",MAX(0,N(I27)-N(J27)))</f>
        <v/>
      </c>
      <c r="L27" s="10" t="n"/>
    </row>
    <row r="28">
      <c r="A28" s="10" t="n"/>
      <c r="B28" s="10" t="n"/>
      <c r="C28" s="10" t="n"/>
      <c r="D28" s="58" t="n"/>
      <c r="E28" s="10" t="n"/>
      <c r="F28" s="10" t="n"/>
      <c r="G28" s="10" t="n"/>
      <c r="H28" s="56" t="n"/>
      <c r="I28" s="46">
        <f>IF(A28="","",SUMIFS(Budget!$I$6:$I$105,Budget!$C$6:$C$105,A28))</f>
        <v/>
      </c>
      <c r="J28" s="46">
        <f>IF(A28="","",SUMIFS(Payments!$C$6:$C$85,Payments!$A$6:$A$85,A28,Payments!$E$6:$E$85,"✓"))</f>
        <v/>
      </c>
      <c r="K28" s="46">
        <f>IF(A28="","",MAX(0,N(I28)-N(J28)))</f>
        <v/>
      </c>
      <c r="L28" s="10" t="n"/>
    </row>
    <row r="29">
      <c r="A29" s="10" t="n"/>
      <c r="B29" s="10" t="n"/>
      <c r="C29" s="10" t="n"/>
      <c r="D29" s="58" t="n"/>
      <c r="E29" s="10" t="n"/>
      <c r="F29" s="10" t="n"/>
      <c r="G29" s="10" t="n"/>
      <c r="H29" s="56" t="n"/>
      <c r="I29" s="46">
        <f>IF(A29="","",SUMIFS(Budget!$I$6:$I$105,Budget!$C$6:$C$105,A29))</f>
        <v/>
      </c>
      <c r="J29" s="46">
        <f>IF(A29="","",SUMIFS(Payments!$C$6:$C$85,Payments!$A$6:$A$85,A29,Payments!$E$6:$E$85,"✓"))</f>
        <v/>
      </c>
      <c r="K29" s="46">
        <f>IF(A29="","",MAX(0,N(I29)-N(J29)))</f>
        <v/>
      </c>
      <c r="L29" s="10" t="n"/>
    </row>
    <row r="30">
      <c r="A30" s="10" t="n"/>
      <c r="B30" s="10" t="n"/>
      <c r="C30" s="10" t="n"/>
      <c r="D30" s="58" t="n"/>
      <c r="E30" s="10" t="n"/>
      <c r="F30" s="10" t="n"/>
      <c r="G30" s="10" t="n"/>
      <c r="H30" s="56" t="n"/>
      <c r="I30" s="46">
        <f>IF(A30="","",SUMIFS(Budget!$I$6:$I$105,Budget!$C$6:$C$105,A30))</f>
        <v/>
      </c>
      <c r="J30" s="46">
        <f>IF(A30="","",SUMIFS(Payments!$C$6:$C$85,Payments!$A$6:$A$85,A30,Payments!$E$6:$E$85,"✓"))</f>
        <v/>
      </c>
      <c r="K30" s="46">
        <f>IF(A30="","",MAX(0,N(I30)-N(J30)))</f>
        <v/>
      </c>
      <c r="L30" s="10" t="n"/>
    </row>
    <row r="31">
      <c r="A31" s="10" t="n"/>
      <c r="B31" s="10" t="n"/>
      <c r="C31" s="10" t="n"/>
      <c r="D31" s="58" t="n"/>
      <c r="E31" s="10" t="n"/>
      <c r="F31" s="10" t="n"/>
      <c r="G31" s="10" t="n"/>
      <c r="H31" s="56" t="n"/>
      <c r="I31" s="46">
        <f>IF(A31="","",SUMIFS(Budget!$I$6:$I$105,Budget!$C$6:$C$105,A31))</f>
        <v/>
      </c>
      <c r="J31" s="46">
        <f>IF(A31="","",SUMIFS(Payments!$C$6:$C$85,Payments!$A$6:$A$85,A31,Payments!$E$6:$E$85,"✓"))</f>
        <v/>
      </c>
      <c r="K31" s="46">
        <f>IF(A31="","",MAX(0,N(I31)-N(J31)))</f>
        <v/>
      </c>
      <c r="L31" s="10" t="n"/>
    </row>
    <row r="32">
      <c r="A32" s="10" t="n"/>
      <c r="B32" s="10" t="n"/>
      <c r="C32" s="10" t="n"/>
      <c r="D32" s="58" t="n"/>
      <c r="E32" s="10" t="n"/>
      <c r="F32" s="10" t="n"/>
      <c r="G32" s="10" t="n"/>
      <c r="H32" s="56" t="n"/>
      <c r="I32" s="46">
        <f>IF(A32="","",SUMIFS(Budget!$I$6:$I$105,Budget!$C$6:$C$105,A32))</f>
        <v/>
      </c>
      <c r="J32" s="46">
        <f>IF(A32="","",SUMIFS(Payments!$C$6:$C$85,Payments!$A$6:$A$85,A32,Payments!$E$6:$E$85,"✓"))</f>
        <v/>
      </c>
      <c r="K32" s="46">
        <f>IF(A32="","",MAX(0,N(I32)-N(J32)))</f>
        <v/>
      </c>
      <c r="L32" s="10" t="n"/>
    </row>
    <row r="33">
      <c r="A33" s="10" t="n"/>
      <c r="B33" s="10" t="n"/>
      <c r="C33" s="10" t="n"/>
      <c r="D33" s="58" t="n"/>
      <c r="E33" s="10" t="n"/>
      <c r="F33" s="10" t="n"/>
      <c r="G33" s="10" t="n"/>
      <c r="H33" s="56" t="n"/>
      <c r="I33" s="46">
        <f>IF(A33="","",SUMIFS(Budget!$I$6:$I$105,Budget!$C$6:$C$105,A33))</f>
        <v/>
      </c>
      <c r="J33" s="46">
        <f>IF(A33="","",SUMIFS(Payments!$C$6:$C$85,Payments!$A$6:$A$85,A33,Payments!$E$6:$E$85,"✓"))</f>
        <v/>
      </c>
      <c r="K33" s="46">
        <f>IF(A33="","",MAX(0,N(I33)-N(J33)))</f>
        <v/>
      </c>
      <c r="L33" s="10" t="n"/>
    </row>
    <row r="34">
      <c r="A34" s="10" t="n"/>
      <c r="B34" s="10" t="n"/>
      <c r="C34" s="10" t="n"/>
      <c r="D34" s="58" t="n"/>
      <c r="E34" s="10" t="n"/>
      <c r="F34" s="10" t="n"/>
      <c r="G34" s="10" t="n"/>
      <c r="H34" s="56" t="n"/>
      <c r="I34" s="46">
        <f>IF(A34="","",SUMIFS(Budget!$I$6:$I$105,Budget!$C$6:$C$105,A34))</f>
        <v/>
      </c>
      <c r="J34" s="46">
        <f>IF(A34="","",SUMIFS(Payments!$C$6:$C$85,Payments!$A$6:$A$85,A34,Payments!$E$6:$E$85,"✓"))</f>
        <v/>
      </c>
      <c r="K34" s="46">
        <f>IF(A34="","",MAX(0,N(I34)-N(J34)))</f>
        <v/>
      </c>
      <c r="L34" s="10" t="n"/>
    </row>
    <row r="35">
      <c r="A35" s="10" t="n"/>
      <c r="B35" s="10" t="n"/>
      <c r="C35" s="10" t="n"/>
      <c r="D35" s="58" t="n"/>
      <c r="E35" s="10" t="n"/>
      <c r="F35" s="10" t="n"/>
      <c r="G35" s="10" t="n"/>
      <c r="H35" s="56" t="n"/>
      <c r="I35" s="46">
        <f>IF(A35="","",SUMIFS(Budget!$I$6:$I$105,Budget!$C$6:$C$105,A35))</f>
        <v/>
      </c>
      <c r="J35" s="46">
        <f>IF(A35="","",SUMIFS(Payments!$C$6:$C$85,Payments!$A$6:$A$85,A35,Payments!$E$6:$E$85,"✓"))</f>
        <v/>
      </c>
      <c r="K35" s="46">
        <f>IF(A35="","",MAX(0,N(I35)-N(J35)))</f>
        <v/>
      </c>
      <c r="L35" s="10" t="n"/>
    </row>
    <row r="36">
      <c r="A36" s="10" t="n"/>
      <c r="B36" s="10" t="n"/>
      <c r="C36" s="10" t="n"/>
      <c r="D36" s="58" t="n"/>
      <c r="E36" s="10" t="n"/>
      <c r="F36" s="10" t="n"/>
      <c r="G36" s="10" t="n"/>
      <c r="H36" s="56" t="n"/>
      <c r="I36" s="46">
        <f>IF(A36="","",SUMIFS(Budget!$I$6:$I$105,Budget!$C$6:$C$105,A36))</f>
        <v/>
      </c>
      <c r="J36" s="46">
        <f>IF(A36="","",SUMIFS(Payments!$C$6:$C$85,Payments!$A$6:$A$85,A36,Payments!$E$6:$E$85,"✓"))</f>
        <v/>
      </c>
      <c r="K36" s="46">
        <f>IF(A36="","",MAX(0,N(I36)-N(J36)))</f>
        <v/>
      </c>
      <c r="L36" s="10" t="n"/>
    </row>
    <row r="37">
      <c r="A37" s="10" t="n"/>
      <c r="B37" s="10" t="n"/>
      <c r="C37" s="10" t="n"/>
      <c r="D37" s="58" t="n"/>
      <c r="E37" s="10" t="n"/>
      <c r="F37" s="10" t="n"/>
      <c r="G37" s="10" t="n"/>
      <c r="H37" s="56" t="n"/>
      <c r="I37" s="46">
        <f>IF(A37="","",SUMIFS(Budget!$I$6:$I$105,Budget!$C$6:$C$105,A37))</f>
        <v/>
      </c>
      <c r="J37" s="46">
        <f>IF(A37="","",SUMIFS(Payments!$C$6:$C$85,Payments!$A$6:$A$85,A37,Payments!$E$6:$E$85,"✓"))</f>
        <v/>
      </c>
      <c r="K37" s="46">
        <f>IF(A37="","",MAX(0,N(I37)-N(J37)))</f>
        <v/>
      </c>
      <c r="L37" s="10" t="n"/>
    </row>
    <row r="38">
      <c r="A38" s="10" t="n"/>
      <c r="B38" s="10" t="n"/>
      <c r="C38" s="10" t="n"/>
      <c r="D38" s="58" t="n"/>
      <c r="E38" s="10" t="n"/>
      <c r="F38" s="10" t="n"/>
      <c r="G38" s="10" t="n"/>
      <c r="H38" s="56" t="n"/>
      <c r="I38" s="46">
        <f>IF(A38="","",SUMIFS(Budget!$I$6:$I$105,Budget!$C$6:$C$105,A38))</f>
        <v/>
      </c>
      <c r="J38" s="46">
        <f>IF(A38="","",SUMIFS(Payments!$C$6:$C$85,Payments!$A$6:$A$85,A38,Payments!$E$6:$E$85,"✓"))</f>
        <v/>
      </c>
      <c r="K38" s="46">
        <f>IF(A38="","",MAX(0,N(I38)-N(J38)))</f>
        <v/>
      </c>
      <c r="L38" s="10" t="n"/>
    </row>
    <row r="39">
      <c r="A39" s="10" t="n"/>
      <c r="B39" s="10" t="n"/>
      <c r="C39" s="10" t="n"/>
      <c r="D39" s="58" t="n"/>
      <c r="E39" s="10" t="n"/>
      <c r="F39" s="10" t="n"/>
      <c r="G39" s="10" t="n"/>
      <c r="H39" s="56" t="n"/>
      <c r="I39" s="46">
        <f>IF(A39="","",SUMIFS(Budget!$I$6:$I$105,Budget!$C$6:$C$105,A39))</f>
        <v/>
      </c>
      <c r="J39" s="46">
        <f>IF(A39="","",SUMIFS(Payments!$C$6:$C$85,Payments!$A$6:$A$85,A39,Payments!$E$6:$E$85,"✓"))</f>
        <v/>
      </c>
      <c r="K39" s="46">
        <f>IF(A39="","",MAX(0,N(I39)-N(J39)))</f>
        <v/>
      </c>
      <c r="L39" s="10" t="n"/>
    </row>
    <row r="40">
      <c r="A40" s="10" t="n"/>
      <c r="B40" s="10" t="n"/>
      <c r="C40" s="10" t="n"/>
      <c r="D40" s="58" t="n"/>
      <c r="E40" s="10" t="n"/>
      <c r="F40" s="10" t="n"/>
      <c r="G40" s="10" t="n"/>
      <c r="H40" s="56" t="n"/>
      <c r="I40" s="46">
        <f>IF(A40="","",SUMIFS(Budget!$I$6:$I$105,Budget!$C$6:$C$105,A40))</f>
        <v/>
      </c>
      <c r="J40" s="46">
        <f>IF(A40="","",SUMIFS(Payments!$C$6:$C$85,Payments!$A$6:$A$85,A40,Payments!$E$6:$E$85,"✓"))</f>
        <v/>
      </c>
      <c r="K40" s="46">
        <f>IF(A40="","",MAX(0,N(I40)-N(J40)))</f>
        <v/>
      </c>
      <c r="L40" s="10" t="n"/>
    </row>
    <row r="41">
      <c r="A41" s="10" t="n"/>
      <c r="B41" s="10" t="n"/>
      <c r="C41" s="10" t="n"/>
      <c r="D41" s="58" t="n"/>
      <c r="E41" s="10" t="n"/>
      <c r="F41" s="10" t="n"/>
      <c r="G41" s="10" t="n"/>
      <c r="H41" s="56" t="n"/>
      <c r="I41" s="46">
        <f>IF(A41="","",SUMIFS(Budget!$I$6:$I$105,Budget!$C$6:$C$105,A41))</f>
        <v/>
      </c>
      <c r="J41" s="46">
        <f>IF(A41="","",SUMIFS(Payments!$C$6:$C$85,Payments!$A$6:$A$85,A41,Payments!$E$6:$E$85,"✓"))</f>
        <v/>
      </c>
      <c r="K41" s="46">
        <f>IF(A41="","",MAX(0,N(I41)-N(J41)))</f>
        <v/>
      </c>
      <c r="L41" s="10" t="n"/>
    </row>
    <row r="42">
      <c r="A42" s="10" t="n"/>
      <c r="B42" s="10" t="n"/>
      <c r="C42" s="10" t="n"/>
      <c r="D42" s="58" t="n"/>
      <c r="E42" s="10" t="n"/>
      <c r="F42" s="10" t="n"/>
      <c r="G42" s="10" t="n"/>
      <c r="H42" s="56" t="n"/>
      <c r="I42" s="46">
        <f>IF(A42="","",SUMIFS(Budget!$I$6:$I$105,Budget!$C$6:$C$105,A42))</f>
        <v/>
      </c>
      <c r="J42" s="46">
        <f>IF(A42="","",SUMIFS(Payments!$C$6:$C$85,Payments!$A$6:$A$85,A42,Payments!$E$6:$E$85,"✓"))</f>
        <v/>
      </c>
      <c r="K42" s="46">
        <f>IF(A42="","",MAX(0,N(I42)-N(J42)))</f>
        <v/>
      </c>
      <c r="L42" s="10" t="n"/>
    </row>
    <row r="43">
      <c r="A43" s="10" t="n"/>
      <c r="B43" s="10" t="n"/>
      <c r="C43" s="10" t="n"/>
      <c r="D43" s="58" t="n"/>
      <c r="E43" s="10" t="n"/>
      <c r="F43" s="10" t="n"/>
      <c r="G43" s="10" t="n"/>
      <c r="H43" s="56" t="n"/>
      <c r="I43" s="46">
        <f>IF(A43="","",SUMIFS(Budget!$I$6:$I$105,Budget!$C$6:$C$105,A43))</f>
        <v/>
      </c>
      <c r="J43" s="46">
        <f>IF(A43="","",SUMIFS(Payments!$C$6:$C$85,Payments!$A$6:$A$85,A43,Payments!$E$6:$E$85,"✓"))</f>
        <v/>
      </c>
      <c r="K43" s="46">
        <f>IF(A43="","",MAX(0,N(I43)-N(J43)))</f>
        <v/>
      </c>
      <c r="L43" s="10" t="n"/>
    </row>
    <row r="44">
      <c r="A44" s="10" t="n"/>
      <c r="B44" s="10" t="n"/>
      <c r="C44" s="10" t="n"/>
      <c r="D44" s="58" t="n"/>
      <c r="E44" s="10" t="n"/>
      <c r="F44" s="10" t="n"/>
      <c r="G44" s="10" t="n"/>
      <c r="H44" s="56" t="n"/>
      <c r="I44" s="46">
        <f>IF(A44="","",SUMIFS(Budget!$I$6:$I$105,Budget!$C$6:$C$105,A44))</f>
        <v/>
      </c>
      <c r="J44" s="46">
        <f>IF(A44="","",SUMIFS(Payments!$C$6:$C$85,Payments!$A$6:$A$85,A44,Payments!$E$6:$E$85,"✓"))</f>
        <v/>
      </c>
      <c r="K44" s="46">
        <f>IF(A44="","",MAX(0,N(I44)-N(J44)))</f>
        <v/>
      </c>
      <c r="L44" s="10" t="n"/>
    </row>
    <row r="45">
      <c r="A45" s="10" t="n"/>
      <c r="B45" s="10" t="n"/>
      <c r="C45" s="10" t="n"/>
      <c r="D45" s="58" t="n"/>
      <c r="E45" s="10" t="n"/>
      <c r="F45" s="10" t="n"/>
      <c r="G45" s="10" t="n"/>
      <c r="H45" s="56" t="n"/>
      <c r="I45" s="46">
        <f>IF(A45="","",SUMIFS(Budget!$I$6:$I$105,Budget!$C$6:$C$105,A45))</f>
        <v/>
      </c>
      <c r="J45" s="46">
        <f>IF(A45="","",SUMIFS(Payments!$C$6:$C$85,Payments!$A$6:$A$85,A45,Payments!$E$6:$E$85,"✓"))</f>
        <v/>
      </c>
      <c r="K45" s="46">
        <f>IF(A45="","",MAX(0,N(I45)-N(J45)))</f>
        <v/>
      </c>
      <c r="L45" s="10" t="n"/>
    </row>
  </sheetData>
  <conditionalFormatting sqref="G6:G45">
    <cfRule type="expression" priority="1" dxfId="4" stopIfTrue="0">
      <formula>$G6="Booked"</formula>
    </cfRule>
  </conditionalFormatting>
  <dataValidations count="3">
    <dataValidation sqref="B6:B45" showDropDown="0" showInputMessage="0" showErrorMessage="0" allowBlank="1" type="list">
      <formula1>=Lists!$A$5:$A$24</formula1>
    </dataValidation>
    <dataValidation sqref="G6:G45" showDropDown="0" showInputMessage="0" showErrorMessage="0" allowBlank="1" type="list">
      <formula1>=Lists!$J$5:$J$16</formula1>
    </dataValidation>
    <dataValidation sqref="H6:H45" showDropDown="0" showInputMessage="0" showErrorMessage="0" allowBlank="1" type="list">
      <formula1>=Lists!$M$5:$M$5</formula1>
    </dataValidation>
  </dataValidations>
  <pageMargins left="0.5" right="0.5" top="0.6" bottom="0.6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B5C4A8"/>
    <outlinePr summaryBelow="1" summaryRight="1"/>
    <pageSetUpPr fitToPage="1"/>
  </sheetPr>
  <dimension ref="A1:AK5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2" customWidth="1" min="3" max="3"/>
    <col width="15" customWidth="1" min="4" max="4"/>
    <col width="18" customWidth="1" min="5" max="5"/>
    <col width="11" customWidth="1" min="6" max="6"/>
    <col width="12" customWidth="1" min="7" max="7"/>
    <col width="8" customWidth="1" min="8" max="8"/>
    <col width="13" customWidth="1" min="9" max="9"/>
    <col width="12" customWidth="1" min="10" max="10"/>
    <col width="18" customWidth="1" min="11" max="11"/>
    <col width="8" customWidth="1" min="12" max="12"/>
    <col width="13" customWidth="1" min="13" max="13"/>
    <col width="12" customWidth="1" min="14" max="14"/>
    <col width="22" customWidth="1" min="15" max="15"/>
    <col width="28" customWidth="1" min="16" max="16"/>
    <col width="40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</cols>
  <sheetData>
    <row r="1" ht="30" customHeight="1">
      <c r="A1" s="1" t="inlineStr">
        <is>
          <t>Guests</t>
        </is>
      </c>
    </row>
    <row r="2">
      <c r="A2" s="11" t="inlineStr">
        <is>
          <t>One row per person. Same Party name = one household. Status updates automatically from RSVP form replies (matched by mobile, then name).</t>
        </is>
      </c>
    </row>
    <row r="3">
      <c r="A3" s="42">
        <f>SUMPRODUCT(--(B6:B505&lt;&gt;""))&amp;" guests · "&amp;COUNTIF(B6:B505,"Attending")&amp;" attending · "&amp;(COUNTIF(B6:B505,"Awaiting")+COUNTIF(B6:B505,"Not sure yet"))&amp;" to follow up"&amp;IF(SUM('Form Calc'!$W$2:$W$601)&gt;0," · "&amp;SUM('Form Calc'!$W$2:$W$601)&amp;" NEW form replies not on this list (see RSVP Inbox)","")</f>
        <v/>
      </c>
    </row>
    <row r="4"/>
    <row r="5" ht="30" customHeight="1">
      <c r="A5" s="43" t="inlineStr">
        <is>
          <t>Name</t>
        </is>
      </c>
      <c r="B5" s="43" t="inlineStr">
        <is>
          <t>Status (auto)</t>
        </is>
      </c>
      <c r="C5" s="43" t="inlineStr">
        <is>
          <t>Reminder</t>
        </is>
      </c>
      <c r="D5" s="43" t="inlineStr">
        <is>
          <t>Mobile</t>
        </is>
      </c>
      <c r="E5" s="43" t="inlineStr">
        <is>
          <t>Party / household</t>
        </is>
      </c>
      <c r="F5" s="43" t="inlineStr">
        <is>
          <t>Side</t>
        </is>
      </c>
      <c r="G5" s="43" t="inlineStr">
        <is>
          <t>Group</t>
        </is>
      </c>
      <c r="H5" s="43" t="inlineStr">
        <is>
          <t>Age</t>
        </is>
      </c>
      <c r="I5" s="43" t="inlineStr">
        <is>
          <t>RSVP (you set)</t>
        </is>
      </c>
      <c r="J5" s="43" t="inlineStr">
        <is>
          <t>Meal</t>
        </is>
      </c>
      <c r="K5" s="43" t="inlineStr">
        <is>
          <t>Dietary needs</t>
        </is>
      </c>
      <c r="L5" s="43" t="inlineStr">
        <is>
          <t>Table #</t>
        </is>
      </c>
      <c r="M5" s="43" t="inlineStr">
        <is>
          <t>Greeting name</t>
        </is>
      </c>
      <c r="N5" s="43" t="inlineStr">
        <is>
          <t>Last reminded</t>
        </is>
      </c>
      <c r="O5" s="43" t="inlineStr">
        <is>
          <t>Email</t>
        </is>
      </c>
      <c r="P5" s="43" t="inlineStr">
        <is>
          <t>Address</t>
        </is>
      </c>
      <c r="Q5" s="43" t="inlineStr">
        <is>
          <t>From RSVP form</t>
        </is>
      </c>
      <c r="R5" s="59" t="inlineStr">
        <is>
          <t>Digits</t>
        </is>
      </c>
      <c r="S5" s="59" t="inlineStr">
        <is>
          <t>Phone key</t>
        </is>
      </c>
      <c r="T5" s="59" t="inlineStr">
        <is>
          <t>Direct reply</t>
        </is>
      </c>
      <c r="U5" s="59" t="inlineStr">
        <is>
          <t>Party key</t>
        </is>
      </c>
      <c r="V5" s="59" t="inlineStr">
        <is>
          <t>Eff reply</t>
        </is>
      </c>
      <c r="W5" s="59" t="inlineStr">
        <is>
          <t>Form status</t>
        </is>
      </c>
      <c r="X5" s="59" t="inlineStr">
        <is>
          <t>Final meal</t>
        </is>
      </c>
      <c r="Y5" s="59" t="inlineStr">
        <is>
          <t>Phone used</t>
        </is>
      </c>
      <c r="Z5" s="59" t="inlineStr">
        <is>
          <t>Phone digits</t>
        </is>
      </c>
      <c r="AA5" s="59" t="inlineStr">
        <is>
          <t>Phone +1</t>
        </is>
      </c>
      <c r="AB5" s="59" t="inlineStr">
        <is>
          <t>Greeting</t>
        </is>
      </c>
      <c r="AC5" s="59" t="inlineStr">
        <is>
          <t>Enc greeting</t>
        </is>
      </c>
      <c r="AD5" s="59" t="inlineStr">
        <is>
          <t>Reminder URL</t>
        </is>
      </c>
      <c r="AE5" s="59" t="inlineStr">
        <is>
          <t>Link length</t>
        </is>
      </c>
      <c r="AF5" s="59" t="inlineStr">
        <is>
          <t>Follow ind</t>
        </is>
      </c>
      <c r="AG5" s="59" t="inlineStr">
        <is>
          <t>Follow cum</t>
        </is>
      </c>
      <c r="AH5" s="59" t="inlineStr">
        <is>
          <t>Follow seq</t>
        </is>
      </c>
      <c r="AI5" s="59" t="inlineStr">
        <is>
          <t>Seat ind</t>
        </is>
      </c>
      <c r="AJ5" s="59" t="inlineStr">
        <is>
          <t>Seat cum</t>
        </is>
      </c>
      <c r="AK5" s="59" t="inlineStr">
        <is>
          <t>Seat seq</t>
        </is>
      </c>
    </row>
    <row r="6">
      <c r="A6" s="10" t="n"/>
      <c r="B6" s="47">
        <f>IF(TRIM(A6&amp;"")="","",IF(W6&lt;&gt;"",W6,IF(I6="","Awaiting",I6)))</f>
        <v/>
      </c>
      <c r="C6" s="60">
        <f>IF(OR(B6="Awaiting",B6="Not sure yet"),IF(AD6&lt;&gt;"",HYPERLINK(AD6,"💬 Remind"),"add mobile"),"")</f>
        <v/>
      </c>
      <c r="D6" s="58" t="n"/>
      <c r="E6" s="10" t="n"/>
      <c r="F6" s="10" t="n"/>
      <c r="G6" s="10" t="n"/>
      <c r="H6" s="10" t="n"/>
      <c r="I6" s="10" t="n"/>
      <c r="J6" s="10" t="n"/>
      <c r="K6" s="10" t="n"/>
      <c r="L6" s="56" t="n"/>
      <c r="M6" s="10" t="n"/>
      <c r="N6" s="12" t="n"/>
      <c r="O6" s="10" t="n"/>
      <c r="P6" s="10" t="n"/>
      <c r="Q6" s="61">
        <f>IF(V6="","",IF(T6="","Covered by "&amp;INDEX('Form Calc'!$B:$B,V6)&amp;"'s reply (same party)","Replied "&amp;TEXT(INDEX('Form Calc'!$A:$A,T6),"mm/dd")&amp;" · "&amp;INDEX('Form Calc'!$H:$H,T6)&amp;" adult(s), "&amp;INDEX('Form Calc'!$I:$I,T6)&amp;" child(ren)"&amp;IF(INDEX('Form Calc'!$K:$K,T6)&lt;&gt;""," · "&amp;INDEX('Form Calc'!$K:$K,T6),"")&amp;IF(INDEX('Form Calc'!$M:$M,T6)&lt;&gt;""," · “"&amp;INDEX('Form Calc'!$M:$M,T6)&amp;"”","")))</f>
        <v/>
      </c>
      <c r="R6" s="32">
        <f>SUBSTITUTE(SUBSTITUTE(SUBSTITUTE(SUBSTITUTE(SUBSTITUTE(SUBSTITUTE(SUBSTITUTE(SUBSTITUTE(D6&amp;""," ",""),"-",""),"(",""),")",""),".",""),"+",""),"/",""),CHAR(160),"")</f>
        <v/>
      </c>
      <c r="S6" s="32">
        <f>IF(LEN(R6)&gt;=10,RIGHT(R6,10),R6)</f>
        <v/>
      </c>
      <c r="T6" s="32">
        <f>IF(TRIM(A6&amp;"")="","",IF(S6&lt;&gt;"",IFERROR(MATCH(S6,'Form Calc'!$P:$P,0),IFERROR(MATCH(TRIM(A6&amp;""),'Form Calc'!$Q:$Q,0),"")),IFERROR(MATCH(TRIM(A6&amp;""),'Form Calc'!$Q:$Q,0),"")))</f>
        <v/>
      </c>
      <c r="U6" s="32">
        <f>IF(AND(T6&lt;&gt;"",TRIM(E6&amp;"")&lt;&gt;""),TRIM(E6&amp;""),"")</f>
        <v/>
      </c>
      <c r="V6" s="32">
        <f>IF(TRIM(A6&amp;"")="","",IF(T6&lt;&gt;"",T6,IF(TRIM(E6&amp;"")="","",IFERROR(INDEX($T$6:$T$505,MATCH(TRIM(E6&amp;""),$U$6:$U$505,0)),""))))</f>
        <v/>
      </c>
      <c r="W6" s="32">
        <f>IF(V6="","",INDEX('Form Calc'!$G:$G,V6))</f>
        <v/>
      </c>
      <c r="X6" s="32">
        <f>IF(TRIM(A6&amp;"")="","",IF(T6&lt;&gt;"",IF(INDEX('Form Calc'!$K:$K,T6)&lt;&gt;"",INDEX('Form Calc'!$K:$K,T6),J6&amp;""),J6&amp;""))</f>
        <v/>
      </c>
      <c r="Y6" s="32">
        <f>IF(TRIM(A6&amp;"")="","",IF(TRIM(D6&amp;"")&lt;&gt;"",TRIM(D6&amp;""),IF(T6&lt;&gt;"",INDEX('Form Calc'!$C:$C,T6)&amp;"","")))</f>
        <v/>
      </c>
      <c r="Z6" s="32">
        <f>SUBSTITUTE(SUBSTITUTE(SUBSTITUTE(SUBSTITUTE(SUBSTITUTE(SUBSTITUTE(SUBSTITUTE(SUBSTITUTE(Y6," ",""),"-",""),"(",""),")",""),".",""),"+",""),"/",""),CHAR(160),"")</f>
        <v/>
      </c>
      <c r="AA6" s="32">
        <f>IF(Z6="","",IF(LEN(Z6)=10,"+1"&amp;Z6,IF(AND(LEN(Z6)=11,LEFT(Z6,1)="1"),"+"&amp;Z6,IF(LEFT(Y6,1)="+","+"&amp;Z6,Z6))))</f>
        <v/>
      </c>
      <c r="AB6" s="32">
        <f>IF(TRIM(A6&amp;"")="","",IF(TRIM(M6&amp;"")&lt;&gt;"",TRIM(M6&amp;""),IFERROR(LEFT(TRIM(A6&amp;""),FIND(" ",TRIM(A6&amp;""))-1),TRIM(A6&amp;""))))</f>
        <v/>
      </c>
      <c r="AC6" s="32">
        <f>SUBSTITUTE(SUBSTITUTE(SUBSTITUTE(SUBSTITUTE(SUBSTITUTE(SUBSTITUTE(SUBSTITUTE(SUBSTITUTE(SUBSTITUTE(SUBSTITUTE(AB6,"%","%25"),"&amp;","%26"),"#","%23"),"+","%2B"),"=","%3D"),"?","%3F"),CHAR(34),"%22"),CHAR(10),"%0A"),CHAR(13),"")," ","+")</f>
        <v/>
      </c>
      <c r="AD6" s="32">
        <f>IF(OR(AA6="",AB6=""),"",'Start Here'!$B$20&amp;"#p="&amp;SUBSTITUTE(AA6,"+","%2B")&amp;"&amp;n="&amp;AC6&amp;"&amp;m="&amp;SUBSTITUTE('Start Here'!$B$24,"{name}",AC6))</f>
        <v/>
      </c>
      <c r="AE6" s="32">
        <f>LEN(AD6)</f>
        <v/>
      </c>
      <c r="AF6" s="32">
        <f>IF(AND(TRIM(A6&amp;"")&lt;&gt;"",OR(B6="Awaiting",B6="Not sure yet")),1,0)</f>
        <v/>
      </c>
      <c r="AG6" s="32">
        <f>N(AG5)+AF6</f>
        <v/>
      </c>
      <c r="AH6" s="32">
        <f>IF(AF6=1,AG6,"")</f>
        <v/>
      </c>
      <c r="AI6" s="32">
        <f>IF(AND(TRIM(A6&amp;"")&lt;&gt;"",L6&amp;""&lt;&gt;"",L6&amp;""=Seating!$I$3&amp;"",B6&lt;&gt;"Declined"),1,0)</f>
        <v/>
      </c>
      <c r="AJ6" s="32">
        <f>N(AJ5)+AI6</f>
        <v/>
      </c>
      <c r="AK6" s="32">
        <f>IF(AI6=1,AJ6,"")</f>
        <v/>
      </c>
    </row>
    <row r="7">
      <c r="A7" s="10" t="n"/>
      <c r="B7" s="47">
        <f>IF(TRIM(A7&amp;"")="","",IF(W7&lt;&gt;"",W7,IF(I7="","Awaiting",I7)))</f>
        <v/>
      </c>
      <c r="C7" s="60">
        <f>IF(OR(B7="Awaiting",B7="Not sure yet"),IF(AD7&lt;&gt;"",HYPERLINK(AD7,"💬 Remind"),"add mobile"),"")</f>
        <v/>
      </c>
      <c r="D7" s="58" t="n"/>
      <c r="E7" s="10" t="n"/>
      <c r="F7" s="10" t="n"/>
      <c r="G7" s="10" t="n"/>
      <c r="H7" s="10" t="n"/>
      <c r="I7" s="10" t="n"/>
      <c r="J7" s="10" t="n"/>
      <c r="K7" s="10" t="n"/>
      <c r="L7" s="56" t="n"/>
      <c r="M7" s="10" t="n"/>
      <c r="N7" s="12" t="n"/>
      <c r="O7" s="10" t="n"/>
      <c r="P7" s="10" t="n"/>
      <c r="Q7" s="61">
        <f>IF(V7="","",IF(T7="","Covered by "&amp;INDEX('Form Calc'!$B:$B,V7)&amp;"'s reply (same party)","Replied "&amp;TEXT(INDEX('Form Calc'!$A:$A,T7),"mm/dd")&amp;" · "&amp;INDEX('Form Calc'!$H:$H,T7)&amp;" adult(s), "&amp;INDEX('Form Calc'!$I:$I,T7)&amp;" child(ren)"&amp;IF(INDEX('Form Calc'!$K:$K,T7)&lt;&gt;""," · "&amp;INDEX('Form Calc'!$K:$K,T7),"")&amp;IF(INDEX('Form Calc'!$M:$M,T7)&lt;&gt;""," · “"&amp;INDEX('Form Calc'!$M:$M,T7)&amp;"”","")))</f>
        <v/>
      </c>
      <c r="R7" s="32">
        <f>SUBSTITUTE(SUBSTITUTE(SUBSTITUTE(SUBSTITUTE(SUBSTITUTE(SUBSTITUTE(SUBSTITUTE(SUBSTITUTE(D7&amp;""," ",""),"-",""),"(",""),")",""),".",""),"+",""),"/",""),CHAR(160),"")</f>
        <v/>
      </c>
      <c r="S7" s="32">
        <f>IF(LEN(R7)&gt;=10,RIGHT(R7,10),R7)</f>
        <v/>
      </c>
      <c r="T7" s="32">
        <f>IF(TRIM(A7&amp;"")="","",IF(S7&lt;&gt;"",IFERROR(MATCH(S7,'Form Calc'!$P:$P,0),IFERROR(MATCH(TRIM(A7&amp;""),'Form Calc'!$Q:$Q,0),"")),IFERROR(MATCH(TRIM(A7&amp;""),'Form Calc'!$Q:$Q,0),"")))</f>
        <v/>
      </c>
      <c r="U7" s="32">
        <f>IF(AND(T7&lt;&gt;"",TRIM(E7&amp;"")&lt;&gt;""),TRIM(E7&amp;""),"")</f>
        <v/>
      </c>
      <c r="V7" s="32">
        <f>IF(TRIM(A7&amp;"")="","",IF(T7&lt;&gt;"",T7,IF(TRIM(E7&amp;"")="","",IFERROR(INDEX($T$6:$T$505,MATCH(TRIM(E7&amp;""),$U$6:$U$505,0)),""))))</f>
        <v/>
      </c>
      <c r="W7" s="32">
        <f>IF(V7="","",INDEX('Form Calc'!$G:$G,V7))</f>
        <v/>
      </c>
      <c r="X7" s="32">
        <f>IF(TRIM(A7&amp;"")="","",IF(T7&lt;&gt;"",IF(INDEX('Form Calc'!$K:$K,T7)&lt;&gt;"",INDEX('Form Calc'!$K:$K,T7),J7&amp;""),J7&amp;""))</f>
        <v/>
      </c>
      <c r="Y7" s="32">
        <f>IF(TRIM(A7&amp;"")="","",IF(TRIM(D7&amp;"")&lt;&gt;"",TRIM(D7&amp;""),IF(T7&lt;&gt;"",INDEX('Form Calc'!$C:$C,T7)&amp;"","")))</f>
        <v/>
      </c>
      <c r="Z7" s="32">
        <f>SUBSTITUTE(SUBSTITUTE(SUBSTITUTE(SUBSTITUTE(SUBSTITUTE(SUBSTITUTE(SUBSTITUTE(SUBSTITUTE(Y7," ",""),"-",""),"(",""),")",""),".",""),"+",""),"/",""),CHAR(160),"")</f>
        <v/>
      </c>
      <c r="AA7" s="32">
        <f>IF(Z7="","",IF(LEN(Z7)=10,"+1"&amp;Z7,IF(AND(LEN(Z7)=11,LEFT(Z7,1)="1"),"+"&amp;Z7,IF(LEFT(Y7,1)="+","+"&amp;Z7,Z7))))</f>
        <v/>
      </c>
      <c r="AB7" s="32">
        <f>IF(TRIM(A7&amp;"")="","",IF(TRIM(M7&amp;"")&lt;&gt;"",TRIM(M7&amp;""),IFERROR(LEFT(TRIM(A7&amp;""),FIND(" ",TRIM(A7&amp;""))-1),TRIM(A7&amp;""))))</f>
        <v/>
      </c>
      <c r="AC7" s="32">
        <f>SUBSTITUTE(SUBSTITUTE(SUBSTITUTE(SUBSTITUTE(SUBSTITUTE(SUBSTITUTE(SUBSTITUTE(SUBSTITUTE(SUBSTITUTE(SUBSTITUTE(AB7,"%","%25"),"&amp;","%26"),"#","%23"),"+","%2B"),"=","%3D"),"?","%3F"),CHAR(34),"%22"),CHAR(10),"%0A"),CHAR(13),"")," ","+")</f>
        <v/>
      </c>
      <c r="AD7" s="32">
        <f>IF(OR(AA7="",AB7=""),"",'Start Here'!$B$20&amp;"#p="&amp;SUBSTITUTE(AA7,"+","%2B")&amp;"&amp;n="&amp;AC7&amp;"&amp;m="&amp;SUBSTITUTE('Start Here'!$B$24,"{name}",AC7))</f>
        <v/>
      </c>
      <c r="AE7" s="32">
        <f>LEN(AD7)</f>
        <v/>
      </c>
      <c r="AF7" s="32">
        <f>IF(AND(TRIM(A7&amp;"")&lt;&gt;"",OR(B7="Awaiting",B7="Not sure yet")),1,0)</f>
        <v/>
      </c>
      <c r="AG7" s="32">
        <f>N(AG6)+AF7</f>
        <v/>
      </c>
      <c r="AH7" s="32">
        <f>IF(AF7=1,AG7,"")</f>
        <v/>
      </c>
      <c r="AI7" s="32">
        <f>IF(AND(TRIM(A7&amp;"")&lt;&gt;"",L7&amp;""&lt;&gt;"",L7&amp;""=Seating!$I$3&amp;"",B7&lt;&gt;"Declined"),1,0)</f>
        <v/>
      </c>
      <c r="AJ7" s="32">
        <f>N(AJ6)+AI7</f>
        <v/>
      </c>
      <c r="AK7" s="32">
        <f>IF(AI7=1,AJ7,"")</f>
        <v/>
      </c>
    </row>
    <row r="8">
      <c r="A8" s="10" t="n"/>
      <c r="B8" s="47">
        <f>IF(TRIM(A8&amp;"")="","",IF(W8&lt;&gt;"",W8,IF(I8="","Awaiting",I8)))</f>
        <v/>
      </c>
      <c r="C8" s="60">
        <f>IF(OR(B8="Awaiting",B8="Not sure yet"),IF(AD8&lt;&gt;"",HYPERLINK(AD8,"💬 Remind"),"add mobile"),"")</f>
        <v/>
      </c>
      <c r="D8" s="58" t="n"/>
      <c r="E8" s="10" t="n"/>
      <c r="F8" s="10" t="n"/>
      <c r="G8" s="10" t="n"/>
      <c r="H8" s="10" t="n"/>
      <c r="I8" s="10" t="n"/>
      <c r="J8" s="10" t="n"/>
      <c r="K8" s="10" t="n"/>
      <c r="L8" s="56" t="n"/>
      <c r="M8" s="10" t="n"/>
      <c r="N8" s="12" t="n"/>
      <c r="O8" s="10" t="n"/>
      <c r="P8" s="10" t="n"/>
      <c r="Q8" s="61">
        <f>IF(V8="","",IF(T8="","Covered by "&amp;INDEX('Form Calc'!$B:$B,V8)&amp;"'s reply (same party)","Replied "&amp;TEXT(INDEX('Form Calc'!$A:$A,T8),"mm/dd")&amp;" · "&amp;INDEX('Form Calc'!$H:$H,T8)&amp;" adult(s), "&amp;INDEX('Form Calc'!$I:$I,T8)&amp;" child(ren)"&amp;IF(INDEX('Form Calc'!$K:$K,T8)&lt;&gt;""," · "&amp;INDEX('Form Calc'!$K:$K,T8),"")&amp;IF(INDEX('Form Calc'!$M:$M,T8)&lt;&gt;""," · “"&amp;INDEX('Form Calc'!$M:$M,T8)&amp;"”","")))</f>
        <v/>
      </c>
      <c r="R8" s="32">
        <f>SUBSTITUTE(SUBSTITUTE(SUBSTITUTE(SUBSTITUTE(SUBSTITUTE(SUBSTITUTE(SUBSTITUTE(SUBSTITUTE(D8&amp;""," ",""),"-",""),"(",""),")",""),".",""),"+",""),"/",""),CHAR(160),"")</f>
        <v/>
      </c>
      <c r="S8" s="32">
        <f>IF(LEN(R8)&gt;=10,RIGHT(R8,10),R8)</f>
        <v/>
      </c>
      <c r="T8" s="32">
        <f>IF(TRIM(A8&amp;"")="","",IF(S8&lt;&gt;"",IFERROR(MATCH(S8,'Form Calc'!$P:$P,0),IFERROR(MATCH(TRIM(A8&amp;""),'Form Calc'!$Q:$Q,0),"")),IFERROR(MATCH(TRIM(A8&amp;""),'Form Calc'!$Q:$Q,0),"")))</f>
        <v/>
      </c>
      <c r="U8" s="32">
        <f>IF(AND(T8&lt;&gt;"",TRIM(E8&amp;"")&lt;&gt;""),TRIM(E8&amp;""),"")</f>
        <v/>
      </c>
      <c r="V8" s="32">
        <f>IF(TRIM(A8&amp;"")="","",IF(T8&lt;&gt;"",T8,IF(TRIM(E8&amp;"")="","",IFERROR(INDEX($T$6:$T$505,MATCH(TRIM(E8&amp;""),$U$6:$U$505,0)),""))))</f>
        <v/>
      </c>
      <c r="W8" s="32">
        <f>IF(V8="","",INDEX('Form Calc'!$G:$G,V8))</f>
        <v/>
      </c>
      <c r="X8" s="32">
        <f>IF(TRIM(A8&amp;"")="","",IF(T8&lt;&gt;"",IF(INDEX('Form Calc'!$K:$K,T8)&lt;&gt;"",INDEX('Form Calc'!$K:$K,T8),J8&amp;""),J8&amp;""))</f>
        <v/>
      </c>
      <c r="Y8" s="32">
        <f>IF(TRIM(A8&amp;"")="","",IF(TRIM(D8&amp;"")&lt;&gt;"",TRIM(D8&amp;""),IF(T8&lt;&gt;"",INDEX('Form Calc'!$C:$C,T8)&amp;"","")))</f>
        <v/>
      </c>
      <c r="Z8" s="32">
        <f>SUBSTITUTE(SUBSTITUTE(SUBSTITUTE(SUBSTITUTE(SUBSTITUTE(SUBSTITUTE(SUBSTITUTE(SUBSTITUTE(Y8," ",""),"-",""),"(",""),")",""),".",""),"+",""),"/",""),CHAR(160),"")</f>
        <v/>
      </c>
      <c r="AA8" s="32">
        <f>IF(Z8="","",IF(LEN(Z8)=10,"+1"&amp;Z8,IF(AND(LEN(Z8)=11,LEFT(Z8,1)="1"),"+"&amp;Z8,IF(LEFT(Y8,1)="+","+"&amp;Z8,Z8))))</f>
        <v/>
      </c>
      <c r="AB8" s="32">
        <f>IF(TRIM(A8&amp;"")="","",IF(TRIM(M8&amp;"")&lt;&gt;"",TRIM(M8&amp;""),IFERROR(LEFT(TRIM(A8&amp;""),FIND(" ",TRIM(A8&amp;""))-1),TRIM(A8&amp;""))))</f>
        <v/>
      </c>
      <c r="AC8" s="32">
        <f>SUBSTITUTE(SUBSTITUTE(SUBSTITUTE(SUBSTITUTE(SUBSTITUTE(SUBSTITUTE(SUBSTITUTE(SUBSTITUTE(SUBSTITUTE(SUBSTITUTE(AB8,"%","%25"),"&amp;","%26"),"#","%23"),"+","%2B"),"=","%3D"),"?","%3F"),CHAR(34),"%22"),CHAR(10),"%0A"),CHAR(13),"")," ","+")</f>
        <v/>
      </c>
      <c r="AD8" s="32">
        <f>IF(OR(AA8="",AB8=""),"",'Start Here'!$B$20&amp;"#p="&amp;SUBSTITUTE(AA8,"+","%2B")&amp;"&amp;n="&amp;AC8&amp;"&amp;m="&amp;SUBSTITUTE('Start Here'!$B$24,"{name}",AC8))</f>
        <v/>
      </c>
      <c r="AE8" s="32">
        <f>LEN(AD8)</f>
        <v/>
      </c>
      <c r="AF8" s="32">
        <f>IF(AND(TRIM(A8&amp;"")&lt;&gt;"",OR(B8="Awaiting",B8="Not sure yet")),1,0)</f>
        <v/>
      </c>
      <c r="AG8" s="32">
        <f>N(AG7)+AF8</f>
        <v/>
      </c>
      <c r="AH8" s="32">
        <f>IF(AF8=1,AG8,"")</f>
        <v/>
      </c>
      <c r="AI8" s="32">
        <f>IF(AND(TRIM(A8&amp;"")&lt;&gt;"",L8&amp;""&lt;&gt;"",L8&amp;""=Seating!$I$3&amp;"",B8&lt;&gt;"Declined"),1,0)</f>
        <v/>
      </c>
      <c r="AJ8" s="32">
        <f>N(AJ7)+AI8</f>
        <v/>
      </c>
      <c r="AK8" s="32">
        <f>IF(AI8=1,AJ8,"")</f>
        <v/>
      </c>
    </row>
    <row r="9">
      <c r="A9" s="10" t="n"/>
      <c r="B9" s="47">
        <f>IF(TRIM(A9&amp;"")="","",IF(W9&lt;&gt;"",W9,IF(I9="","Awaiting",I9)))</f>
        <v/>
      </c>
      <c r="C9" s="60">
        <f>IF(OR(B9="Awaiting",B9="Not sure yet"),IF(AD9&lt;&gt;"",HYPERLINK(AD9,"💬 Remind"),"add mobile"),"")</f>
        <v/>
      </c>
      <c r="D9" s="58" t="n"/>
      <c r="E9" s="10" t="n"/>
      <c r="F9" s="10" t="n"/>
      <c r="G9" s="10" t="n"/>
      <c r="H9" s="10" t="n"/>
      <c r="I9" s="10" t="n"/>
      <c r="J9" s="10" t="n"/>
      <c r="K9" s="10" t="n"/>
      <c r="L9" s="56" t="n"/>
      <c r="M9" s="10" t="n"/>
      <c r="N9" s="12" t="n"/>
      <c r="O9" s="10" t="n"/>
      <c r="P9" s="10" t="n"/>
      <c r="Q9" s="61">
        <f>IF(V9="","",IF(T9="","Covered by "&amp;INDEX('Form Calc'!$B:$B,V9)&amp;"'s reply (same party)","Replied "&amp;TEXT(INDEX('Form Calc'!$A:$A,T9),"mm/dd")&amp;" · "&amp;INDEX('Form Calc'!$H:$H,T9)&amp;" adult(s), "&amp;INDEX('Form Calc'!$I:$I,T9)&amp;" child(ren)"&amp;IF(INDEX('Form Calc'!$K:$K,T9)&lt;&gt;""," · "&amp;INDEX('Form Calc'!$K:$K,T9),"")&amp;IF(INDEX('Form Calc'!$M:$M,T9)&lt;&gt;""," · “"&amp;INDEX('Form Calc'!$M:$M,T9)&amp;"”","")))</f>
        <v/>
      </c>
      <c r="R9" s="32">
        <f>SUBSTITUTE(SUBSTITUTE(SUBSTITUTE(SUBSTITUTE(SUBSTITUTE(SUBSTITUTE(SUBSTITUTE(SUBSTITUTE(D9&amp;""," ",""),"-",""),"(",""),")",""),".",""),"+",""),"/",""),CHAR(160),"")</f>
        <v/>
      </c>
      <c r="S9" s="32">
        <f>IF(LEN(R9)&gt;=10,RIGHT(R9,10),R9)</f>
        <v/>
      </c>
      <c r="T9" s="32">
        <f>IF(TRIM(A9&amp;"")="","",IF(S9&lt;&gt;"",IFERROR(MATCH(S9,'Form Calc'!$P:$P,0),IFERROR(MATCH(TRIM(A9&amp;""),'Form Calc'!$Q:$Q,0),"")),IFERROR(MATCH(TRIM(A9&amp;""),'Form Calc'!$Q:$Q,0),"")))</f>
        <v/>
      </c>
      <c r="U9" s="32">
        <f>IF(AND(T9&lt;&gt;"",TRIM(E9&amp;"")&lt;&gt;""),TRIM(E9&amp;""),"")</f>
        <v/>
      </c>
      <c r="V9" s="32">
        <f>IF(TRIM(A9&amp;"")="","",IF(T9&lt;&gt;"",T9,IF(TRIM(E9&amp;"")="","",IFERROR(INDEX($T$6:$T$505,MATCH(TRIM(E9&amp;""),$U$6:$U$505,0)),""))))</f>
        <v/>
      </c>
      <c r="W9" s="32">
        <f>IF(V9="","",INDEX('Form Calc'!$G:$G,V9))</f>
        <v/>
      </c>
      <c r="X9" s="32">
        <f>IF(TRIM(A9&amp;"")="","",IF(T9&lt;&gt;"",IF(INDEX('Form Calc'!$K:$K,T9)&lt;&gt;"",INDEX('Form Calc'!$K:$K,T9),J9&amp;""),J9&amp;""))</f>
        <v/>
      </c>
      <c r="Y9" s="32">
        <f>IF(TRIM(A9&amp;"")="","",IF(TRIM(D9&amp;"")&lt;&gt;"",TRIM(D9&amp;""),IF(T9&lt;&gt;"",INDEX('Form Calc'!$C:$C,T9)&amp;"","")))</f>
        <v/>
      </c>
      <c r="Z9" s="32">
        <f>SUBSTITUTE(SUBSTITUTE(SUBSTITUTE(SUBSTITUTE(SUBSTITUTE(SUBSTITUTE(SUBSTITUTE(SUBSTITUTE(Y9," ",""),"-",""),"(",""),")",""),".",""),"+",""),"/",""),CHAR(160),"")</f>
        <v/>
      </c>
      <c r="AA9" s="32">
        <f>IF(Z9="","",IF(LEN(Z9)=10,"+1"&amp;Z9,IF(AND(LEN(Z9)=11,LEFT(Z9,1)="1"),"+"&amp;Z9,IF(LEFT(Y9,1)="+","+"&amp;Z9,Z9))))</f>
        <v/>
      </c>
      <c r="AB9" s="32">
        <f>IF(TRIM(A9&amp;"")="","",IF(TRIM(M9&amp;"")&lt;&gt;"",TRIM(M9&amp;""),IFERROR(LEFT(TRIM(A9&amp;""),FIND(" ",TRIM(A9&amp;""))-1),TRIM(A9&amp;""))))</f>
        <v/>
      </c>
      <c r="AC9" s="32">
        <f>SUBSTITUTE(SUBSTITUTE(SUBSTITUTE(SUBSTITUTE(SUBSTITUTE(SUBSTITUTE(SUBSTITUTE(SUBSTITUTE(SUBSTITUTE(SUBSTITUTE(AB9,"%","%25"),"&amp;","%26"),"#","%23"),"+","%2B"),"=","%3D"),"?","%3F"),CHAR(34),"%22"),CHAR(10),"%0A"),CHAR(13),"")," ","+")</f>
        <v/>
      </c>
      <c r="AD9" s="32">
        <f>IF(OR(AA9="",AB9=""),"",'Start Here'!$B$20&amp;"#p="&amp;SUBSTITUTE(AA9,"+","%2B")&amp;"&amp;n="&amp;AC9&amp;"&amp;m="&amp;SUBSTITUTE('Start Here'!$B$24,"{name}",AC9))</f>
        <v/>
      </c>
      <c r="AE9" s="32">
        <f>LEN(AD9)</f>
        <v/>
      </c>
      <c r="AF9" s="32">
        <f>IF(AND(TRIM(A9&amp;"")&lt;&gt;"",OR(B9="Awaiting",B9="Not sure yet")),1,0)</f>
        <v/>
      </c>
      <c r="AG9" s="32">
        <f>N(AG8)+AF9</f>
        <v/>
      </c>
      <c r="AH9" s="32">
        <f>IF(AF9=1,AG9,"")</f>
        <v/>
      </c>
      <c r="AI9" s="32">
        <f>IF(AND(TRIM(A9&amp;"")&lt;&gt;"",L9&amp;""&lt;&gt;"",L9&amp;""=Seating!$I$3&amp;"",B9&lt;&gt;"Declined"),1,0)</f>
        <v/>
      </c>
      <c r="AJ9" s="32">
        <f>N(AJ8)+AI9</f>
        <v/>
      </c>
      <c r="AK9" s="32">
        <f>IF(AI9=1,AJ9,"")</f>
        <v/>
      </c>
    </row>
    <row r="10">
      <c r="A10" s="10" t="n"/>
      <c r="B10" s="47">
        <f>IF(TRIM(A10&amp;"")="","",IF(W10&lt;&gt;"",W10,IF(I10="","Awaiting",I10)))</f>
        <v/>
      </c>
      <c r="C10" s="60">
        <f>IF(OR(B10="Awaiting",B10="Not sure yet"),IF(AD10&lt;&gt;"",HYPERLINK(AD10,"💬 Remind"),"add mobile"),"")</f>
        <v/>
      </c>
      <c r="D10" s="58" t="n"/>
      <c r="E10" s="10" t="n"/>
      <c r="F10" s="10" t="n"/>
      <c r="G10" s="10" t="n"/>
      <c r="H10" s="10" t="n"/>
      <c r="I10" s="10" t="n"/>
      <c r="J10" s="10" t="n"/>
      <c r="K10" s="10" t="n"/>
      <c r="L10" s="56" t="n"/>
      <c r="M10" s="10" t="n"/>
      <c r="N10" s="12" t="n"/>
      <c r="O10" s="10" t="n"/>
      <c r="P10" s="10" t="n"/>
      <c r="Q10" s="61">
        <f>IF(V10="","",IF(T10="","Covered by "&amp;INDEX('Form Calc'!$B:$B,V10)&amp;"'s reply (same party)","Replied "&amp;TEXT(INDEX('Form Calc'!$A:$A,T10),"mm/dd")&amp;" · "&amp;INDEX('Form Calc'!$H:$H,T10)&amp;" adult(s), "&amp;INDEX('Form Calc'!$I:$I,T10)&amp;" child(ren)"&amp;IF(INDEX('Form Calc'!$K:$K,T10)&lt;&gt;""," · "&amp;INDEX('Form Calc'!$K:$K,T10),"")&amp;IF(INDEX('Form Calc'!$M:$M,T10)&lt;&gt;""," · “"&amp;INDEX('Form Calc'!$M:$M,T10)&amp;"”","")))</f>
        <v/>
      </c>
      <c r="R10" s="32">
        <f>SUBSTITUTE(SUBSTITUTE(SUBSTITUTE(SUBSTITUTE(SUBSTITUTE(SUBSTITUTE(SUBSTITUTE(SUBSTITUTE(D10&amp;""," ",""),"-",""),"(",""),")",""),".",""),"+",""),"/",""),CHAR(160),"")</f>
        <v/>
      </c>
      <c r="S10" s="32">
        <f>IF(LEN(R10)&gt;=10,RIGHT(R10,10),R10)</f>
        <v/>
      </c>
      <c r="T10" s="32">
        <f>IF(TRIM(A10&amp;"")="","",IF(S10&lt;&gt;"",IFERROR(MATCH(S10,'Form Calc'!$P:$P,0),IFERROR(MATCH(TRIM(A10&amp;""),'Form Calc'!$Q:$Q,0),"")),IFERROR(MATCH(TRIM(A10&amp;""),'Form Calc'!$Q:$Q,0),"")))</f>
        <v/>
      </c>
      <c r="U10" s="32">
        <f>IF(AND(T10&lt;&gt;"",TRIM(E10&amp;"")&lt;&gt;""),TRIM(E10&amp;""),"")</f>
        <v/>
      </c>
      <c r="V10" s="32">
        <f>IF(TRIM(A10&amp;"")="","",IF(T10&lt;&gt;"",T10,IF(TRIM(E10&amp;"")="","",IFERROR(INDEX($T$6:$T$505,MATCH(TRIM(E10&amp;""),$U$6:$U$505,0)),""))))</f>
        <v/>
      </c>
      <c r="W10" s="32">
        <f>IF(V10="","",INDEX('Form Calc'!$G:$G,V10))</f>
        <v/>
      </c>
      <c r="X10" s="32">
        <f>IF(TRIM(A10&amp;"")="","",IF(T10&lt;&gt;"",IF(INDEX('Form Calc'!$K:$K,T10)&lt;&gt;"",INDEX('Form Calc'!$K:$K,T10),J10&amp;""),J10&amp;""))</f>
        <v/>
      </c>
      <c r="Y10" s="32">
        <f>IF(TRIM(A10&amp;"")="","",IF(TRIM(D10&amp;"")&lt;&gt;"",TRIM(D10&amp;""),IF(T10&lt;&gt;"",INDEX('Form Calc'!$C:$C,T10)&amp;"","")))</f>
        <v/>
      </c>
      <c r="Z10" s="32">
        <f>SUBSTITUTE(SUBSTITUTE(SUBSTITUTE(SUBSTITUTE(SUBSTITUTE(SUBSTITUTE(SUBSTITUTE(SUBSTITUTE(Y10," ",""),"-",""),"(",""),")",""),".",""),"+",""),"/",""),CHAR(160),"")</f>
        <v/>
      </c>
      <c r="AA10" s="32">
        <f>IF(Z10="","",IF(LEN(Z10)=10,"+1"&amp;Z10,IF(AND(LEN(Z10)=11,LEFT(Z10,1)="1"),"+"&amp;Z10,IF(LEFT(Y10,1)="+","+"&amp;Z10,Z10))))</f>
        <v/>
      </c>
      <c r="AB10" s="32">
        <f>IF(TRIM(A10&amp;"")="","",IF(TRIM(M10&amp;"")&lt;&gt;"",TRIM(M10&amp;""),IFERROR(LEFT(TRIM(A10&amp;""),FIND(" ",TRIM(A10&amp;""))-1),TRIM(A10&amp;""))))</f>
        <v/>
      </c>
      <c r="AC10" s="32">
        <f>SUBSTITUTE(SUBSTITUTE(SUBSTITUTE(SUBSTITUTE(SUBSTITUTE(SUBSTITUTE(SUBSTITUTE(SUBSTITUTE(SUBSTITUTE(SUBSTITUTE(AB10,"%","%25"),"&amp;","%26"),"#","%23"),"+","%2B"),"=","%3D"),"?","%3F"),CHAR(34),"%22"),CHAR(10),"%0A"),CHAR(13),"")," ","+")</f>
        <v/>
      </c>
      <c r="AD10" s="32">
        <f>IF(OR(AA10="",AB10=""),"",'Start Here'!$B$20&amp;"#p="&amp;SUBSTITUTE(AA10,"+","%2B")&amp;"&amp;n="&amp;AC10&amp;"&amp;m="&amp;SUBSTITUTE('Start Here'!$B$24,"{name}",AC10))</f>
        <v/>
      </c>
      <c r="AE10" s="32">
        <f>LEN(AD10)</f>
        <v/>
      </c>
      <c r="AF10" s="32">
        <f>IF(AND(TRIM(A10&amp;"")&lt;&gt;"",OR(B10="Awaiting",B10="Not sure yet")),1,0)</f>
        <v/>
      </c>
      <c r="AG10" s="32">
        <f>N(AG9)+AF10</f>
        <v/>
      </c>
      <c r="AH10" s="32">
        <f>IF(AF10=1,AG10,"")</f>
        <v/>
      </c>
      <c r="AI10" s="32">
        <f>IF(AND(TRIM(A10&amp;"")&lt;&gt;"",L10&amp;""&lt;&gt;"",L10&amp;""=Seating!$I$3&amp;"",B10&lt;&gt;"Declined"),1,0)</f>
        <v/>
      </c>
      <c r="AJ10" s="32">
        <f>N(AJ9)+AI10</f>
        <v/>
      </c>
      <c r="AK10" s="32">
        <f>IF(AI10=1,AJ10,"")</f>
        <v/>
      </c>
    </row>
    <row r="11">
      <c r="A11" s="10" t="n"/>
      <c r="B11" s="47">
        <f>IF(TRIM(A11&amp;"")="","",IF(W11&lt;&gt;"",W11,IF(I11="","Awaiting",I11)))</f>
        <v/>
      </c>
      <c r="C11" s="60">
        <f>IF(OR(B11="Awaiting",B11="Not sure yet"),IF(AD11&lt;&gt;"",HYPERLINK(AD11,"💬 Remind"),"add mobile"),"")</f>
        <v/>
      </c>
      <c r="D11" s="58" t="n"/>
      <c r="E11" s="10" t="n"/>
      <c r="F11" s="10" t="n"/>
      <c r="G11" s="10" t="n"/>
      <c r="H11" s="10" t="n"/>
      <c r="I11" s="10" t="n"/>
      <c r="J11" s="10" t="n"/>
      <c r="K11" s="10" t="n"/>
      <c r="L11" s="56" t="n"/>
      <c r="M11" s="10" t="n"/>
      <c r="N11" s="12" t="n"/>
      <c r="O11" s="10" t="n"/>
      <c r="P11" s="10" t="n"/>
      <c r="Q11" s="61">
        <f>IF(V11="","",IF(T11="","Covered by "&amp;INDEX('Form Calc'!$B:$B,V11)&amp;"'s reply (same party)","Replied "&amp;TEXT(INDEX('Form Calc'!$A:$A,T11),"mm/dd")&amp;" · "&amp;INDEX('Form Calc'!$H:$H,T11)&amp;" adult(s), "&amp;INDEX('Form Calc'!$I:$I,T11)&amp;" child(ren)"&amp;IF(INDEX('Form Calc'!$K:$K,T11)&lt;&gt;""," · "&amp;INDEX('Form Calc'!$K:$K,T11),"")&amp;IF(INDEX('Form Calc'!$M:$M,T11)&lt;&gt;""," · “"&amp;INDEX('Form Calc'!$M:$M,T11)&amp;"”","")))</f>
        <v/>
      </c>
      <c r="R11" s="32">
        <f>SUBSTITUTE(SUBSTITUTE(SUBSTITUTE(SUBSTITUTE(SUBSTITUTE(SUBSTITUTE(SUBSTITUTE(SUBSTITUTE(D11&amp;""," ",""),"-",""),"(",""),")",""),".",""),"+",""),"/",""),CHAR(160),"")</f>
        <v/>
      </c>
      <c r="S11" s="32">
        <f>IF(LEN(R11)&gt;=10,RIGHT(R11,10),R11)</f>
        <v/>
      </c>
      <c r="T11" s="32">
        <f>IF(TRIM(A11&amp;"")="","",IF(S11&lt;&gt;"",IFERROR(MATCH(S11,'Form Calc'!$P:$P,0),IFERROR(MATCH(TRIM(A11&amp;""),'Form Calc'!$Q:$Q,0),"")),IFERROR(MATCH(TRIM(A11&amp;""),'Form Calc'!$Q:$Q,0),"")))</f>
        <v/>
      </c>
      <c r="U11" s="32">
        <f>IF(AND(T11&lt;&gt;"",TRIM(E11&amp;"")&lt;&gt;""),TRIM(E11&amp;""),"")</f>
        <v/>
      </c>
      <c r="V11" s="32">
        <f>IF(TRIM(A11&amp;"")="","",IF(T11&lt;&gt;"",T11,IF(TRIM(E11&amp;"")="","",IFERROR(INDEX($T$6:$T$505,MATCH(TRIM(E11&amp;""),$U$6:$U$505,0)),""))))</f>
        <v/>
      </c>
      <c r="W11" s="32">
        <f>IF(V11="","",INDEX('Form Calc'!$G:$G,V11))</f>
        <v/>
      </c>
      <c r="X11" s="32">
        <f>IF(TRIM(A11&amp;"")="","",IF(T11&lt;&gt;"",IF(INDEX('Form Calc'!$K:$K,T11)&lt;&gt;"",INDEX('Form Calc'!$K:$K,T11),J11&amp;""),J11&amp;""))</f>
        <v/>
      </c>
      <c r="Y11" s="32">
        <f>IF(TRIM(A11&amp;"")="","",IF(TRIM(D11&amp;"")&lt;&gt;"",TRIM(D11&amp;""),IF(T11&lt;&gt;"",INDEX('Form Calc'!$C:$C,T11)&amp;"","")))</f>
        <v/>
      </c>
      <c r="Z11" s="32">
        <f>SUBSTITUTE(SUBSTITUTE(SUBSTITUTE(SUBSTITUTE(SUBSTITUTE(SUBSTITUTE(SUBSTITUTE(SUBSTITUTE(Y11," ",""),"-",""),"(",""),")",""),".",""),"+",""),"/",""),CHAR(160),"")</f>
        <v/>
      </c>
      <c r="AA11" s="32">
        <f>IF(Z11="","",IF(LEN(Z11)=10,"+1"&amp;Z11,IF(AND(LEN(Z11)=11,LEFT(Z11,1)="1"),"+"&amp;Z11,IF(LEFT(Y11,1)="+","+"&amp;Z11,Z11))))</f>
        <v/>
      </c>
      <c r="AB11" s="32">
        <f>IF(TRIM(A11&amp;"")="","",IF(TRIM(M11&amp;"")&lt;&gt;"",TRIM(M11&amp;""),IFERROR(LEFT(TRIM(A11&amp;""),FIND(" ",TRIM(A11&amp;""))-1),TRIM(A11&amp;""))))</f>
        <v/>
      </c>
      <c r="AC11" s="32">
        <f>SUBSTITUTE(SUBSTITUTE(SUBSTITUTE(SUBSTITUTE(SUBSTITUTE(SUBSTITUTE(SUBSTITUTE(SUBSTITUTE(SUBSTITUTE(SUBSTITUTE(AB11,"%","%25"),"&amp;","%26"),"#","%23"),"+","%2B"),"=","%3D"),"?","%3F"),CHAR(34),"%22"),CHAR(10),"%0A"),CHAR(13),"")," ","+")</f>
        <v/>
      </c>
      <c r="AD11" s="32">
        <f>IF(OR(AA11="",AB11=""),"",'Start Here'!$B$20&amp;"#p="&amp;SUBSTITUTE(AA11,"+","%2B")&amp;"&amp;n="&amp;AC11&amp;"&amp;m="&amp;SUBSTITUTE('Start Here'!$B$24,"{name}",AC11))</f>
        <v/>
      </c>
      <c r="AE11" s="32">
        <f>LEN(AD11)</f>
        <v/>
      </c>
      <c r="AF11" s="32">
        <f>IF(AND(TRIM(A11&amp;"")&lt;&gt;"",OR(B11="Awaiting",B11="Not sure yet")),1,0)</f>
        <v/>
      </c>
      <c r="AG11" s="32">
        <f>N(AG10)+AF11</f>
        <v/>
      </c>
      <c r="AH11" s="32">
        <f>IF(AF11=1,AG11,"")</f>
        <v/>
      </c>
      <c r="AI11" s="32">
        <f>IF(AND(TRIM(A11&amp;"")&lt;&gt;"",L11&amp;""&lt;&gt;"",L11&amp;""=Seating!$I$3&amp;"",B11&lt;&gt;"Declined"),1,0)</f>
        <v/>
      </c>
      <c r="AJ11" s="32">
        <f>N(AJ10)+AI11</f>
        <v/>
      </c>
      <c r="AK11" s="32">
        <f>IF(AI11=1,AJ11,"")</f>
        <v/>
      </c>
    </row>
    <row r="12">
      <c r="A12" s="10" t="n"/>
      <c r="B12" s="47">
        <f>IF(TRIM(A12&amp;"")="","",IF(W12&lt;&gt;"",W12,IF(I12="","Awaiting",I12)))</f>
        <v/>
      </c>
      <c r="C12" s="60">
        <f>IF(OR(B12="Awaiting",B12="Not sure yet"),IF(AD12&lt;&gt;"",HYPERLINK(AD12,"💬 Remind"),"add mobile"),"")</f>
        <v/>
      </c>
      <c r="D12" s="58" t="n"/>
      <c r="E12" s="10" t="n"/>
      <c r="F12" s="10" t="n"/>
      <c r="G12" s="10" t="n"/>
      <c r="H12" s="10" t="n"/>
      <c r="I12" s="10" t="n"/>
      <c r="J12" s="10" t="n"/>
      <c r="K12" s="10" t="n"/>
      <c r="L12" s="56" t="n"/>
      <c r="M12" s="10" t="n"/>
      <c r="N12" s="12" t="n"/>
      <c r="O12" s="10" t="n"/>
      <c r="P12" s="10" t="n"/>
      <c r="Q12" s="61">
        <f>IF(V12="","",IF(T12="","Covered by "&amp;INDEX('Form Calc'!$B:$B,V12)&amp;"'s reply (same party)","Replied "&amp;TEXT(INDEX('Form Calc'!$A:$A,T12),"mm/dd")&amp;" · "&amp;INDEX('Form Calc'!$H:$H,T12)&amp;" adult(s), "&amp;INDEX('Form Calc'!$I:$I,T12)&amp;" child(ren)"&amp;IF(INDEX('Form Calc'!$K:$K,T12)&lt;&gt;""," · "&amp;INDEX('Form Calc'!$K:$K,T12),"")&amp;IF(INDEX('Form Calc'!$M:$M,T12)&lt;&gt;""," · “"&amp;INDEX('Form Calc'!$M:$M,T12)&amp;"”","")))</f>
        <v/>
      </c>
      <c r="R12" s="32">
        <f>SUBSTITUTE(SUBSTITUTE(SUBSTITUTE(SUBSTITUTE(SUBSTITUTE(SUBSTITUTE(SUBSTITUTE(SUBSTITUTE(D12&amp;""," ",""),"-",""),"(",""),")",""),".",""),"+",""),"/",""),CHAR(160),"")</f>
        <v/>
      </c>
      <c r="S12" s="32">
        <f>IF(LEN(R12)&gt;=10,RIGHT(R12,10),R12)</f>
        <v/>
      </c>
      <c r="T12" s="32">
        <f>IF(TRIM(A12&amp;"")="","",IF(S12&lt;&gt;"",IFERROR(MATCH(S12,'Form Calc'!$P:$P,0),IFERROR(MATCH(TRIM(A12&amp;""),'Form Calc'!$Q:$Q,0),"")),IFERROR(MATCH(TRIM(A12&amp;""),'Form Calc'!$Q:$Q,0),"")))</f>
        <v/>
      </c>
      <c r="U12" s="32">
        <f>IF(AND(T12&lt;&gt;"",TRIM(E12&amp;"")&lt;&gt;""),TRIM(E12&amp;""),"")</f>
        <v/>
      </c>
      <c r="V12" s="32">
        <f>IF(TRIM(A12&amp;"")="","",IF(T12&lt;&gt;"",T12,IF(TRIM(E12&amp;"")="","",IFERROR(INDEX($T$6:$T$505,MATCH(TRIM(E12&amp;""),$U$6:$U$505,0)),""))))</f>
        <v/>
      </c>
      <c r="W12" s="32">
        <f>IF(V12="","",INDEX('Form Calc'!$G:$G,V12))</f>
        <v/>
      </c>
      <c r="X12" s="32">
        <f>IF(TRIM(A12&amp;"")="","",IF(T12&lt;&gt;"",IF(INDEX('Form Calc'!$K:$K,T12)&lt;&gt;"",INDEX('Form Calc'!$K:$K,T12),J12&amp;""),J12&amp;""))</f>
        <v/>
      </c>
      <c r="Y12" s="32">
        <f>IF(TRIM(A12&amp;"")="","",IF(TRIM(D12&amp;"")&lt;&gt;"",TRIM(D12&amp;""),IF(T12&lt;&gt;"",INDEX('Form Calc'!$C:$C,T12)&amp;"","")))</f>
        <v/>
      </c>
      <c r="Z12" s="32">
        <f>SUBSTITUTE(SUBSTITUTE(SUBSTITUTE(SUBSTITUTE(SUBSTITUTE(SUBSTITUTE(SUBSTITUTE(SUBSTITUTE(Y12," ",""),"-",""),"(",""),")",""),".",""),"+",""),"/",""),CHAR(160),"")</f>
        <v/>
      </c>
      <c r="AA12" s="32">
        <f>IF(Z12="","",IF(LEN(Z12)=10,"+1"&amp;Z12,IF(AND(LEN(Z12)=11,LEFT(Z12,1)="1"),"+"&amp;Z12,IF(LEFT(Y12,1)="+","+"&amp;Z12,Z12))))</f>
        <v/>
      </c>
      <c r="AB12" s="32">
        <f>IF(TRIM(A12&amp;"")="","",IF(TRIM(M12&amp;"")&lt;&gt;"",TRIM(M12&amp;""),IFERROR(LEFT(TRIM(A12&amp;""),FIND(" ",TRIM(A12&amp;""))-1),TRIM(A12&amp;""))))</f>
        <v/>
      </c>
      <c r="AC12" s="32">
        <f>SUBSTITUTE(SUBSTITUTE(SUBSTITUTE(SUBSTITUTE(SUBSTITUTE(SUBSTITUTE(SUBSTITUTE(SUBSTITUTE(SUBSTITUTE(SUBSTITUTE(AB12,"%","%25"),"&amp;","%26"),"#","%23"),"+","%2B"),"=","%3D"),"?","%3F"),CHAR(34),"%22"),CHAR(10),"%0A"),CHAR(13),"")," ","+")</f>
        <v/>
      </c>
      <c r="AD12" s="32">
        <f>IF(OR(AA12="",AB12=""),"",'Start Here'!$B$20&amp;"#p="&amp;SUBSTITUTE(AA12,"+","%2B")&amp;"&amp;n="&amp;AC12&amp;"&amp;m="&amp;SUBSTITUTE('Start Here'!$B$24,"{name}",AC12))</f>
        <v/>
      </c>
      <c r="AE12" s="32">
        <f>LEN(AD12)</f>
        <v/>
      </c>
      <c r="AF12" s="32">
        <f>IF(AND(TRIM(A12&amp;"")&lt;&gt;"",OR(B12="Awaiting",B12="Not sure yet")),1,0)</f>
        <v/>
      </c>
      <c r="AG12" s="32">
        <f>N(AG11)+AF12</f>
        <v/>
      </c>
      <c r="AH12" s="32">
        <f>IF(AF12=1,AG12,"")</f>
        <v/>
      </c>
      <c r="AI12" s="32">
        <f>IF(AND(TRIM(A12&amp;"")&lt;&gt;"",L12&amp;""&lt;&gt;"",L12&amp;""=Seating!$I$3&amp;"",B12&lt;&gt;"Declined"),1,0)</f>
        <v/>
      </c>
      <c r="AJ12" s="32">
        <f>N(AJ11)+AI12</f>
        <v/>
      </c>
      <c r="AK12" s="32">
        <f>IF(AI12=1,AJ12,"")</f>
        <v/>
      </c>
    </row>
    <row r="13">
      <c r="A13" s="10" t="n"/>
      <c r="B13" s="47">
        <f>IF(TRIM(A13&amp;"")="","",IF(W13&lt;&gt;"",W13,IF(I13="","Awaiting",I13)))</f>
        <v/>
      </c>
      <c r="C13" s="60">
        <f>IF(OR(B13="Awaiting",B13="Not sure yet"),IF(AD13&lt;&gt;"",HYPERLINK(AD13,"💬 Remind"),"add mobile"),"")</f>
        <v/>
      </c>
      <c r="D13" s="58" t="n"/>
      <c r="E13" s="10" t="n"/>
      <c r="F13" s="10" t="n"/>
      <c r="G13" s="10" t="n"/>
      <c r="H13" s="10" t="n"/>
      <c r="I13" s="10" t="n"/>
      <c r="J13" s="10" t="n"/>
      <c r="K13" s="10" t="n"/>
      <c r="L13" s="56" t="n"/>
      <c r="M13" s="10" t="n"/>
      <c r="N13" s="12" t="n"/>
      <c r="O13" s="10" t="n"/>
      <c r="P13" s="10" t="n"/>
      <c r="Q13" s="61">
        <f>IF(V13="","",IF(T13="","Covered by "&amp;INDEX('Form Calc'!$B:$B,V13)&amp;"'s reply (same party)","Replied "&amp;TEXT(INDEX('Form Calc'!$A:$A,T13),"mm/dd")&amp;" · "&amp;INDEX('Form Calc'!$H:$H,T13)&amp;" adult(s), "&amp;INDEX('Form Calc'!$I:$I,T13)&amp;" child(ren)"&amp;IF(INDEX('Form Calc'!$K:$K,T13)&lt;&gt;""," · "&amp;INDEX('Form Calc'!$K:$K,T13),"")&amp;IF(INDEX('Form Calc'!$M:$M,T13)&lt;&gt;""," · “"&amp;INDEX('Form Calc'!$M:$M,T13)&amp;"”","")))</f>
        <v/>
      </c>
      <c r="R13" s="32">
        <f>SUBSTITUTE(SUBSTITUTE(SUBSTITUTE(SUBSTITUTE(SUBSTITUTE(SUBSTITUTE(SUBSTITUTE(SUBSTITUTE(D13&amp;""," ",""),"-",""),"(",""),")",""),".",""),"+",""),"/",""),CHAR(160),"")</f>
        <v/>
      </c>
      <c r="S13" s="32">
        <f>IF(LEN(R13)&gt;=10,RIGHT(R13,10),R13)</f>
        <v/>
      </c>
      <c r="T13" s="32">
        <f>IF(TRIM(A13&amp;"")="","",IF(S13&lt;&gt;"",IFERROR(MATCH(S13,'Form Calc'!$P:$P,0),IFERROR(MATCH(TRIM(A13&amp;""),'Form Calc'!$Q:$Q,0),"")),IFERROR(MATCH(TRIM(A13&amp;""),'Form Calc'!$Q:$Q,0),"")))</f>
        <v/>
      </c>
      <c r="U13" s="32">
        <f>IF(AND(T13&lt;&gt;"",TRIM(E13&amp;"")&lt;&gt;""),TRIM(E13&amp;""),"")</f>
        <v/>
      </c>
      <c r="V13" s="32">
        <f>IF(TRIM(A13&amp;"")="","",IF(T13&lt;&gt;"",T13,IF(TRIM(E13&amp;"")="","",IFERROR(INDEX($T$6:$T$505,MATCH(TRIM(E13&amp;""),$U$6:$U$505,0)),""))))</f>
        <v/>
      </c>
      <c r="W13" s="32">
        <f>IF(V13="","",INDEX('Form Calc'!$G:$G,V13))</f>
        <v/>
      </c>
      <c r="X13" s="32">
        <f>IF(TRIM(A13&amp;"")="","",IF(T13&lt;&gt;"",IF(INDEX('Form Calc'!$K:$K,T13)&lt;&gt;"",INDEX('Form Calc'!$K:$K,T13),J13&amp;""),J13&amp;""))</f>
        <v/>
      </c>
      <c r="Y13" s="32">
        <f>IF(TRIM(A13&amp;"")="","",IF(TRIM(D13&amp;"")&lt;&gt;"",TRIM(D13&amp;""),IF(T13&lt;&gt;"",INDEX('Form Calc'!$C:$C,T13)&amp;"","")))</f>
        <v/>
      </c>
      <c r="Z13" s="32">
        <f>SUBSTITUTE(SUBSTITUTE(SUBSTITUTE(SUBSTITUTE(SUBSTITUTE(SUBSTITUTE(SUBSTITUTE(SUBSTITUTE(Y13," ",""),"-",""),"(",""),")",""),".",""),"+",""),"/",""),CHAR(160),"")</f>
        <v/>
      </c>
      <c r="AA13" s="32">
        <f>IF(Z13="","",IF(LEN(Z13)=10,"+1"&amp;Z13,IF(AND(LEN(Z13)=11,LEFT(Z13,1)="1"),"+"&amp;Z13,IF(LEFT(Y13,1)="+","+"&amp;Z13,Z13))))</f>
        <v/>
      </c>
      <c r="AB13" s="32">
        <f>IF(TRIM(A13&amp;"")="","",IF(TRIM(M13&amp;"")&lt;&gt;"",TRIM(M13&amp;""),IFERROR(LEFT(TRIM(A13&amp;""),FIND(" ",TRIM(A13&amp;""))-1),TRIM(A13&amp;""))))</f>
        <v/>
      </c>
      <c r="AC13" s="32">
        <f>SUBSTITUTE(SUBSTITUTE(SUBSTITUTE(SUBSTITUTE(SUBSTITUTE(SUBSTITUTE(SUBSTITUTE(SUBSTITUTE(SUBSTITUTE(SUBSTITUTE(AB13,"%","%25"),"&amp;","%26"),"#","%23"),"+","%2B"),"=","%3D"),"?","%3F"),CHAR(34),"%22"),CHAR(10),"%0A"),CHAR(13),"")," ","+")</f>
        <v/>
      </c>
      <c r="AD13" s="32">
        <f>IF(OR(AA13="",AB13=""),"",'Start Here'!$B$20&amp;"#p="&amp;SUBSTITUTE(AA13,"+","%2B")&amp;"&amp;n="&amp;AC13&amp;"&amp;m="&amp;SUBSTITUTE('Start Here'!$B$24,"{name}",AC13))</f>
        <v/>
      </c>
      <c r="AE13" s="32">
        <f>LEN(AD13)</f>
        <v/>
      </c>
      <c r="AF13" s="32">
        <f>IF(AND(TRIM(A13&amp;"")&lt;&gt;"",OR(B13="Awaiting",B13="Not sure yet")),1,0)</f>
        <v/>
      </c>
      <c r="AG13" s="32">
        <f>N(AG12)+AF13</f>
        <v/>
      </c>
      <c r="AH13" s="32">
        <f>IF(AF13=1,AG13,"")</f>
        <v/>
      </c>
      <c r="AI13" s="32">
        <f>IF(AND(TRIM(A13&amp;"")&lt;&gt;"",L13&amp;""&lt;&gt;"",L13&amp;""=Seating!$I$3&amp;"",B13&lt;&gt;"Declined"),1,0)</f>
        <v/>
      </c>
      <c r="AJ13" s="32">
        <f>N(AJ12)+AI13</f>
        <v/>
      </c>
      <c r="AK13" s="32">
        <f>IF(AI13=1,AJ13,"")</f>
        <v/>
      </c>
    </row>
    <row r="14">
      <c r="A14" s="10" t="n"/>
      <c r="B14" s="47">
        <f>IF(TRIM(A14&amp;"")="","",IF(W14&lt;&gt;"",W14,IF(I14="","Awaiting",I14)))</f>
        <v/>
      </c>
      <c r="C14" s="60">
        <f>IF(OR(B14="Awaiting",B14="Not sure yet"),IF(AD14&lt;&gt;"",HYPERLINK(AD14,"💬 Remind"),"add mobile"),"")</f>
        <v/>
      </c>
      <c r="D14" s="58" t="n"/>
      <c r="E14" s="10" t="n"/>
      <c r="F14" s="10" t="n"/>
      <c r="G14" s="10" t="n"/>
      <c r="H14" s="10" t="n"/>
      <c r="I14" s="10" t="n"/>
      <c r="J14" s="10" t="n"/>
      <c r="K14" s="10" t="n"/>
      <c r="L14" s="56" t="n"/>
      <c r="M14" s="10" t="n"/>
      <c r="N14" s="12" t="n"/>
      <c r="O14" s="10" t="n"/>
      <c r="P14" s="10" t="n"/>
      <c r="Q14" s="61">
        <f>IF(V14="","",IF(T14="","Covered by "&amp;INDEX('Form Calc'!$B:$B,V14)&amp;"'s reply (same party)","Replied "&amp;TEXT(INDEX('Form Calc'!$A:$A,T14),"mm/dd")&amp;" · "&amp;INDEX('Form Calc'!$H:$H,T14)&amp;" adult(s), "&amp;INDEX('Form Calc'!$I:$I,T14)&amp;" child(ren)"&amp;IF(INDEX('Form Calc'!$K:$K,T14)&lt;&gt;""," · "&amp;INDEX('Form Calc'!$K:$K,T14),"")&amp;IF(INDEX('Form Calc'!$M:$M,T14)&lt;&gt;""," · “"&amp;INDEX('Form Calc'!$M:$M,T14)&amp;"”","")))</f>
        <v/>
      </c>
      <c r="R14" s="32">
        <f>SUBSTITUTE(SUBSTITUTE(SUBSTITUTE(SUBSTITUTE(SUBSTITUTE(SUBSTITUTE(SUBSTITUTE(SUBSTITUTE(D14&amp;""," ",""),"-",""),"(",""),")",""),".",""),"+",""),"/",""),CHAR(160),"")</f>
        <v/>
      </c>
      <c r="S14" s="32">
        <f>IF(LEN(R14)&gt;=10,RIGHT(R14,10),R14)</f>
        <v/>
      </c>
      <c r="T14" s="32">
        <f>IF(TRIM(A14&amp;"")="","",IF(S14&lt;&gt;"",IFERROR(MATCH(S14,'Form Calc'!$P:$P,0),IFERROR(MATCH(TRIM(A14&amp;""),'Form Calc'!$Q:$Q,0),"")),IFERROR(MATCH(TRIM(A14&amp;""),'Form Calc'!$Q:$Q,0),"")))</f>
        <v/>
      </c>
      <c r="U14" s="32">
        <f>IF(AND(T14&lt;&gt;"",TRIM(E14&amp;"")&lt;&gt;""),TRIM(E14&amp;""),"")</f>
        <v/>
      </c>
      <c r="V14" s="32">
        <f>IF(TRIM(A14&amp;"")="","",IF(T14&lt;&gt;"",T14,IF(TRIM(E14&amp;"")="","",IFERROR(INDEX($T$6:$T$505,MATCH(TRIM(E14&amp;""),$U$6:$U$505,0)),""))))</f>
        <v/>
      </c>
      <c r="W14" s="32">
        <f>IF(V14="","",INDEX('Form Calc'!$G:$G,V14))</f>
        <v/>
      </c>
      <c r="X14" s="32">
        <f>IF(TRIM(A14&amp;"")="","",IF(T14&lt;&gt;"",IF(INDEX('Form Calc'!$K:$K,T14)&lt;&gt;"",INDEX('Form Calc'!$K:$K,T14),J14&amp;""),J14&amp;""))</f>
        <v/>
      </c>
      <c r="Y14" s="32">
        <f>IF(TRIM(A14&amp;"")="","",IF(TRIM(D14&amp;"")&lt;&gt;"",TRIM(D14&amp;""),IF(T14&lt;&gt;"",INDEX('Form Calc'!$C:$C,T14)&amp;"","")))</f>
        <v/>
      </c>
      <c r="Z14" s="32">
        <f>SUBSTITUTE(SUBSTITUTE(SUBSTITUTE(SUBSTITUTE(SUBSTITUTE(SUBSTITUTE(SUBSTITUTE(SUBSTITUTE(Y14," ",""),"-",""),"(",""),")",""),".",""),"+",""),"/",""),CHAR(160),"")</f>
        <v/>
      </c>
      <c r="AA14" s="32">
        <f>IF(Z14="","",IF(LEN(Z14)=10,"+1"&amp;Z14,IF(AND(LEN(Z14)=11,LEFT(Z14,1)="1"),"+"&amp;Z14,IF(LEFT(Y14,1)="+","+"&amp;Z14,Z14))))</f>
        <v/>
      </c>
      <c r="AB14" s="32">
        <f>IF(TRIM(A14&amp;"")="","",IF(TRIM(M14&amp;"")&lt;&gt;"",TRIM(M14&amp;""),IFERROR(LEFT(TRIM(A14&amp;""),FIND(" ",TRIM(A14&amp;""))-1),TRIM(A14&amp;""))))</f>
        <v/>
      </c>
      <c r="AC14" s="32">
        <f>SUBSTITUTE(SUBSTITUTE(SUBSTITUTE(SUBSTITUTE(SUBSTITUTE(SUBSTITUTE(SUBSTITUTE(SUBSTITUTE(SUBSTITUTE(SUBSTITUTE(AB14,"%","%25"),"&amp;","%26"),"#","%23"),"+","%2B"),"=","%3D"),"?","%3F"),CHAR(34),"%22"),CHAR(10),"%0A"),CHAR(13),"")," ","+")</f>
        <v/>
      </c>
      <c r="AD14" s="32">
        <f>IF(OR(AA14="",AB14=""),"",'Start Here'!$B$20&amp;"#p="&amp;SUBSTITUTE(AA14,"+","%2B")&amp;"&amp;n="&amp;AC14&amp;"&amp;m="&amp;SUBSTITUTE('Start Here'!$B$24,"{name}",AC14))</f>
        <v/>
      </c>
      <c r="AE14" s="32">
        <f>LEN(AD14)</f>
        <v/>
      </c>
      <c r="AF14" s="32">
        <f>IF(AND(TRIM(A14&amp;"")&lt;&gt;"",OR(B14="Awaiting",B14="Not sure yet")),1,0)</f>
        <v/>
      </c>
      <c r="AG14" s="32">
        <f>N(AG13)+AF14</f>
        <v/>
      </c>
      <c r="AH14" s="32">
        <f>IF(AF14=1,AG14,"")</f>
        <v/>
      </c>
      <c r="AI14" s="32">
        <f>IF(AND(TRIM(A14&amp;"")&lt;&gt;"",L14&amp;""&lt;&gt;"",L14&amp;""=Seating!$I$3&amp;"",B14&lt;&gt;"Declined"),1,0)</f>
        <v/>
      </c>
      <c r="AJ14" s="32">
        <f>N(AJ13)+AI14</f>
        <v/>
      </c>
      <c r="AK14" s="32">
        <f>IF(AI14=1,AJ14,"")</f>
        <v/>
      </c>
    </row>
    <row r="15">
      <c r="A15" s="10" t="n"/>
      <c r="B15" s="47">
        <f>IF(TRIM(A15&amp;"")="","",IF(W15&lt;&gt;"",W15,IF(I15="","Awaiting",I15)))</f>
        <v/>
      </c>
      <c r="C15" s="60">
        <f>IF(OR(B15="Awaiting",B15="Not sure yet"),IF(AD15&lt;&gt;"",HYPERLINK(AD15,"💬 Remind"),"add mobile"),"")</f>
        <v/>
      </c>
      <c r="D15" s="58" t="n"/>
      <c r="E15" s="10" t="n"/>
      <c r="F15" s="10" t="n"/>
      <c r="G15" s="10" t="n"/>
      <c r="H15" s="10" t="n"/>
      <c r="I15" s="10" t="n"/>
      <c r="J15" s="10" t="n"/>
      <c r="K15" s="10" t="n"/>
      <c r="L15" s="56" t="n"/>
      <c r="M15" s="10" t="n"/>
      <c r="N15" s="12" t="n"/>
      <c r="O15" s="10" t="n"/>
      <c r="P15" s="10" t="n"/>
      <c r="Q15" s="61">
        <f>IF(V15="","",IF(T15="","Covered by "&amp;INDEX('Form Calc'!$B:$B,V15)&amp;"'s reply (same party)","Replied "&amp;TEXT(INDEX('Form Calc'!$A:$A,T15),"mm/dd")&amp;" · "&amp;INDEX('Form Calc'!$H:$H,T15)&amp;" adult(s), "&amp;INDEX('Form Calc'!$I:$I,T15)&amp;" child(ren)"&amp;IF(INDEX('Form Calc'!$K:$K,T15)&lt;&gt;""," · "&amp;INDEX('Form Calc'!$K:$K,T15),"")&amp;IF(INDEX('Form Calc'!$M:$M,T15)&lt;&gt;""," · “"&amp;INDEX('Form Calc'!$M:$M,T15)&amp;"”","")))</f>
        <v/>
      </c>
      <c r="R15" s="32">
        <f>SUBSTITUTE(SUBSTITUTE(SUBSTITUTE(SUBSTITUTE(SUBSTITUTE(SUBSTITUTE(SUBSTITUTE(SUBSTITUTE(D15&amp;""," ",""),"-",""),"(",""),")",""),".",""),"+",""),"/",""),CHAR(160),"")</f>
        <v/>
      </c>
      <c r="S15" s="32">
        <f>IF(LEN(R15)&gt;=10,RIGHT(R15,10),R15)</f>
        <v/>
      </c>
      <c r="T15" s="32">
        <f>IF(TRIM(A15&amp;"")="","",IF(S15&lt;&gt;"",IFERROR(MATCH(S15,'Form Calc'!$P:$P,0),IFERROR(MATCH(TRIM(A15&amp;""),'Form Calc'!$Q:$Q,0),"")),IFERROR(MATCH(TRIM(A15&amp;""),'Form Calc'!$Q:$Q,0),"")))</f>
        <v/>
      </c>
      <c r="U15" s="32">
        <f>IF(AND(T15&lt;&gt;"",TRIM(E15&amp;"")&lt;&gt;""),TRIM(E15&amp;""),"")</f>
        <v/>
      </c>
      <c r="V15" s="32">
        <f>IF(TRIM(A15&amp;"")="","",IF(T15&lt;&gt;"",T15,IF(TRIM(E15&amp;"")="","",IFERROR(INDEX($T$6:$T$505,MATCH(TRIM(E15&amp;""),$U$6:$U$505,0)),""))))</f>
        <v/>
      </c>
      <c r="W15" s="32">
        <f>IF(V15="","",INDEX('Form Calc'!$G:$G,V15))</f>
        <v/>
      </c>
      <c r="X15" s="32">
        <f>IF(TRIM(A15&amp;"")="","",IF(T15&lt;&gt;"",IF(INDEX('Form Calc'!$K:$K,T15)&lt;&gt;"",INDEX('Form Calc'!$K:$K,T15),J15&amp;""),J15&amp;""))</f>
        <v/>
      </c>
      <c r="Y15" s="32">
        <f>IF(TRIM(A15&amp;"")="","",IF(TRIM(D15&amp;"")&lt;&gt;"",TRIM(D15&amp;""),IF(T15&lt;&gt;"",INDEX('Form Calc'!$C:$C,T15)&amp;"","")))</f>
        <v/>
      </c>
      <c r="Z15" s="32">
        <f>SUBSTITUTE(SUBSTITUTE(SUBSTITUTE(SUBSTITUTE(SUBSTITUTE(SUBSTITUTE(SUBSTITUTE(SUBSTITUTE(Y15," ",""),"-",""),"(",""),")",""),".",""),"+",""),"/",""),CHAR(160),"")</f>
        <v/>
      </c>
      <c r="AA15" s="32">
        <f>IF(Z15="","",IF(LEN(Z15)=10,"+1"&amp;Z15,IF(AND(LEN(Z15)=11,LEFT(Z15,1)="1"),"+"&amp;Z15,IF(LEFT(Y15,1)="+","+"&amp;Z15,Z15))))</f>
        <v/>
      </c>
      <c r="AB15" s="32">
        <f>IF(TRIM(A15&amp;"")="","",IF(TRIM(M15&amp;"")&lt;&gt;"",TRIM(M15&amp;""),IFERROR(LEFT(TRIM(A15&amp;""),FIND(" ",TRIM(A15&amp;""))-1),TRIM(A15&amp;""))))</f>
        <v/>
      </c>
      <c r="AC15" s="32">
        <f>SUBSTITUTE(SUBSTITUTE(SUBSTITUTE(SUBSTITUTE(SUBSTITUTE(SUBSTITUTE(SUBSTITUTE(SUBSTITUTE(SUBSTITUTE(SUBSTITUTE(AB15,"%","%25"),"&amp;","%26"),"#","%23"),"+","%2B"),"=","%3D"),"?","%3F"),CHAR(34),"%22"),CHAR(10),"%0A"),CHAR(13),"")," ","+")</f>
        <v/>
      </c>
      <c r="AD15" s="32">
        <f>IF(OR(AA15="",AB15=""),"",'Start Here'!$B$20&amp;"#p="&amp;SUBSTITUTE(AA15,"+","%2B")&amp;"&amp;n="&amp;AC15&amp;"&amp;m="&amp;SUBSTITUTE('Start Here'!$B$24,"{name}",AC15))</f>
        <v/>
      </c>
      <c r="AE15" s="32">
        <f>LEN(AD15)</f>
        <v/>
      </c>
      <c r="AF15" s="32">
        <f>IF(AND(TRIM(A15&amp;"")&lt;&gt;"",OR(B15="Awaiting",B15="Not sure yet")),1,0)</f>
        <v/>
      </c>
      <c r="AG15" s="32">
        <f>N(AG14)+AF15</f>
        <v/>
      </c>
      <c r="AH15" s="32">
        <f>IF(AF15=1,AG15,"")</f>
        <v/>
      </c>
      <c r="AI15" s="32">
        <f>IF(AND(TRIM(A15&amp;"")&lt;&gt;"",L15&amp;""&lt;&gt;"",L15&amp;""=Seating!$I$3&amp;"",B15&lt;&gt;"Declined"),1,0)</f>
        <v/>
      </c>
      <c r="AJ15" s="32">
        <f>N(AJ14)+AI15</f>
        <v/>
      </c>
      <c r="AK15" s="32">
        <f>IF(AI15=1,AJ15,"")</f>
        <v/>
      </c>
    </row>
    <row r="16">
      <c r="A16" s="10" t="n"/>
      <c r="B16" s="47">
        <f>IF(TRIM(A16&amp;"")="","",IF(W16&lt;&gt;"",W16,IF(I16="","Awaiting",I16)))</f>
        <v/>
      </c>
      <c r="C16" s="60">
        <f>IF(OR(B16="Awaiting",B16="Not sure yet"),IF(AD16&lt;&gt;"",HYPERLINK(AD16,"💬 Remind"),"add mobile"),"")</f>
        <v/>
      </c>
      <c r="D16" s="58" t="n"/>
      <c r="E16" s="10" t="n"/>
      <c r="F16" s="10" t="n"/>
      <c r="G16" s="10" t="n"/>
      <c r="H16" s="10" t="n"/>
      <c r="I16" s="10" t="n"/>
      <c r="J16" s="10" t="n"/>
      <c r="K16" s="10" t="n"/>
      <c r="L16" s="56" t="n"/>
      <c r="M16" s="10" t="n"/>
      <c r="N16" s="12" t="n"/>
      <c r="O16" s="10" t="n"/>
      <c r="P16" s="10" t="n"/>
      <c r="Q16" s="61">
        <f>IF(V16="","",IF(T16="","Covered by "&amp;INDEX('Form Calc'!$B:$B,V16)&amp;"'s reply (same party)","Replied "&amp;TEXT(INDEX('Form Calc'!$A:$A,T16),"mm/dd")&amp;" · "&amp;INDEX('Form Calc'!$H:$H,T16)&amp;" adult(s), "&amp;INDEX('Form Calc'!$I:$I,T16)&amp;" child(ren)"&amp;IF(INDEX('Form Calc'!$K:$K,T16)&lt;&gt;""," · "&amp;INDEX('Form Calc'!$K:$K,T16),"")&amp;IF(INDEX('Form Calc'!$M:$M,T16)&lt;&gt;""," · “"&amp;INDEX('Form Calc'!$M:$M,T16)&amp;"”","")))</f>
        <v/>
      </c>
      <c r="R16" s="32">
        <f>SUBSTITUTE(SUBSTITUTE(SUBSTITUTE(SUBSTITUTE(SUBSTITUTE(SUBSTITUTE(SUBSTITUTE(SUBSTITUTE(D16&amp;""," ",""),"-",""),"(",""),")",""),".",""),"+",""),"/",""),CHAR(160),"")</f>
        <v/>
      </c>
      <c r="S16" s="32">
        <f>IF(LEN(R16)&gt;=10,RIGHT(R16,10),R16)</f>
        <v/>
      </c>
      <c r="T16" s="32">
        <f>IF(TRIM(A16&amp;"")="","",IF(S16&lt;&gt;"",IFERROR(MATCH(S16,'Form Calc'!$P:$P,0),IFERROR(MATCH(TRIM(A16&amp;""),'Form Calc'!$Q:$Q,0),"")),IFERROR(MATCH(TRIM(A16&amp;""),'Form Calc'!$Q:$Q,0),"")))</f>
        <v/>
      </c>
      <c r="U16" s="32">
        <f>IF(AND(T16&lt;&gt;"",TRIM(E16&amp;"")&lt;&gt;""),TRIM(E16&amp;""),"")</f>
        <v/>
      </c>
      <c r="V16" s="32">
        <f>IF(TRIM(A16&amp;"")="","",IF(T16&lt;&gt;"",T16,IF(TRIM(E16&amp;"")="","",IFERROR(INDEX($T$6:$T$505,MATCH(TRIM(E16&amp;""),$U$6:$U$505,0)),""))))</f>
        <v/>
      </c>
      <c r="W16" s="32">
        <f>IF(V16="","",INDEX('Form Calc'!$G:$G,V16))</f>
        <v/>
      </c>
      <c r="X16" s="32">
        <f>IF(TRIM(A16&amp;"")="","",IF(T16&lt;&gt;"",IF(INDEX('Form Calc'!$K:$K,T16)&lt;&gt;"",INDEX('Form Calc'!$K:$K,T16),J16&amp;""),J16&amp;""))</f>
        <v/>
      </c>
      <c r="Y16" s="32">
        <f>IF(TRIM(A16&amp;"")="","",IF(TRIM(D16&amp;"")&lt;&gt;"",TRIM(D16&amp;""),IF(T16&lt;&gt;"",INDEX('Form Calc'!$C:$C,T16)&amp;"","")))</f>
        <v/>
      </c>
      <c r="Z16" s="32">
        <f>SUBSTITUTE(SUBSTITUTE(SUBSTITUTE(SUBSTITUTE(SUBSTITUTE(SUBSTITUTE(SUBSTITUTE(SUBSTITUTE(Y16," ",""),"-",""),"(",""),")",""),".",""),"+",""),"/",""),CHAR(160),"")</f>
        <v/>
      </c>
      <c r="AA16" s="32">
        <f>IF(Z16="","",IF(LEN(Z16)=10,"+1"&amp;Z16,IF(AND(LEN(Z16)=11,LEFT(Z16,1)="1"),"+"&amp;Z16,IF(LEFT(Y16,1)="+","+"&amp;Z16,Z16))))</f>
        <v/>
      </c>
      <c r="AB16" s="32">
        <f>IF(TRIM(A16&amp;"")="","",IF(TRIM(M16&amp;"")&lt;&gt;"",TRIM(M16&amp;""),IFERROR(LEFT(TRIM(A16&amp;""),FIND(" ",TRIM(A16&amp;""))-1),TRIM(A16&amp;""))))</f>
        <v/>
      </c>
      <c r="AC16" s="32">
        <f>SUBSTITUTE(SUBSTITUTE(SUBSTITUTE(SUBSTITUTE(SUBSTITUTE(SUBSTITUTE(SUBSTITUTE(SUBSTITUTE(SUBSTITUTE(SUBSTITUTE(AB16,"%","%25"),"&amp;","%26"),"#","%23"),"+","%2B"),"=","%3D"),"?","%3F"),CHAR(34),"%22"),CHAR(10),"%0A"),CHAR(13),"")," ","+")</f>
        <v/>
      </c>
      <c r="AD16" s="32">
        <f>IF(OR(AA16="",AB16=""),"",'Start Here'!$B$20&amp;"#p="&amp;SUBSTITUTE(AA16,"+","%2B")&amp;"&amp;n="&amp;AC16&amp;"&amp;m="&amp;SUBSTITUTE('Start Here'!$B$24,"{name}",AC16))</f>
        <v/>
      </c>
      <c r="AE16" s="32">
        <f>LEN(AD16)</f>
        <v/>
      </c>
      <c r="AF16" s="32">
        <f>IF(AND(TRIM(A16&amp;"")&lt;&gt;"",OR(B16="Awaiting",B16="Not sure yet")),1,0)</f>
        <v/>
      </c>
      <c r="AG16" s="32">
        <f>N(AG15)+AF16</f>
        <v/>
      </c>
      <c r="AH16" s="32">
        <f>IF(AF16=1,AG16,"")</f>
        <v/>
      </c>
      <c r="AI16" s="32">
        <f>IF(AND(TRIM(A16&amp;"")&lt;&gt;"",L16&amp;""&lt;&gt;"",L16&amp;""=Seating!$I$3&amp;"",B16&lt;&gt;"Declined"),1,0)</f>
        <v/>
      </c>
      <c r="AJ16" s="32">
        <f>N(AJ15)+AI16</f>
        <v/>
      </c>
      <c r="AK16" s="32">
        <f>IF(AI16=1,AJ16,"")</f>
        <v/>
      </c>
    </row>
    <row r="17">
      <c r="A17" s="10" t="n"/>
      <c r="B17" s="47">
        <f>IF(TRIM(A17&amp;"")="","",IF(W17&lt;&gt;"",W17,IF(I17="","Awaiting",I17)))</f>
        <v/>
      </c>
      <c r="C17" s="60">
        <f>IF(OR(B17="Awaiting",B17="Not sure yet"),IF(AD17&lt;&gt;"",HYPERLINK(AD17,"💬 Remind"),"add mobile"),"")</f>
        <v/>
      </c>
      <c r="D17" s="58" t="n"/>
      <c r="E17" s="10" t="n"/>
      <c r="F17" s="10" t="n"/>
      <c r="G17" s="10" t="n"/>
      <c r="H17" s="10" t="n"/>
      <c r="I17" s="10" t="n"/>
      <c r="J17" s="10" t="n"/>
      <c r="K17" s="10" t="n"/>
      <c r="L17" s="56" t="n"/>
      <c r="M17" s="10" t="n"/>
      <c r="N17" s="12" t="n"/>
      <c r="O17" s="10" t="n"/>
      <c r="P17" s="10" t="n"/>
      <c r="Q17" s="61">
        <f>IF(V17="","",IF(T17="","Covered by "&amp;INDEX('Form Calc'!$B:$B,V17)&amp;"'s reply (same party)","Replied "&amp;TEXT(INDEX('Form Calc'!$A:$A,T17),"mm/dd")&amp;" · "&amp;INDEX('Form Calc'!$H:$H,T17)&amp;" adult(s), "&amp;INDEX('Form Calc'!$I:$I,T17)&amp;" child(ren)"&amp;IF(INDEX('Form Calc'!$K:$K,T17)&lt;&gt;""," · "&amp;INDEX('Form Calc'!$K:$K,T17),"")&amp;IF(INDEX('Form Calc'!$M:$M,T17)&lt;&gt;""," · “"&amp;INDEX('Form Calc'!$M:$M,T17)&amp;"”","")))</f>
        <v/>
      </c>
      <c r="R17" s="32">
        <f>SUBSTITUTE(SUBSTITUTE(SUBSTITUTE(SUBSTITUTE(SUBSTITUTE(SUBSTITUTE(SUBSTITUTE(SUBSTITUTE(D17&amp;""," ",""),"-",""),"(",""),")",""),".",""),"+",""),"/",""),CHAR(160),"")</f>
        <v/>
      </c>
      <c r="S17" s="32">
        <f>IF(LEN(R17)&gt;=10,RIGHT(R17,10),R17)</f>
        <v/>
      </c>
      <c r="T17" s="32">
        <f>IF(TRIM(A17&amp;"")="","",IF(S17&lt;&gt;"",IFERROR(MATCH(S17,'Form Calc'!$P:$P,0),IFERROR(MATCH(TRIM(A17&amp;""),'Form Calc'!$Q:$Q,0),"")),IFERROR(MATCH(TRIM(A17&amp;""),'Form Calc'!$Q:$Q,0),"")))</f>
        <v/>
      </c>
      <c r="U17" s="32">
        <f>IF(AND(T17&lt;&gt;"",TRIM(E17&amp;"")&lt;&gt;""),TRIM(E17&amp;""),"")</f>
        <v/>
      </c>
      <c r="V17" s="32">
        <f>IF(TRIM(A17&amp;"")="","",IF(T17&lt;&gt;"",T17,IF(TRIM(E17&amp;"")="","",IFERROR(INDEX($T$6:$T$505,MATCH(TRIM(E17&amp;""),$U$6:$U$505,0)),""))))</f>
        <v/>
      </c>
      <c r="W17" s="32">
        <f>IF(V17="","",INDEX('Form Calc'!$G:$G,V17))</f>
        <v/>
      </c>
      <c r="X17" s="32">
        <f>IF(TRIM(A17&amp;"")="","",IF(T17&lt;&gt;"",IF(INDEX('Form Calc'!$K:$K,T17)&lt;&gt;"",INDEX('Form Calc'!$K:$K,T17),J17&amp;""),J17&amp;""))</f>
        <v/>
      </c>
      <c r="Y17" s="32">
        <f>IF(TRIM(A17&amp;"")="","",IF(TRIM(D17&amp;"")&lt;&gt;"",TRIM(D17&amp;""),IF(T17&lt;&gt;"",INDEX('Form Calc'!$C:$C,T17)&amp;"","")))</f>
        <v/>
      </c>
      <c r="Z17" s="32">
        <f>SUBSTITUTE(SUBSTITUTE(SUBSTITUTE(SUBSTITUTE(SUBSTITUTE(SUBSTITUTE(SUBSTITUTE(SUBSTITUTE(Y17," ",""),"-",""),"(",""),")",""),".",""),"+",""),"/",""),CHAR(160),"")</f>
        <v/>
      </c>
      <c r="AA17" s="32">
        <f>IF(Z17="","",IF(LEN(Z17)=10,"+1"&amp;Z17,IF(AND(LEN(Z17)=11,LEFT(Z17,1)="1"),"+"&amp;Z17,IF(LEFT(Y17,1)="+","+"&amp;Z17,Z17))))</f>
        <v/>
      </c>
      <c r="AB17" s="32">
        <f>IF(TRIM(A17&amp;"")="","",IF(TRIM(M17&amp;"")&lt;&gt;"",TRIM(M17&amp;""),IFERROR(LEFT(TRIM(A17&amp;""),FIND(" ",TRIM(A17&amp;""))-1),TRIM(A17&amp;""))))</f>
        <v/>
      </c>
      <c r="AC17" s="32">
        <f>SUBSTITUTE(SUBSTITUTE(SUBSTITUTE(SUBSTITUTE(SUBSTITUTE(SUBSTITUTE(SUBSTITUTE(SUBSTITUTE(SUBSTITUTE(SUBSTITUTE(AB17,"%","%25"),"&amp;","%26"),"#","%23"),"+","%2B"),"=","%3D"),"?","%3F"),CHAR(34),"%22"),CHAR(10),"%0A"),CHAR(13),"")," ","+")</f>
        <v/>
      </c>
      <c r="AD17" s="32">
        <f>IF(OR(AA17="",AB17=""),"",'Start Here'!$B$20&amp;"#p="&amp;SUBSTITUTE(AA17,"+","%2B")&amp;"&amp;n="&amp;AC17&amp;"&amp;m="&amp;SUBSTITUTE('Start Here'!$B$24,"{name}",AC17))</f>
        <v/>
      </c>
      <c r="AE17" s="32">
        <f>LEN(AD17)</f>
        <v/>
      </c>
      <c r="AF17" s="32">
        <f>IF(AND(TRIM(A17&amp;"")&lt;&gt;"",OR(B17="Awaiting",B17="Not sure yet")),1,0)</f>
        <v/>
      </c>
      <c r="AG17" s="32">
        <f>N(AG16)+AF17</f>
        <v/>
      </c>
      <c r="AH17" s="32">
        <f>IF(AF17=1,AG17,"")</f>
        <v/>
      </c>
      <c r="AI17" s="32">
        <f>IF(AND(TRIM(A17&amp;"")&lt;&gt;"",L17&amp;""&lt;&gt;"",L17&amp;""=Seating!$I$3&amp;"",B17&lt;&gt;"Declined"),1,0)</f>
        <v/>
      </c>
      <c r="AJ17" s="32">
        <f>N(AJ16)+AI17</f>
        <v/>
      </c>
      <c r="AK17" s="32">
        <f>IF(AI17=1,AJ17,"")</f>
        <v/>
      </c>
    </row>
    <row r="18">
      <c r="A18" s="10" t="n"/>
      <c r="B18" s="47">
        <f>IF(TRIM(A18&amp;"")="","",IF(W18&lt;&gt;"",W18,IF(I18="","Awaiting",I18)))</f>
        <v/>
      </c>
      <c r="C18" s="60">
        <f>IF(OR(B18="Awaiting",B18="Not sure yet"),IF(AD18&lt;&gt;"",HYPERLINK(AD18,"💬 Remind"),"add mobile"),"")</f>
        <v/>
      </c>
      <c r="D18" s="58" t="n"/>
      <c r="E18" s="10" t="n"/>
      <c r="F18" s="10" t="n"/>
      <c r="G18" s="10" t="n"/>
      <c r="H18" s="10" t="n"/>
      <c r="I18" s="10" t="n"/>
      <c r="J18" s="10" t="n"/>
      <c r="K18" s="10" t="n"/>
      <c r="L18" s="56" t="n"/>
      <c r="M18" s="10" t="n"/>
      <c r="N18" s="12" t="n"/>
      <c r="O18" s="10" t="n"/>
      <c r="P18" s="10" t="n"/>
      <c r="Q18" s="61">
        <f>IF(V18="","",IF(T18="","Covered by "&amp;INDEX('Form Calc'!$B:$B,V18)&amp;"'s reply (same party)","Replied "&amp;TEXT(INDEX('Form Calc'!$A:$A,T18),"mm/dd")&amp;" · "&amp;INDEX('Form Calc'!$H:$H,T18)&amp;" adult(s), "&amp;INDEX('Form Calc'!$I:$I,T18)&amp;" child(ren)"&amp;IF(INDEX('Form Calc'!$K:$K,T18)&lt;&gt;""," · "&amp;INDEX('Form Calc'!$K:$K,T18),"")&amp;IF(INDEX('Form Calc'!$M:$M,T18)&lt;&gt;""," · “"&amp;INDEX('Form Calc'!$M:$M,T18)&amp;"”","")))</f>
        <v/>
      </c>
      <c r="R18" s="32">
        <f>SUBSTITUTE(SUBSTITUTE(SUBSTITUTE(SUBSTITUTE(SUBSTITUTE(SUBSTITUTE(SUBSTITUTE(SUBSTITUTE(D18&amp;""," ",""),"-",""),"(",""),")",""),".",""),"+",""),"/",""),CHAR(160),"")</f>
        <v/>
      </c>
      <c r="S18" s="32">
        <f>IF(LEN(R18)&gt;=10,RIGHT(R18,10),R18)</f>
        <v/>
      </c>
      <c r="T18" s="32">
        <f>IF(TRIM(A18&amp;"")="","",IF(S18&lt;&gt;"",IFERROR(MATCH(S18,'Form Calc'!$P:$P,0),IFERROR(MATCH(TRIM(A18&amp;""),'Form Calc'!$Q:$Q,0),"")),IFERROR(MATCH(TRIM(A18&amp;""),'Form Calc'!$Q:$Q,0),"")))</f>
        <v/>
      </c>
      <c r="U18" s="32">
        <f>IF(AND(T18&lt;&gt;"",TRIM(E18&amp;"")&lt;&gt;""),TRIM(E18&amp;""),"")</f>
        <v/>
      </c>
      <c r="V18" s="32">
        <f>IF(TRIM(A18&amp;"")="","",IF(T18&lt;&gt;"",T18,IF(TRIM(E18&amp;"")="","",IFERROR(INDEX($T$6:$T$505,MATCH(TRIM(E18&amp;""),$U$6:$U$505,0)),""))))</f>
        <v/>
      </c>
      <c r="W18" s="32">
        <f>IF(V18="","",INDEX('Form Calc'!$G:$G,V18))</f>
        <v/>
      </c>
      <c r="X18" s="32">
        <f>IF(TRIM(A18&amp;"")="","",IF(T18&lt;&gt;"",IF(INDEX('Form Calc'!$K:$K,T18)&lt;&gt;"",INDEX('Form Calc'!$K:$K,T18),J18&amp;""),J18&amp;""))</f>
        <v/>
      </c>
      <c r="Y18" s="32">
        <f>IF(TRIM(A18&amp;"")="","",IF(TRIM(D18&amp;"")&lt;&gt;"",TRIM(D18&amp;""),IF(T18&lt;&gt;"",INDEX('Form Calc'!$C:$C,T18)&amp;"","")))</f>
        <v/>
      </c>
      <c r="Z18" s="32">
        <f>SUBSTITUTE(SUBSTITUTE(SUBSTITUTE(SUBSTITUTE(SUBSTITUTE(SUBSTITUTE(SUBSTITUTE(SUBSTITUTE(Y18," ",""),"-",""),"(",""),")",""),".",""),"+",""),"/",""),CHAR(160),"")</f>
        <v/>
      </c>
      <c r="AA18" s="32">
        <f>IF(Z18="","",IF(LEN(Z18)=10,"+1"&amp;Z18,IF(AND(LEN(Z18)=11,LEFT(Z18,1)="1"),"+"&amp;Z18,IF(LEFT(Y18,1)="+","+"&amp;Z18,Z18))))</f>
        <v/>
      </c>
      <c r="AB18" s="32">
        <f>IF(TRIM(A18&amp;"")="","",IF(TRIM(M18&amp;"")&lt;&gt;"",TRIM(M18&amp;""),IFERROR(LEFT(TRIM(A18&amp;""),FIND(" ",TRIM(A18&amp;""))-1),TRIM(A18&amp;""))))</f>
        <v/>
      </c>
      <c r="AC18" s="32">
        <f>SUBSTITUTE(SUBSTITUTE(SUBSTITUTE(SUBSTITUTE(SUBSTITUTE(SUBSTITUTE(SUBSTITUTE(SUBSTITUTE(SUBSTITUTE(SUBSTITUTE(AB18,"%","%25"),"&amp;","%26"),"#","%23"),"+","%2B"),"=","%3D"),"?","%3F"),CHAR(34),"%22"),CHAR(10),"%0A"),CHAR(13),"")," ","+")</f>
        <v/>
      </c>
      <c r="AD18" s="32">
        <f>IF(OR(AA18="",AB18=""),"",'Start Here'!$B$20&amp;"#p="&amp;SUBSTITUTE(AA18,"+","%2B")&amp;"&amp;n="&amp;AC18&amp;"&amp;m="&amp;SUBSTITUTE('Start Here'!$B$24,"{name}",AC18))</f>
        <v/>
      </c>
      <c r="AE18" s="32">
        <f>LEN(AD18)</f>
        <v/>
      </c>
      <c r="AF18" s="32">
        <f>IF(AND(TRIM(A18&amp;"")&lt;&gt;"",OR(B18="Awaiting",B18="Not sure yet")),1,0)</f>
        <v/>
      </c>
      <c r="AG18" s="32">
        <f>N(AG17)+AF18</f>
        <v/>
      </c>
      <c r="AH18" s="32">
        <f>IF(AF18=1,AG18,"")</f>
        <v/>
      </c>
      <c r="AI18" s="32">
        <f>IF(AND(TRIM(A18&amp;"")&lt;&gt;"",L18&amp;""&lt;&gt;"",L18&amp;""=Seating!$I$3&amp;"",B18&lt;&gt;"Declined"),1,0)</f>
        <v/>
      </c>
      <c r="AJ18" s="32">
        <f>N(AJ17)+AI18</f>
        <v/>
      </c>
      <c r="AK18" s="32">
        <f>IF(AI18=1,AJ18,"")</f>
        <v/>
      </c>
    </row>
    <row r="19">
      <c r="A19" s="10" t="n"/>
      <c r="B19" s="47">
        <f>IF(TRIM(A19&amp;"")="","",IF(W19&lt;&gt;"",W19,IF(I19="","Awaiting",I19)))</f>
        <v/>
      </c>
      <c r="C19" s="60">
        <f>IF(OR(B19="Awaiting",B19="Not sure yet"),IF(AD19&lt;&gt;"",HYPERLINK(AD19,"💬 Remind"),"add mobile"),"")</f>
        <v/>
      </c>
      <c r="D19" s="58" t="n"/>
      <c r="E19" s="10" t="n"/>
      <c r="F19" s="10" t="n"/>
      <c r="G19" s="10" t="n"/>
      <c r="H19" s="10" t="n"/>
      <c r="I19" s="10" t="n"/>
      <c r="J19" s="10" t="n"/>
      <c r="K19" s="10" t="n"/>
      <c r="L19" s="56" t="n"/>
      <c r="M19" s="10" t="n"/>
      <c r="N19" s="12" t="n"/>
      <c r="O19" s="10" t="n"/>
      <c r="P19" s="10" t="n"/>
      <c r="Q19" s="61">
        <f>IF(V19="","",IF(T19="","Covered by "&amp;INDEX('Form Calc'!$B:$B,V19)&amp;"'s reply (same party)","Replied "&amp;TEXT(INDEX('Form Calc'!$A:$A,T19),"mm/dd")&amp;" · "&amp;INDEX('Form Calc'!$H:$H,T19)&amp;" adult(s), "&amp;INDEX('Form Calc'!$I:$I,T19)&amp;" child(ren)"&amp;IF(INDEX('Form Calc'!$K:$K,T19)&lt;&gt;""," · "&amp;INDEX('Form Calc'!$K:$K,T19),"")&amp;IF(INDEX('Form Calc'!$M:$M,T19)&lt;&gt;""," · “"&amp;INDEX('Form Calc'!$M:$M,T19)&amp;"”","")))</f>
        <v/>
      </c>
      <c r="R19" s="32">
        <f>SUBSTITUTE(SUBSTITUTE(SUBSTITUTE(SUBSTITUTE(SUBSTITUTE(SUBSTITUTE(SUBSTITUTE(SUBSTITUTE(D19&amp;""," ",""),"-",""),"(",""),")",""),".",""),"+",""),"/",""),CHAR(160),"")</f>
        <v/>
      </c>
      <c r="S19" s="32">
        <f>IF(LEN(R19)&gt;=10,RIGHT(R19,10),R19)</f>
        <v/>
      </c>
      <c r="T19" s="32">
        <f>IF(TRIM(A19&amp;"")="","",IF(S19&lt;&gt;"",IFERROR(MATCH(S19,'Form Calc'!$P:$P,0),IFERROR(MATCH(TRIM(A19&amp;""),'Form Calc'!$Q:$Q,0),"")),IFERROR(MATCH(TRIM(A19&amp;""),'Form Calc'!$Q:$Q,0),"")))</f>
        <v/>
      </c>
      <c r="U19" s="32">
        <f>IF(AND(T19&lt;&gt;"",TRIM(E19&amp;"")&lt;&gt;""),TRIM(E19&amp;""),"")</f>
        <v/>
      </c>
      <c r="V19" s="32">
        <f>IF(TRIM(A19&amp;"")="","",IF(T19&lt;&gt;"",T19,IF(TRIM(E19&amp;"")="","",IFERROR(INDEX($T$6:$T$505,MATCH(TRIM(E19&amp;""),$U$6:$U$505,0)),""))))</f>
        <v/>
      </c>
      <c r="W19" s="32">
        <f>IF(V19="","",INDEX('Form Calc'!$G:$G,V19))</f>
        <v/>
      </c>
      <c r="X19" s="32">
        <f>IF(TRIM(A19&amp;"")="","",IF(T19&lt;&gt;"",IF(INDEX('Form Calc'!$K:$K,T19)&lt;&gt;"",INDEX('Form Calc'!$K:$K,T19),J19&amp;""),J19&amp;""))</f>
        <v/>
      </c>
      <c r="Y19" s="32">
        <f>IF(TRIM(A19&amp;"")="","",IF(TRIM(D19&amp;"")&lt;&gt;"",TRIM(D19&amp;""),IF(T19&lt;&gt;"",INDEX('Form Calc'!$C:$C,T19)&amp;"","")))</f>
        <v/>
      </c>
      <c r="Z19" s="32">
        <f>SUBSTITUTE(SUBSTITUTE(SUBSTITUTE(SUBSTITUTE(SUBSTITUTE(SUBSTITUTE(SUBSTITUTE(SUBSTITUTE(Y19," ",""),"-",""),"(",""),")",""),".",""),"+",""),"/",""),CHAR(160),"")</f>
        <v/>
      </c>
      <c r="AA19" s="32">
        <f>IF(Z19="","",IF(LEN(Z19)=10,"+1"&amp;Z19,IF(AND(LEN(Z19)=11,LEFT(Z19,1)="1"),"+"&amp;Z19,IF(LEFT(Y19,1)="+","+"&amp;Z19,Z19))))</f>
        <v/>
      </c>
      <c r="AB19" s="32">
        <f>IF(TRIM(A19&amp;"")="","",IF(TRIM(M19&amp;"")&lt;&gt;"",TRIM(M19&amp;""),IFERROR(LEFT(TRIM(A19&amp;""),FIND(" ",TRIM(A19&amp;""))-1),TRIM(A19&amp;""))))</f>
        <v/>
      </c>
      <c r="AC19" s="32">
        <f>SUBSTITUTE(SUBSTITUTE(SUBSTITUTE(SUBSTITUTE(SUBSTITUTE(SUBSTITUTE(SUBSTITUTE(SUBSTITUTE(SUBSTITUTE(SUBSTITUTE(AB19,"%","%25"),"&amp;","%26"),"#","%23"),"+","%2B"),"=","%3D"),"?","%3F"),CHAR(34),"%22"),CHAR(10),"%0A"),CHAR(13),"")," ","+")</f>
        <v/>
      </c>
      <c r="AD19" s="32">
        <f>IF(OR(AA19="",AB19=""),"",'Start Here'!$B$20&amp;"#p="&amp;SUBSTITUTE(AA19,"+","%2B")&amp;"&amp;n="&amp;AC19&amp;"&amp;m="&amp;SUBSTITUTE('Start Here'!$B$24,"{name}",AC19))</f>
        <v/>
      </c>
      <c r="AE19" s="32">
        <f>LEN(AD19)</f>
        <v/>
      </c>
      <c r="AF19" s="32">
        <f>IF(AND(TRIM(A19&amp;"")&lt;&gt;"",OR(B19="Awaiting",B19="Not sure yet")),1,0)</f>
        <v/>
      </c>
      <c r="AG19" s="32">
        <f>N(AG18)+AF19</f>
        <v/>
      </c>
      <c r="AH19" s="32">
        <f>IF(AF19=1,AG19,"")</f>
        <v/>
      </c>
      <c r="AI19" s="32">
        <f>IF(AND(TRIM(A19&amp;"")&lt;&gt;"",L19&amp;""&lt;&gt;"",L19&amp;""=Seating!$I$3&amp;"",B19&lt;&gt;"Declined"),1,0)</f>
        <v/>
      </c>
      <c r="AJ19" s="32">
        <f>N(AJ18)+AI19</f>
        <v/>
      </c>
      <c r="AK19" s="32">
        <f>IF(AI19=1,AJ19,"")</f>
        <v/>
      </c>
    </row>
    <row r="20">
      <c r="A20" s="10" t="n"/>
      <c r="B20" s="47">
        <f>IF(TRIM(A20&amp;"")="","",IF(W20&lt;&gt;"",W20,IF(I20="","Awaiting",I20)))</f>
        <v/>
      </c>
      <c r="C20" s="60">
        <f>IF(OR(B20="Awaiting",B20="Not sure yet"),IF(AD20&lt;&gt;"",HYPERLINK(AD20,"💬 Remind"),"add mobile"),"")</f>
        <v/>
      </c>
      <c r="D20" s="58" t="n"/>
      <c r="E20" s="10" t="n"/>
      <c r="F20" s="10" t="n"/>
      <c r="G20" s="10" t="n"/>
      <c r="H20" s="10" t="n"/>
      <c r="I20" s="10" t="n"/>
      <c r="J20" s="10" t="n"/>
      <c r="K20" s="10" t="n"/>
      <c r="L20" s="56" t="n"/>
      <c r="M20" s="10" t="n"/>
      <c r="N20" s="12" t="n"/>
      <c r="O20" s="10" t="n"/>
      <c r="P20" s="10" t="n"/>
      <c r="Q20" s="61">
        <f>IF(V20="","",IF(T20="","Covered by "&amp;INDEX('Form Calc'!$B:$B,V20)&amp;"'s reply (same party)","Replied "&amp;TEXT(INDEX('Form Calc'!$A:$A,T20),"mm/dd")&amp;" · "&amp;INDEX('Form Calc'!$H:$H,T20)&amp;" adult(s), "&amp;INDEX('Form Calc'!$I:$I,T20)&amp;" child(ren)"&amp;IF(INDEX('Form Calc'!$K:$K,T20)&lt;&gt;""," · "&amp;INDEX('Form Calc'!$K:$K,T20),"")&amp;IF(INDEX('Form Calc'!$M:$M,T20)&lt;&gt;""," · “"&amp;INDEX('Form Calc'!$M:$M,T20)&amp;"”","")))</f>
        <v/>
      </c>
      <c r="R20" s="32">
        <f>SUBSTITUTE(SUBSTITUTE(SUBSTITUTE(SUBSTITUTE(SUBSTITUTE(SUBSTITUTE(SUBSTITUTE(SUBSTITUTE(D20&amp;""," ",""),"-",""),"(",""),")",""),".",""),"+",""),"/",""),CHAR(160),"")</f>
        <v/>
      </c>
      <c r="S20" s="32">
        <f>IF(LEN(R20)&gt;=10,RIGHT(R20,10),R20)</f>
        <v/>
      </c>
      <c r="T20" s="32">
        <f>IF(TRIM(A20&amp;"")="","",IF(S20&lt;&gt;"",IFERROR(MATCH(S20,'Form Calc'!$P:$P,0),IFERROR(MATCH(TRIM(A20&amp;""),'Form Calc'!$Q:$Q,0),"")),IFERROR(MATCH(TRIM(A20&amp;""),'Form Calc'!$Q:$Q,0),"")))</f>
        <v/>
      </c>
      <c r="U20" s="32">
        <f>IF(AND(T20&lt;&gt;"",TRIM(E20&amp;"")&lt;&gt;""),TRIM(E20&amp;""),"")</f>
        <v/>
      </c>
      <c r="V20" s="32">
        <f>IF(TRIM(A20&amp;"")="","",IF(T20&lt;&gt;"",T20,IF(TRIM(E20&amp;"")="","",IFERROR(INDEX($T$6:$T$505,MATCH(TRIM(E20&amp;""),$U$6:$U$505,0)),""))))</f>
        <v/>
      </c>
      <c r="W20" s="32">
        <f>IF(V20="","",INDEX('Form Calc'!$G:$G,V20))</f>
        <v/>
      </c>
      <c r="X20" s="32">
        <f>IF(TRIM(A20&amp;"")="","",IF(T20&lt;&gt;"",IF(INDEX('Form Calc'!$K:$K,T20)&lt;&gt;"",INDEX('Form Calc'!$K:$K,T20),J20&amp;""),J20&amp;""))</f>
        <v/>
      </c>
      <c r="Y20" s="32">
        <f>IF(TRIM(A20&amp;"")="","",IF(TRIM(D20&amp;"")&lt;&gt;"",TRIM(D20&amp;""),IF(T20&lt;&gt;"",INDEX('Form Calc'!$C:$C,T20)&amp;"","")))</f>
        <v/>
      </c>
      <c r="Z20" s="32">
        <f>SUBSTITUTE(SUBSTITUTE(SUBSTITUTE(SUBSTITUTE(SUBSTITUTE(SUBSTITUTE(SUBSTITUTE(SUBSTITUTE(Y20," ",""),"-",""),"(",""),")",""),".",""),"+",""),"/",""),CHAR(160),"")</f>
        <v/>
      </c>
      <c r="AA20" s="32">
        <f>IF(Z20="","",IF(LEN(Z20)=10,"+1"&amp;Z20,IF(AND(LEN(Z20)=11,LEFT(Z20,1)="1"),"+"&amp;Z20,IF(LEFT(Y20,1)="+","+"&amp;Z20,Z20))))</f>
        <v/>
      </c>
      <c r="AB20" s="32">
        <f>IF(TRIM(A20&amp;"")="","",IF(TRIM(M20&amp;"")&lt;&gt;"",TRIM(M20&amp;""),IFERROR(LEFT(TRIM(A20&amp;""),FIND(" ",TRIM(A20&amp;""))-1),TRIM(A20&amp;""))))</f>
        <v/>
      </c>
      <c r="AC20" s="32">
        <f>SUBSTITUTE(SUBSTITUTE(SUBSTITUTE(SUBSTITUTE(SUBSTITUTE(SUBSTITUTE(SUBSTITUTE(SUBSTITUTE(SUBSTITUTE(SUBSTITUTE(AB20,"%","%25"),"&amp;","%26"),"#","%23"),"+","%2B"),"=","%3D"),"?","%3F"),CHAR(34),"%22"),CHAR(10),"%0A"),CHAR(13),"")," ","+")</f>
        <v/>
      </c>
      <c r="AD20" s="32">
        <f>IF(OR(AA20="",AB20=""),"",'Start Here'!$B$20&amp;"#p="&amp;SUBSTITUTE(AA20,"+","%2B")&amp;"&amp;n="&amp;AC20&amp;"&amp;m="&amp;SUBSTITUTE('Start Here'!$B$24,"{name}",AC20))</f>
        <v/>
      </c>
      <c r="AE20" s="32">
        <f>LEN(AD20)</f>
        <v/>
      </c>
      <c r="AF20" s="32">
        <f>IF(AND(TRIM(A20&amp;"")&lt;&gt;"",OR(B20="Awaiting",B20="Not sure yet")),1,0)</f>
        <v/>
      </c>
      <c r="AG20" s="32">
        <f>N(AG19)+AF20</f>
        <v/>
      </c>
      <c r="AH20" s="32">
        <f>IF(AF20=1,AG20,"")</f>
        <v/>
      </c>
      <c r="AI20" s="32">
        <f>IF(AND(TRIM(A20&amp;"")&lt;&gt;"",L20&amp;""&lt;&gt;"",L20&amp;""=Seating!$I$3&amp;"",B20&lt;&gt;"Declined"),1,0)</f>
        <v/>
      </c>
      <c r="AJ20" s="32">
        <f>N(AJ19)+AI20</f>
        <v/>
      </c>
      <c r="AK20" s="32">
        <f>IF(AI20=1,AJ20,"")</f>
        <v/>
      </c>
    </row>
    <row r="21">
      <c r="A21" s="10" t="n"/>
      <c r="B21" s="47">
        <f>IF(TRIM(A21&amp;"")="","",IF(W21&lt;&gt;"",W21,IF(I21="","Awaiting",I21)))</f>
        <v/>
      </c>
      <c r="C21" s="60">
        <f>IF(OR(B21="Awaiting",B21="Not sure yet"),IF(AD21&lt;&gt;"",HYPERLINK(AD21,"💬 Remind"),"add mobile"),"")</f>
        <v/>
      </c>
      <c r="D21" s="58" t="n"/>
      <c r="E21" s="10" t="n"/>
      <c r="F21" s="10" t="n"/>
      <c r="G21" s="10" t="n"/>
      <c r="H21" s="10" t="n"/>
      <c r="I21" s="10" t="n"/>
      <c r="J21" s="10" t="n"/>
      <c r="K21" s="10" t="n"/>
      <c r="L21" s="56" t="n"/>
      <c r="M21" s="10" t="n"/>
      <c r="N21" s="12" t="n"/>
      <c r="O21" s="10" t="n"/>
      <c r="P21" s="10" t="n"/>
      <c r="Q21" s="61">
        <f>IF(V21="","",IF(T21="","Covered by "&amp;INDEX('Form Calc'!$B:$B,V21)&amp;"'s reply (same party)","Replied "&amp;TEXT(INDEX('Form Calc'!$A:$A,T21),"mm/dd")&amp;" · "&amp;INDEX('Form Calc'!$H:$H,T21)&amp;" adult(s), "&amp;INDEX('Form Calc'!$I:$I,T21)&amp;" child(ren)"&amp;IF(INDEX('Form Calc'!$K:$K,T21)&lt;&gt;""," · "&amp;INDEX('Form Calc'!$K:$K,T21),"")&amp;IF(INDEX('Form Calc'!$M:$M,T21)&lt;&gt;""," · “"&amp;INDEX('Form Calc'!$M:$M,T21)&amp;"”","")))</f>
        <v/>
      </c>
      <c r="R21" s="32">
        <f>SUBSTITUTE(SUBSTITUTE(SUBSTITUTE(SUBSTITUTE(SUBSTITUTE(SUBSTITUTE(SUBSTITUTE(SUBSTITUTE(D21&amp;""," ",""),"-",""),"(",""),")",""),".",""),"+",""),"/",""),CHAR(160),"")</f>
        <v/>
      </c>
      <c r="S21" s="32">
        <f>IF(LEN(R21)&gt;=10,RIGHT(R21,10),R21)</f>
        <v/>
      </c>
      <c r="T21" s="32">
        <f>IF(TRIM(A21&amp;"")="","",IF(S21&lt;&gt;"",IFERROR(MATCH(S21,'Form Calc'!$P:$P,0),IFERROR(MATCH(TRIM(A21&amp;""),'Form Calc'!$Q:$Q,0),"")),IFERROR(MATCH(TRIM(A21&amp;""),'Form Calc'!$Q:$Q,0),"")))</f>
        <v/>
      </c>
      <c r="U21" s="32">
        <f>IF(AND(T21&lt;&gt;"",TRIM(E21&amp;"")&lt;&gt;""),TRIM(E21&amp;""),"")</f>
        <v/>
      </c>
      <c r="V21" s="32">
        <f>IF(TRIM(A21&amp;"")="","",IF(T21&lt;&gt;"",T21,IF(TRIM(E21&amp;"")="","",IFERROR(INDEX($T$6:$T$505,MATCH(TRIM(E21&amp;""),$U$6:$U$505,0)),""))))</f>
        <v/>
      </c>
      <c r="W21" s="32">
        <f>IF(V21="","",INDEX('Form Calc'!$G:$G,V21))</f>
        <v/>
      </c>
      <c r="X21" s="32">
        <f>IF(TRIM(A21&amp;"")="","",IF(T21&lt;&gt;"",IF(INDEX('Form Calc'!$K:$K,T21)&lt;&gt;"",INDEX('Form Calc'!$K:$K,T21),J21&amp;""),J21&amp;""))</f>
        <v/>
      </c>
      <c r="Y21" s="32">
        <f>IF(TRIM(A21&amp;"")="","",IF(TRIM(D21&amp;"")&lt;&gt;"",TRIM(D21&amp;""),IF(T21&lt;&gt;"",INDEX('Form Calc'!$C:$C,T21)&amp;"","")))</f>
        <v/>
      </c>
      <c r="Z21" s="32">
        <f>SUBSTITUTE(SUBSTITUTE(SUBSTITUTE(SUBSTITUTE(SUBSTITUTE(SUBSTITUTE(SUBSTITUTE(SUBSTITUTE(Y21," ",""),"-",""),"(",""),")",""),".",""),"+",""),"/",""),CHAR(160),"")</f>
        <v/>
      </c>
      <c r="AA21" s="32">
        <f>IF(Z21="","",IF(LEN(Z21)=10,"+1"&amp;Z21,IF(AND(LEN(Z21)=11,LEFT(Z21,1)="1"),"+"&amp;Z21,IF(LEFT(Y21,1)="+","+"&amp;Z21,Z21))))</f>
        <v/>
      </c>
      <c r="AB21" s="32">
        <f>IF(TRIM(A21&amp;"")="","",IF(TRIM(M21&amp;"")&lt;&gt;"",TRIM(M21&amp;""),IFERROR(LEFT(TRIM(A21&amp;""),FIND(" ",TRIM(A21&amp;""))-1),TRIM(A21&amp;""))))</f>
        <v/>
      </c>
      <c r="AC21" s="32">
        <f>SUBSTITUTE(SUBSTITUTE(SUBSTITUTE(SUBSTITUTE(SUBSTITUTE(SUBSTITUTE(SUBSTITUTE(SUBSTITUTE(SUBSTITUTE(SUBSTITUTE(AB21,"%","%25"),"&amp;","%26"),"#","%23"),"+","%2B"),"=","%3D"),"?","%3F"),CHAR(34),"%22"),CHAR(10),"%0A"),CHAR(13),"")," ","+")</f>
        <v/>
      </c>
      <c r="AD21" s="32">
        <f>IF(OR(AA21="",AB21=""),"",'Start Here'!$B$20&amp;"#p="&amp;SUBSTITUTE(AA21,"+","%2B")&amp;"&amp;n="&amp;AC21&amp;"&amp;m="&amp;SUBSTITUTE('Start Here'!$B$24,"{name}",AC21))</f>
        <v/>
      </c>
      <c r="AE21" s="32">
        <f>LEN(AD21)</f>
        <v/>
      </c>
      <c r="AF21" s="32">
        <f>IF(AND(TRIM(A21&amp;"")&lt;&gt;"",OR(B21="Awaiting",B21="Not sure yet")),1,0)</f>
        <v/>
      </c>
      <c r="AG21" s="32">
        <f>N(AG20)+AF21</f>
        <v/>
      </c>
      <c r="AH21" s="32">
        <f>IF(AF21=1,AG21,"")</f>
        <v/>
      </c>
      <c r="AI21" s="32">
        <f>IF(AND(TRIM(A21&amp;"")&lt;&gt;"",L21&amp;""&lt;&gt;"",L21&amp;""=Seating!$I$3&amp;"",B21&lt;&gt;"Declined"),1,0)</f>
        <v/>
      </c>
      <c r="AJ21" s="32">
        <f>N(AJ20)+AI21</f>
        <v/>
      </c>
      <c r="AK21" s="32">
        <f>IF(AI21=1,AJ21,"")</f>
        <v/>
      </c>
    </row>
    <row r="22">
      <c r="A22" s="10" t="n"/>
      <c r="B22" s="47">
        <f>IF(TRIM(A22&amp;"")="","",IF(W22&lt;&gt;"",W22,IF(I22="","Awaiting",I22)))</f>
        <v/>
      </c>
      <c r="C22" s="60">
        <f>IF(OR(B22="Awaiting",B22="Not sure yet"),IF(AD22&lt;&gt;"",HYPERLINK(AD22,"💬 Remind"),"add mobile"),"")</f>
        <v/>
      </c>
      <c r="D22" s="58" t="n"/>
      <c r="E22" s="10" t="n"/>
      <c r="F22" s="10" t="n"/>
      <c r="G22" s="10" t="n"/>
      <c r="H22" s="10" t="n"/>
      <c r="I22" s="10" t="n"/>
      <c r="J22" s="10" t="n"/>
      <c r="K22" s="10" t="n"/>
      <c r="L22" s="56" t="n"/>
      <c r="M22" s="10" t="n"/>
      <c r="N22" s="12" t="n"/>
      <c r="O22" s="10" t="n"/>
      <c r="P22" s="10" t="n"/>
      <c r="Q22" s="61">
        <f>IF(V22="","",IF(T22="","Covered by "&amp;INDEX('Form Calc'!$B:$B,V22)&amp;"'s reply (same party)","Replied "&amp;TEXT(INDEX('Form Calc'!$A:$A,T22),"mm/dd")&amp;" · "&amp;INDEX('Form Calc'!$H:$H,T22)&amp;" adult(s), "&amp;INDEX('Form Calc'!$I:$I,T22)&amp;" child(ren)"&amp;IF(INDEX('Form Calc'!$K:$K,T22)&lt;&gt;""," · "&amp;INDEX('Form Calc'!$K:$K,T22),"")&amp;IF(INDEX('Form Calc'!$M:$M,T22)&lt;&gt;""," · “"&amp;INDEX('Form Calc'!$M:$M,T22)&amp;"”","")))</f>
        <v/>
      </c>
      <c r="R22" s="32">
        <f>SUBSTITUTE(SUBSTITUTE(SUBSTITUTE(SUBSTITUTE(SUBSTITUTE(SUBSTITUTE(SUBSTITUTE(SUBSTITUTE(D22&amp;""," ",""),"-",""),"(",""),")",""),".",""),"+",""),"/",""),CHAR(160),"")</f>
        <v/>
      </c>
      <c r="S22" s="32">
        <f>IF(LEN(R22)&gt;=10,RIGHT(R22,10),R22)</f>
        <v/>
      </c>
      <c r="T22" s="32">
        <f>IF(TRIM(A22&amp;"")="","",IF(S22&lt;&gt;"",IFERROR(MATCH(S22,'Form Calc'!$P:$P,0),IFERROR(MATCH(TRIM(A22&amp;""),'Form Calc'!$Q:$Q,0),"")),IFERROR(MATCH(TRIM(A22&amp;""),'Form Calc'!$Q:$Q,0),"")))</f>
        <v/>
      </c>
      <c r="U22" s="32">
        <f>IF(AND(T22&lt;&gt;"",TRIM(E22&amp;"")&lt;&gt;""),TRIM(E22&amp;""),"")</f>
        <v/>
      </c>
      <c r="V22" s="32">
        <f>IF(TRIM(A22&amp;"")="","",IF(T22&lt;&gt;"",T22,IF(TRIM(E22&amp;"")="","",IFERROR(INDEX($T$6:$T$505,MATCH(TRIM(E22&amp;""),$U$6:$U$505,0)),""))))</f>
        <v/>
      </c>
      <c r="W22" s="32">
        <f>IF(V22="","",INDEX('Form Calc'!$G:$G,V22))</f>
        <v/>
      </c>
      <c r="X22" s="32">
        <f>IF(TRIM(A22&amp;"")="","",IF(T22&lt;&gt;"",IF(INDEX('Form Calc'!$K:$K,T22)&lt;&gt;"",INDEX('Form Calc'!$K:$K,T22),J22&amp;""),J22&amp;""))</f>
        <v/>
      </c>
      <c r="Y22" s="32">
        <f>IF(TRIM(A22&amp;"")="","",IF(TRIM(D22&amp;"")&lt;&gt;"",TRIM(D22&amp;""),IF(T22&lt;&gt;"",INDEX('Form Calc'!$C:$C,T22)&amp;"","")))</f>
        <v/>
      </c>
      <c r="Z22" s="32">
        <f>SUBSTITUTE(SUBSTITUTE(SUBSTITUTE(SUBSTITUTE(SUBSTITUTE(SUBSTITUTE(SUBSTITUTE(SUBSTITUTE(Y22," ",""),"-",""),"(",""),")",""),".",""),"+",""),"/",""),CHAR(160),"")</f>
        <v/>
      </c>
      <c r="AA22" s="32">
        <f>IF(Z22="","",IF(LEN(Z22)=10,"+1"&amp;Z22,IF(AND(LEN(Z22)=11,LEFT(Z22,1)="1"),"+"&amp;Z22,IF(LEFT(Y22,1)="+","+"&amp;Z22,Z22))))</f>
        <v/>
      </c>
      <c r="AB22" s="32">
        <f>IF(TRIM(A22&amp;"")="","",IF(TRIM(M22&amp;"")&lt;&gt;"",TRIM(M22&amp;""),IFERROR(LEFT(TRIM(A22&amp;""),FIND(" ",TRIM(A22&amp;""))-1),TRIM(A22&amp;""))))</f>
        <v/>
      </c>
      <c r="AC22" s="32">
        <f>SUBSTITUTE(SUBSTITUTE(SUBSTITUTE(SUBSTITUTE(SUBSTITUTE(SUBSTITUTE(SUBSTITUTE(SUBSTITUTE(SUBSTITUTE(SUBSTITUTE(AB22,"%","%25"),"&amp;","%26"),"#","%23"),"+","%2B"),"=","%3D"),"?","%3F"),CHAR(34),"%22"),CHAR(10),"%0A"),CHAR(13),"")," ","+")</f>
        <v/>
      </c>
      <c r="AD22" s="32">
        <f>IF(OR(AA22="",AB22=""),"",'Start Here'!$B$20&amp;"#p="&amp;SUBSTITUTE(AA22,"+","%2B")&amp;"&amp;n="&amp;AC22&amp;"&amp;m="&amp;SUBSTITUTE('Start Here'!$B$24,"{name}",AC22))</f>
        <v/>
      </c>
      <c r="AE22" s="32">
        <f>LEN(AD22)</f>
        <v/>
      </c>
      <c r="AF22" s="32">
        <f>IF(AND(TRIM(A22&amp;"")&lt;&gt;"",OR(B22="Awaiting",B22="Not sure yet")),1,0)</f>
        <v/>
      </c>
      <c r="AG22" s="32">
        <f>N(AG21)+AF22</f>
        <v/>
      </c>
      <c r="AH22" s="32">
        <f>IF(AF22=1,AG22,"")</f>
        <v/>
      </c>
      <c r="AI22" s="32">
        <f>IF(AND(TRIM(A22&amp;"")&lt;&gt;"",L22&amp;""&lt;&gt;"",L22&amp;""=Seating!$I$3&amp;"",B22&lt;&gt;"Declined"),1,0)</f>
        <v/>
      </c>
      <c r="AJ22" s="32">
        <f>N(AJ21)+AI22</f>
        <v/>
      </c>
      <c r="AK22" s="32">
        <f>IF(AI22=1,AJ22,"")</f>
        <v/>
      </c>
    </row>
    <row r="23">
      <c r="A23" s="10" t="n"/>
      <c r="B23" s="47">
        <f>IF(TRIM(A23&amp;"")="","",IF(W23&lt;&gt;"",W23,IF(I23="","Awaiting",I23)))</f>
        <v/>
      </c>
      <c r="C23" s="60">
        <f>IF(OR(B23="Awaiting",B23="Not sure yet"),IF(AD23&lt;&gt;"",HYPERLINK(AD23,"💬 Remind"),"add mobile"),"")</f>
        <v/>
      </c>
      <c r="D23" s="58" t="n"/>
      <c r="E23" s="10" t="n"/>
      <c r="F23" s="10" t="n"/>
      <c r="G23" s="10" t="n"/>
      <c r="H23" s="10" t="n"/>
      <c r="I23" s="10" t="n"/>
      <c r="J23" s="10" t="n"/>
      <c r="K23" s="10" t="n"/>
      <c r="L23" s="56" t="n"/>
      <c r="M23" s="10" t="n"/>
      <c r="N23" s="12" t="n"/>
      <c r="O23" s="10" t="n"/>
      <c r="P23" s="10" t="n"/>
      <c r="Q23" s="61">
        <f>IF(V23="","",IF(T23="","Covered by "&amp;INDEX('Form Calc'!$B:$B,V23)&amp;"'s reply (same party)","Replied "&amp;TEXT(INDEX('Form Calc'!$A:$A,T23),"mm/dd")&amp;" · "&amp;INDEX('Form Calc'!$H:$H,T23)&amp;" adult(s), "&amp;INDEX('Form Calc'!$I:$I,T23)&amp;" child(ren)"&amp;IF(INDEX('Form Calc'!$K:$K,T23)&lt;&gt;""," · "&amp;INDEX('Form Calc'!$K:$K,T23),"")&amp;IF(INDEX('Form Calc'!$M:$M,T23)&lt;&gt;""," · “"&amp;INDEX('Form Calc'!$M:$M,T23)&amp;"”","")))</f>
        <v/>
      </c>
      <c r="R23" s="32">
        <f>SUBSTITUTE(SUBSTITUTE(SUBSTITUTE(SUBSTITUTE(SUBSTITUTE(SUBSTITUTE(SUBSTITUTE(SUBSTITUTE(D23&amp;""," ",""),"-",""),"(",""),")",""),".",""),"+",""),"/",""),CHAR(160),"")</f>
        <v/>
      </c>
      <c r="S23" s="32">
        <f>IF(LEN(R23)&gt;=10,RIGHT(R23,10),R23)</f>
        <v/>
      </c>
      <c r="T23" s="32">
        <f>IF(TRIM(A23&amp;"")="","",IF(S23&lt;&gt;"",IFERROR(MATCH(S23,'Form Calc'!$P:$P,0),IFERROR(MATCH(TRIM(A23&amp;""),'Form Calc'!$Q:$Q,0),"")),IFERROR(MATCH(TRIM(A23&amp;""),'Form Calc'!$Q:$Q,0),"")))</f>
        <v/>
      </c>
      <c r="U23" s="32">
        <f>IF(AND(T23&lt;&gt;"",TRIM(E23&amp;"")&lt;&gt;""),TRIM(E23&amp;""),"")</f>
        <v/>
      </c>
      <c r="V23" s="32">
        <f>IF(TRIM(A23&amp;"")="","",IF(T23&lt;&gt;"",T23,IF(TRIM(E23&amp;"")="","",IFERROR(INDEX($T$6:$T$505,MATCH(TRIM(E23&amp;""),$U$6:$U$505,0)),""))))</f>
        <v/>
      </c>
      <c r="W23" s="32">
        <f>IF(V23="","",INDEX('Form Calc'!$G:$G,V23))</f>
        <v/>
      </c>
      <c r="X23" s="32">
        <f>IF(TRIM(A23&amp;"")="","",IF(T23&lt;&gt;"",IF(INDEX('Form Calc'!$K:$K,T23)&lt;&gt;"",INDEX('Form Calc'!$K:$K,T23),J23&amp;""),J23&amp;""))</f>
        <v/>
      </c>
      <c r="Y23" s="32">
        <f>IF(TRIM(A23&amp;"")="","",IF(TRIM(D23&amp;"")&lt;&gt;"",TRIM(D23&amp;""),IF(T23&lt;&gt;"",INDEX('Form Calc'!$C:$C,T23)&amp;"","")))</f>
        <v/>
      </c>
      <c r="Z23" s="32">
        <f>SUBSTITUTE(SUBSTITUTE(SUBSTITUTE(SUBSTITUTE(SUBSTITUTE(SUBSTITUTE(SUBSTITUTE(SUBSTITUTE(Y23," ",""),"-",""),"(",""),")",""),".",""),"+",""),"/",""),CHAR(160),"")</f>
        <v/>
      </c>
      <c r="AA23" s="32">
        <f>IF(Z23="","",IF(LEN(Z23)=10,"+1"&amp;Z23,IF(AND(LEN(Z23)=11,LEFT(Z23,1)="1"),"+"&amp;Z23,IF(LEFT(Y23,1)="+","+"&amp;Z23,Z23))))</f>
        <v/>
      </c>
      <c r="AB23" s="32">
        <f>IF(TRIM(A23&amp;"")="","",IF(TRIM(M23&amp;"")&lt;&gt;"",TRIM(M23&amp;""),IFERROR(LEFT(TRIM(A23&amp;""),FIND(" ",TRIM(A23&amp;""))-1),TRIM(A23&amp;""))))</f>
        <v/>
      </c>
      <c r="AC23" s="32">
        <f>SUBSTITUTE(SUBSTITUTE(SUBSTITUTE(SUBSTITUTE(SUBSTITUTE(SUBSTITUTE(SUBSTITUTE(SUBSTITUTE(SUBSTITUTE(SUBSTITUTE(AB23,"%","%25"),"&amp;","%26"),"#","%23"),"+","%2B"),"=","%3D"),"?","%3F"),CHAR(34),"%22"),CHAR(10),"%0A"),CHAR(13),"")," ","+")</f>
        <v/>
      </c>
      <c r="AD23" s="32">
        <f>IF(OR(AA23="",AB23=""),"",'Start Here'!$B$20&amp;"#p="&amp;SUBSTITUTE(AA23,"+","%2B")&amp;"&amp;n="&amp;AC23&amp;"&amp;m="&amp;SUBSTITUTE('Start Here'!$B$24,"{name}",AC23))</f>
        <v/>
      </c>
      <c r="AE23" s="32">
        <f>LEN(AD23)</f>
        <v/>
      </c>
      <c r="AF23" s="32">
        <f>IF(AND(TRIM(A23&amp;"")&lt;&gt;"",OR(B23="Awaiting",B23="Not sure yet")),1,0)</f>
        <v/>
      </c>
      <c r="AG23" s="32">
        <f>N(AG22)+AF23</f>
        <v/>
      </c>
      <c r="AH23" s="32">
        <f>IF(AF23=1,AG23,"")</f>
        <v/>
      </c>
      <c r="AI23" s="32">
        <f>IF(AND(TRIM(A23&amp;"")&lt;&gt;"",L23&amp;""&lt;&gt;"",L23&amp;""=Seating!$I$3&amp;"",B23&lt;&gt;"Declined"),1,0)</f>
        <v/>
      </c>
      <c r="AJ23" s="32">
        <f>N(AJ22)+AI23</f>
        <v/>
      </c>
      <c r="AK23" s="32">
        <f>IF(AI23=1,AJ23,"")</f>
        <v/>
      </c>
    </row>
    <row r="24">
      <c r="A24" s="10" t="n"/>
      <c r="B24" s="47">
        <f>IF(TRIM(A24&amp;"")="","",IF(W24&lt;&gt;"",W24,IF(I24="","Awaiting",I24)))</f>
        <v/>
      </c>
      <c r="C24" s="60">
        <f>IF(OR(B24="Awaiting",B24="Not sure yet"),IF(AD24&lt;&gt;"",HYPERLINK(AD24,"💬 Remind"),"add mobile"),"")</f>
        <v/>
      </c>
      <c r="D24" s="58" t="n"/>
      <c r="E24" s="10" t="n"/>
      <c r="F24" s="10" t="n"/>
      <c r="G24" s="10" t="n"/>
      <c r="H24" s="10" t="n"/>
      <c r="I24" s="10" t="n"/>
      <c r="J24" s="10" t="n"/>
      <c r="K24" s="10" t="n"/>
      <c r="L24" s="56" t="n"/>
      <c r="M24" s="10" t="n"/>
      <c r="N24" s="12" t="n"/>
      <c r="O24" s="10" t="n"/>
      <c r="P24" s="10" t="n"/>
      <c r="Q24" s="61">
        <f>IF(V24="","",IF(T24="","Covered by "&amp;INDEX('Form Calc'!$B:$B,V24)&amp;"'s reply (same party)","Replied "&amp;TEXT(INDEX('Form Calc'!$A:$A,T24),"mm/dd")&amp;" · "&amp;INDEX('Form Calc'!$H:$H,T24)&amp;" adult(s), "&amp;INDEX('Form Calc'!$I:$I,T24)&amp;" child(ren)"&amp;IF(INDEX('Form Calc'!$K:$K,T24)&lt;&gt;""," · "&amp;INDEX('Form Calc'!$K:$K,T24),"")&amp;IF(INDEX('Form Calc'!$M:$M,T24)&lt;&gt;""," · “"&amp;INDEX('Form Calc'!$M:$M,T24)&amp;"”","")))</f>
        <v/>
      </c>
      <c r="R24" s="32">
        <f>SUBSTITUTE(SUBSTITUTE(SUBSTITUTE(SUBSTITUTE(SUBSTITUTE(SUBSTITUTE(SUBSTITUTE(SUBSTITUTE(D24&amp;""," ",""),"-",""),"(",""),")",""),".",""),"+",""),"/",""),CHAR(160),"")</f>
        <v/>
      </c>
      <c r="S24" s="32">
        <f>IF(LEN(R24)&gt;=10,RIGHT(R24,10),R24)</f>
        <v/>
      </c>
      <c r="T24" s="32">
        <f>IF(TRIM(A24&amp;"")="","",IF(S24&lt;&gt;"",IFERROR(MATCH(S24,'Form Calc'!$P:$P,0),IFERROR(MATCH(TRIM(A24&amp;""),'Form Calc'!$Q:$Q,0),"")),IFERROR(MATCH(TRIM(A24&amp;""),'Form Calc'!$Q:$Q,0),"")))</f>
        <v/>
      </c>
      <c r="U24" s="32">
        <f>IF(AND(T24&lt;&gt;"",TRIM(E24&amp;"")&lt;&gt;""),TRIM(E24&amp;""),"")</f>
        <v/>
      </c>
      <c r="V24" s="32">
        <f>IF(TRIM(A24&amp;"")="","",IF(T24&lt;&gt;"",T24,IF(TRIM(E24&amp;"")="","",IFERROR(INDEX($T$6:$T$505,MATCH(TRIM(E24&amp;""),$U$6:$U$505,0)),""))))</f>
        <v/>
      </c>
      <c r="W24" s="32">
        <f>IF(V24="","",INDEX('Form Calc'!$G:$G,V24))</f>
        <v/>
      </c>
      <c r="X24" s="32">
        <f>IF(TRIM(A24&amp;"")="","",IF(T24&lt;&gt;"",IF(INDEX('Form Calc'!$K:$K,T24)&lt;&gt;"",INDEX('Form Calc'!$K:$K,T24),J24&amp;""),J24&amp;""))</f>
        <v/>
      </c>
      <c r="Y24" s="32">
        <f>IF(TRIM(A24&amp;"")="","",IF(TRIM(D24&amp;"")&lt;&gt;"",TRIM(D24&amp;""),IF(T24&lt;&gt;"",INDEX('Form Calc'!$C:$C,T24)&amp;"","")))</f>
        <v/>
      </c>
      <c r="Z24" s="32">
        <f>SUBSTITUTE(SUBSTITUTE(SUBSTITUTE(SUBSTITUTE(SUBSTITUTE(SUBSTITUTE(SUBSTITUTE(SUBSTITUTE(Y24," ",""),"-",""),"(",""),")",""),".",""),"+",""),"/",""),CHAR(160),"")</f>
        <v/>
      </c>
      <c r="AA24" s="32">
        <f>IF(Z24="","",IF(LEN(Z24)=10,"+1"&amp;Z24,IF(AND(LEN(Z24)=11,LEFT(Z24,1)="1"),"+"&amp;Z24,IF(LEFT(Y24,1)="+","+"&amp;Z24,Z24))))</f>
        <v/>
      </c>
      <c r="AB24" s="32">
        <f>IF(TRIM(A24&amp;"")="","",IF(TRIM(M24&amp;"")&lt;&gt;"",TRIM(M24&amp;""),IFERROR(LEFT(TRIM(A24&amp;""),FIND(" ",TRIM(A24&amp;""))-1),TRIM(A24&amp;""))))</f>
        <v/>
      </c>
      <c r="AC24" s="32">
        <f>SUBSTITUTE(SUBSTITUTE(SUBSTITUTE(SUBSTITUTE(SUBSTITUTE(SUBSTITUTE(SUBSTITUTE(SUBSTITUTE(SUBSTITUTE(SUBSTITUTE(AB24,"%","%25"),"&amp;","%26"),"#","%23"),"+","%2B"),"=","%3D"),"?","%3F"),CHAR(34),"%22"),CHAR(10),"%0A"),CHAR(13),"")," ","+")</f>
        <v/>
      </c>
      <c r="AD24" s="32">
        <f>IF(OR(AA24="",AB24=""),"",'Start Here'!$B$20&amp;"#p="&amp;SUBSTITUTE(AA24,"+","%2B")&amp;"&amp;n="&amp;AC24&amp;"&amp;m="&amp;SUBSTITUTE('Start Here'!$B$24,"{name}",AC24))</f>
        <v/>
      </c>
      <c r="AE24" s="32">
        <f>LEN(AD24)</f>
        <v/>
      </c>
      <c r="AF24" s="32">
        <f>IF(AND(TRIM(A24&amp;"")&lt;&gt;"",OR(B24="Awaiting",B24="Not sure yet")),1,0)</f>
        <v/>
      </c>
      <c r="AG24" s="32">
        <f>N(AG23)+AF24</f>
        <v/>
      </c>
      <c r="AH24" s="32">
        <f>IF(AF24=1,AG24,"")</f>
        <v/>
      </c>
      <c r="AI24" s="32">
        <f>IF(AND(TRIM(A24&amp;"")&lt;&gt;"",L24&amp;""&lt;&gt;"",L24&amp;""=Seating!$I$3&amp;"",B24&lt;&gt;"Declined"),1,0)</f>
        <v/>
      </c>
      <c r="AJ24" s="32">
        <f>N(AJ23)+AI24</f>
        <v/>
      </c>
      <c r="AK24" s="32">
        <f>IF(AI24=1,AJ24,"")</f>
        <v/>
      </c>
    </row>
    <row r="25">
      <c r="A25" s="10" t="n"/>
      <c r="B25" s="47">
        <f>IF(TRIM(A25&amp;"")="","",IF(W25&lt;&gt;"",W25,IF(I25="","Awaiting",I25)))</f>
        <v/>
      </c>
      <c r="C25" s="60">
        <f>IF(OR(B25="Awaiting",B25="Not sure yet"),IF(AD25&lt;&gt;"",HYPERLINK(AD25,"💬 Remind"),"add mobile"),"")</f>
        <v/>
      </c>
      <c r="D25" s="58" t="n"/>
      <c r="E25" s="10" t="n"/>
      <c r="F25" s="10" t="n"/>
      <c r="G25" s="10" t="n"/>
      <c r="H25" s="10" t="n"/>
      <c r="I25" s="10" t="n"/>
      <c r="J25" s="10" t="n"/>
      <c r="K25" s="10" t="n"/>
      <c r="L25" s="56" t="n"/>
      <c r="M25" s="10" t="n"/>
      <c r="N25" s="12" t="n"/>
      <c r="O25" s="10" t="n"/>
      <c r="P25" s="10" t="n"/>
      <c r="Q25" s="61">
        <f>IF(V25="","",IF(T25="","Covered by "&amp;INDEX('Form Calc'!$B:$B,V25)&amp;"'s reply (same party)","Replied "&amp;TEXT(INDEX('Form Calc'!$A:$A,T25),"mm/dd")&amp;" · "&amp;INDEX('Form Calc'!$H:$H,T25)&amp;" adult(s), "&amp;INDEX('Form Calc'!$I:$I,T25)&amp;" child(ren)"&amp;IF(INDEX('Form Calc'!$K:$K,T25)&lt;&gt;""," · "&amp;INDEX('Form Calc'!$K:$K,T25),"")&amp;IF(INDEX('Form Calc'!$M:$M,T25)&lt;&gt;""," · “"&amp;INDEX('Form Calc'!$M:$M,T25)&amp;"”","")))</f>
        <v/>
      </c>
      <c r="R25" s="32">
        <f>SUBSTITUTE(SUBSTITUTE(SUBSTITUTE(SUBSTITUTE(SUBSTITUTE(SUBSTITUTE(SUBSTITUTE(SUBSTITUTE(D25&amp;""," ",""),"-",""),"(",""),")",""),".",""),"+",""),"/",""),CHAR(160),"")</f>
        <v/>
      </c>
      <c r="S25" s="32">
        <f>IF(LEN(R25)&gt;=10,RIGHT(R25,10),R25)</f>
        <v/>
      </c>
      <c r="T25" s="32">
        <f>IF(TRIM(A25&amp;"")="","",IF(S25&lt;&gt;"",IFERROR(MATCH(S25,'Form Calc'!$P:$P,0),IFERROR(MATCH(TRIM(A25&amp;""),'Form Calc'!$Q:$Q,0),"")),IFERROR(MATCH(TRIM(A25&amp;""),'Form Calc'!$Q:$Q,0),"")))</f>
        <v/>
      </c>
      <c r="U25" s="32">
        <f>IF(AND(T25&lt;&gt;"",TRIM(E25&amp;"")&lt;&gt;""),TRIM(E25&amp;""),"")</f>
        <v/>
      </c>
      <c r="V25" s="32">
        <f>IF(TRIM(A25&amp;"")="","",IF(T25&lt;&gt;"",T25,IF(TRIM(E25&amp;"")="","",IFERROR(INDEX($T$6:$T$505,MATCH(TRIM(E25&amp;""),$U$6:$U$505,0)),""))))</f>
        <v/>
      </c>
      <c r="W25" s="32">
        <f>IF(V25="","",INDEX('Form Calc'!$G:$G,V25))</f>
        <v/>
      </c>
      <c r="X25" s="32">
        <f>IF(TRIM(A25&amp;"")="","",IF(T25&lt;&gt;"",IF(INDEX('Form Calc'!$K:$K,T25)&lt;&gt;"",INDEX('Form Calc'!$K:$K,T25),J25&amp;""),J25&amp;""))</f>
        <v/>
      </c>
      <c r="Y25" s="32">
        <f>IF(TRIM(A25&amp;"")="","",IF(TRIM(D25&amp;"")&lt;&gt;"",TRIM(D25&amp;""),IF(T25&lt;&gt;"",INDEX('Form Calc'!$C:$C,T25)&amp;"","")))</f>
        <v/>
      </c>
      <c r="Z25" s="32">
        <f>SUBSTITUTE(SUBSTITUTE(SUBSTITUTE(SUBSTITUTE(SUBSTITUTE(SUBSTITUTE(SUBSTITUTE(SUBSTITUTE(Y25," ",""),"-",""),"(",""),")",""),".",""),"+",""),"/",""),CHAR(160),"")</f>
        <v/>
      </c>
      <c r="AA25" s="32">
        <f>IF(Z25="","",IF(LEN(Z25)=10,"+1"&amp;Z25,IF(AND(LEN(Z25)=11,LEFT(Z25,1)="1"),"+"&amp;Z25,IF(LEFT(Y25,1)="+","+"&amp;Z25,Z25))))</f>
        <v/>
      </c>
      <c r="AB25" s="32">
        <f>IF(TRIM(A25&amp;"")="","",IF(TRIM(M25&amp;"")&lt;&gt;"",TRIM(M25&amp;""),IFERROR(LEFT(TRIM(A25&amp;""),FIND(" ",TRIM(A25&amp;""))-1),TRIM(A25&amp;""))))</f>
        <v/>
      </c>
      <c r="AC25" s="32">
        <f>SUBSTITUTE(SUBSTITUTE(SUBSTITUTE(SUBSTITUTE(SUBSTITUTE(SUBSTITUTE(SUBSTITUTE(SUBSTITUTE(SUBSTITUTE(SUBSTITUTE(AB25,"%","%25"),"&amp;","%26"),"#","%23"),"+","%2B"),"=","%3D"),"?","%3F"),CHAR(34),"%22"),CHAR(10),"%0A"),CHAR(13),"")," ","+")</f>
        <v/>
      </c>
      <c r="AD25" s="32">
        <f>IF(OR(AA25="",AB25=""),"",'Start Here'!$B$20&amp;"#p="&amp;SUBSTITUTE(AA25,"+","%2B")&amp;"&amp;n="&amp;AC25&amp;"&amp;m="&amp;SUBSTITUTE('Start Here'!$B$24,"{name}",AC25))</f>
        <v/>
      </c>
      <c r="AE25" s="32">
        <f>LEN(AD25)</f>
        <v/>
      </c>
      <c r="AF25" s="32">
        <f>IF(AND(TRIM(A25&amp;"")&lt;&gt;"",OR(B25="Awaiting",B25="Not sure yet")),1,0)</f>
        <v/>
      </c>
      <c r="AG25" s="32">
        <f>N(AG24)+AF25</f>
        <v/>
      </c>
      <c r="AH25" s="32">
        <f>IF(AF25=1,AG25,"")</f>
        <v/>
      </c>
      <c r="AI25" s="32">
        <f>IF(AND(TRIM(A25&amp;"")&lt;&gt;"",L25&amp;""&lt;&gt;"",L25&amp;""=Seating!$I$3&amp;"",B25&lt;&gt;"Declined"),1,0)</f>
        <v/>
      </c>
      <c r="AJ25" s="32">
        <f>N(AJ24)+AI25</f>
        <v/>
      </c>
      <c r="AK25" s="32">
        <f>IF(AI25=1,AJ25,"")</f>
        <v/>
      </c>
    </row>
    <row r="26">
      <c r="A26" s="10" t="n"/>
      <c r="B26" s="47">
        <f>IF(TRIM(A26&amp;"")="","",IF(W26&lt;&gt;"",W26,IF(I26="","Awaiting",I26)))</f>
        <v/>
      </c>
      <c r="C26" s="60">
        <f>IF(OR(B26="Awaiting",B26="Not sure yet"),IF(AD26&lt;&gt;"",HYPERLINK(AD26,"💬 Remind"),"add mobile"),"")</f>
        <v/>
      </c>
      <c r="D26" s="58" t="n"/>
      <c r="E26" s="10" t="n"/>
      <c r="F26" s="10" t="n"/>
      <c r="G26" s="10" t="n"/>
      <c r="H26" s="10" t="n"/>
      <c r="I26" s="10" t="n"/>
      <c r="J26" s="10" t="n"/>
      <c r="K26" s="10" t="n"/>
      <c r="L26" s="56" t="n"/>
      <c r="M26" s="10" t="n"/>
      <c r="N26" s="12" t="n"/>
      <c r="O26" s="10" t="n"/>
      <c r="P26" s="10" t="n"/>
      <c r="Q26" s="61">
        <f>IF(V26="","",IF(T26="","Covered by "&amp;INDEX('Form Calc'!$B:$B,V26)&amp;"'s reply (same party)","Replied "&amp;TEXT(INDEX('Form Calc'!$A:$A,T26),"mm/dd")&amp;" · "&amp;INDEX('Form Calc'!$H:$H,T26)&amp;" adult(s), "&amp;INDEX('Form Calc'!$I:$I,T26)&amp;" child(ren)"&amp;IF(INDEX('Form Calc'!$K:$K,T26)&lt;&gt;""," · "&amp;INDEX('Form Calc'!$K:$K,T26),"")&amp;IF(INDEX('Form Calc'!$M:$M,T26)&lt;&gt;""," · “"&amp;INDEX('Form Calc'!$M:$M,T26)&amp;"”","")))</f>
        <v/>
      </c>
      <c r="R26" s="32">
        <f>SUBSTITUTE(SUBSTITUTE(SUBSTITUTE(SUBSTITUTE(SUBSTITUTE(SUBSTITUTE(SUBSTITUTE(SUBSTITUTE(D26&amp;""," ",""),"-",""),"(",""),")",""),".",""),"+",""),"/",""),CHAR(160),"")</f>
        <v/>
      </c>
      <c r="S26" s="32">
        <f>IF(LEN(R26)&gt;=10,RIGHT(R26,10),R26)</f>
        <v/>
      </c>
      <c r="T26" s="32">
        <f>IF(TRIM(A26&amp;"")="","",IF(S26&lt;&gt;"",IFERROR(MATCH(S26,'Form Calc'!$P:$P,0),IFERROR(MATCH(TRIM(A26&amp;""),'Form Calc'!$Q:$Q,0),"")),IFERROR(MATCH(TRIM(A26&amp;""),'Form Calc'!$Q:$Q,0),"")))</f>
        <v/>
      </c>
      <c r="U26" s="32">
        <f>IF(AND(T26&lt;&gt;"",TRIM(E26&amp;"")&lt;&gt;""),TRIM(E26&amp;""),"")</f>
        <v/>
      </c>
      <c r="V26" s="32">
        <f>IF(TRIM(A26&amp;"")="","",IF(T26&lt;&gt;"",T26,IF(TRIM(E26&amp;"")="","",IFERROR(INDEX($T$6:$T$505,MATCH(TRIM(E26&amp;""),$U$6:$U$505,0)),""))))</f>
        <v/>
      </c>
      <c r="W26" s="32">
        <f>IF(V26="","",INDEX('Form Calc'!$G:$G,V26))</f>
        <v/>
      </c>
      <c r="X26" s="32">
        <f>IF(TRIM(A26&amp;"")="","",IF(T26&lt;&gt;"",IF(INDEX('Form Calc'!$K:$K,T26)&lt;&gt;"",INDEX('Form Calc'!$K:$K,T26),J26&amp;""),J26&amp;""))</f>
        <v/>
      </c>
      <c r="Y26" s="32">
        <f>IF(TRIM(A26&amp;"")="","",IF(TRIM(D26&amp;"")&lt;&gt;"",TRIM(D26&amp;""),IF(T26&lt;&gt;"",INDEX('Form Calc'!$C:$C,T26)&amp;"","")))</f>
        <v/>
      </c>
      <c r="Z26" s="32">
        <f>SUBSTITUTE(SUBSTITUTE(SUBSTITUTE(SUBSTITUTE(SUBSTITUTE(SUBSTITUTE(SUBSTITUTE(SUBSTITUTE(Y26," ",""),"-",""),"(",""),")",""),".",""),"+",""),"/",""),CHAR(160),"")</f>
        <v/>
      </c>
      <c r="AA26" s="32">
        <f>IF(Z26="","",IF(LEN(Z26)=10,"+1"&amp;Z26,IF(AND(LEN(Z26)=11,LEFT(Z26,1)="1"),"+"&amp;Z26,IF(LEFT(Y26,1)="+","+"&amp;Z26,Z26))))</f>
        <v/>
      </c>
      <c r="AB26" s="32">
        <f>IF(TRIM(A26&amp;"")="","",IF(TRIM(M26&amp;"")&lt;&gt;"",TRIM(M26&amp;""),IFERROR(LEFT(TRIM(A26&amp;""),FIND(" ",TRIM(A26&amp;""))-1),TRIM(A26&amp;""))))</f>
        <v/>
      </c>
      <c r="AC26" s="32">
        <f>SUBSTITUTE(SUBSTITUTE(SUBSTITUTE(SUBSTITUTE(SUBSTITUTE(SUBSTITUTE(SUBSTITUTE(SUBSTITUTE(SUBSTITUTE(SUBSTITUTE(AB26,"%","%25"),"&amp;","%26"),"#","%23"),"+","%2B"),"=","%3D"),"?","%3F"),CHAR(34),"%22"),CHAR(10),"%0A"),CHAR(13),"")," ","+")</f>
        <v/>
      </c>
      <c r="AD26" s="32">
        <f>IF(OR(AA26="",AB26=""),"",'Start Here'!$B$20&amp;"#p="&amp;SUBSTITUTE(AA26,"+","%2B")&amp;"&amp;n="&amp;AC26&amp;"&amp;m="&amp;SUBSTITUTE('Start Here'!$B$24,"{name}",AC26))</f>
        <v/>
      </c>
      <c r="AE26" s="32">
        <f>LEN(AD26)</f>
        <v/>
      </c>
      <c r="AF26" s="32">
        <f>IF(AND(TRIM(A26&amp;"")&lt;&gt;"",OR(B26="Awaiting",B26="Not sure yet")),1,0)</f>
        <v/>
      </c>
      <c r="AG26" s="32">
        <f>N(AG25)+AF26</f>
        <v/>
      </c>
      <c r="AH26" s="32">
        <f>IF(AF26=1,AG26,"")</f>
        <v/>
      </c>
      <c r="AI26" s="32">
        <f>IF(AND(TRIM(A26&amp;"")&lt;&gt;"",L26&amp;""&lt;&gt;"",L26&amp;""=Seating!$I$3&amp;"",B26&lt;&gt;"Declined"),1,0)</f>
        <v/>
      </c>
      <c r="AJ26" s="32">
        <f>N(AJ25)+AI26</f>
        <v/>
      </c>
      <c r="AK26" s="32">
        <f>IF(AI26=1,AJ26,"")</f>
        <v/>
      </c>
    </row>
    <row r="27">
      <c r="A27" s="10" t="n"/>
      <c r="B27" s="47">
        <f>IF(TRIM(A27&amp;"")="","",IF(W27&lt;&gt;"",W27,IF(I27="","Awaiting",I27)))</f>
        <v/>
      </c>
      <c r="C27" s="60">
        <f>IF(OR(B27="Awaiting",B27="Not sure yet"),IF(AD27&lt;&gt;"",HYPERLINK(AD27,"💬 Remind"),"add mobile"),"")</f>
        <v/>
      </c>
      <c r="D27" s="58" t="n"/>
      <c r="E27" s="10" t="n"/>
      <c r="F27" s="10" t="n"/>
      <c r="G27" s="10" t="n"/>
      <c r="H27" s="10" t="n"/>
      <c r="I27" s="10" t="n"/>
      <c r="J27" s="10" t="n"/>
      <c r="K27" s="10" t="n"/>
      <c r="L27" s="56" t="n"/>
      <c r="M27" s="10" t="n"/>
      <c r="N27" s="12" t="n"/>
      <c r="O27" s="10" t="n"/>
      <c r="P27" s="10" t="n"/>
      <c r="Q27" s="61">
        <f>IF(V27="","",IF(T27="","Covered by "&amp;INDEX('Form Calc'!$B:$B,V27)&amp;"'s reply (same party)","Replied "&amp;TEXT(INDEX('Form Calc'!$A:$A,T27),"mm/dd")&amp;" · "&amp;INDEX('Form Calc'!$H:$H,T27)&amp;" adult(s), "&amp;INDEX('Form Calc'!$I:$I,T27)&amp;" child(ren)"&amp;IF(INDEX('Form Calc'!$K:$K,T27)&lt;&gt;""," · "&amp;INDEX('Form Calc'!$K:$K,T27),"")&amp;IF(INDEX('Form Calc'!$M:$M,T27)&lt;&gt;""," · “"&amp;INDEX('Form Calc'!$M:$M,T27)&amp;"”","")))</f>
        <v/>
      </c>
      <c r="R27" s="32">
        <f>SUBSTITUTE(SUBSTITUTE(SUBSTITUTE(SUBSTITUTE(SUBSTITUTE(SUBSTITUTE(SUBSTITUTE(SUBSTITUTE(D27&amp;""," ",""),"-",""),"(",""),")",""),".",""),"+",""),"/",""),CHAR(160),"")</f>
        <v/>
      </c>
      <c r="S27" s="32">
        <f>IF(LEN(R27)&gt;=10,RIGHT(R27,10),R27)</f>
        <v/>
      </c>
      <c r="T27" s="32">
        <f>IF(TRIM(A27&amp;"")="","",IF(S27&lt;&gt;"",IFERROR(MATCH(S27,'Form Calc'!$P:$P,0),IFERROR(MATCH(TRIM(A27&amp;""),'Form Calc'!$Q:$Q,0),"")),IFERROR(MATCH(TRIM(A27&amp;""),'Form Calc'!$Q:$Q,0),"")))</f>
        <v/>
      </c>
      <c r="U27" s="32">
        <f>IF(AND(T27&lt;&gt;"",TRIM(E27&amp;"")&lt;&gt;""),TRIM(E27&amp;""),"")</f>
        <v/>
      </c>
      <c r="V27" s="32">
        <f>IF(TRIM(A27&amp;"")="","",IF(T27&lt;&gt;"",T27,IF(TRIM(E27&amp;"")="","",IFERROR(INDEX($T$6:$T$505,MATCH(TRIM(E27&amp;""),$U$6:$U$505,0)),""))))</f>
        <v/>
      </c>
      <c r="W27" s="32">
        <f>IF(V27="","",INDEX('Form Calc'!$G:$G,V27))</f>
        <v/>
      </c>
      <c r="X27" s="32">
        <f>IF(TRIM(A27&amp;"")="","",IF(T27&lt;&gt;"",IF(INDEX('Form Calc'!$K:$K,T27)&lt;&gt;"",INDEX('Form Calc'!$K:$K,T27),J27&amp;""),J27&amp;""))</f>
        <v/>
      </c>
      <c r="Y27" s="32">
        <f>IF(TRIM(A27&amp;"")="","",IF(TRIM(D27&amp;"")&lt;&gt;"",TRIM(D27&amp;""),IF(T27&lt;&gt;"",INDEX('Form Calc'!$C:$C,T27)&amp;"","")))</f>
        <v/>
      </c>
      <c r="Z27" s="32">
        <f>SUBSTITUTE(SUBSTITUTE(SUBSTITUTE(SUBSTITUTE(SUBSTITUTE(SUBSTITUTE(SUBSTITUTE(SUBSTITUTE(Y27," ",""),"-",""),"(",""),")",""),".",""),"+",""),"/",""),CHAR(160),"")</f>
        <v/>
      </c>
      <c r="AA27" s="32">
        <f>IF(Z27="","",IF(LEN(Z27)=10,"+1"&amp;Z27,IF(AND(LEN(Z27)=11,LEFT(Z27,1)="1"),"+"&amp;Z27,IF(LEFT(Y27,1)="+","+"&amp;Z27,Z27))))</f>
        <v/>
      </c>
      <c r="AB27" s="32">
        <f>IF(TRIM(A27&amp;"")="","",IF(TRIM(M27&amp;"")&lt;&gt;"",TRIM(M27&amp;""),IFERROR(LEFT(TRIM(A27&amp;""),FIND(" ",TRIM(A27&amp;""))-1),TRIM(A27&amp;""))))</f>
        <v/>
      </c>
      <c r="AC27" s="32">
        <f>SUBSTITUTE(SUBSTITUTE(SUBSTITUTE(SUBSTITUTE(SUBSTITUTE(SUBSTITUTE(SUBSTITUTE(SUBSTITUTE(SUBSTITUTE(SUBSTITUTE(AB27,"%","%25"),"&amp;","%26"),"#","%23"),"+","%2B"),"=","%3D"),"?","%3F"),CHAR(34),"%22"),CHAR(10),"%0A"),CHAR(13),"")," ","+")</f>
        <v/>
      </c>
      <c r="AD27" s="32">
        <f>IF(OR(AA27="",AB27=""),"",'Start Here'!$B$20&amp;"#p="&amp;SUBSTITUTE(AA27,"+","%2B")&amp;"&amp;n="&amp;AC27&amp;"&amp;m="&amp;SUBSTITUTE('Start Here'!$B$24,"{name}",AC27))</f>
        <v/>
      </c>
      <c r="AE27" s="32">
        <f>LEN(AD27)</f>
        <v/>
      </c>
      <c r="AF27" s="32">
        <f>IF(AND(TRIM(A27&amp;"")&lt;&gt;"",OR(B27="Awaiting",B27="Not sure yet")),1,0)</f>
        <v/>
      </c>
      <c r="AG27" s="32">
        <f>N(AG26)+AF27</f>
        <v/>
      </c>
      <c r="AH27" s="32">
        <f>IF(AF27=1,AG27,"")</f>
        <v/>
      </c>
      <c r="AI27" s="32">
        <f>IF(AND(TRIM(A27&amp;"")&lt;&gt;"",L27&amp;""&lt;&gt;"",L27&amp;""=Seating!$I$3&amp;"",B27&lt;&gt;"Declined"),1,0)</f>
        <v/>
      </c>
      <c r="AJ27" s="32">
        <f>N(AJ26)+AI27</f>
        <v/>
      </c>
      <c r="AK27" s="32">
        <f>IF(AI27=1,AJ27,"")</f>
        <v/>
      </c>
    </row>
    <row r="28">
      <c r="A28" s="10" t="n"/>
      <c r="B28" s="47">
        <f>IF(TRIM(A28&amp;"")="","",IF(W28&lt;&gt;"",W28,IF(I28="","Awaiting",I28)))</f>
        <v/>
      </c>
      <c r="C28" s="60">
        <f>IF(OR(B28="Awaiting",B28="Not sure yet"),IF(AD28&lt;&gt;"",HYPERLINK(AD28,"💬 Remind"),"add mobile"),"")</f>
        <v/>
      </c>
      <c r="D28" s="58" t="n"/>
      <c r="E28" s="10" t="n"/>
      <c r="F28" s="10" t="n"/>
      <c r="G28" s="10" t="n"/>
      <c r="H28" s="10" t="n"/>
      <c r="I28" s="10" t="n"/>
      <c r="J28" s="10" t="n"/>
      <c r="K28" s="10" t="n"/>
      <c r="L28" s="56" t="n"/>
      <c r="M28" s="10" t="n"/>
      <c r="N28" s="12" t="n"/>
      <c r="O28" s="10" t="n"/>
      <c r="P28" s="10" t="n"/>
      <c r="Q28" s="61">
        <f>IF(V28="","",IF(T28="","Covered by "&amp;INDEX('Form Calc'!$B:$B,V28)&amp;"'s reply (same party)","Replied "&amp;TEXT(INDEX('Form Calc'!$A:$A,T28),"mm/dd")&amp;" · "&amp;INDEX('Form Calc'!$H:$H,T28)&amp;" adult(s), "&amp;INDEX('Form Calc'!$I:$I,T28)&amp;" child(ren)"&amp;IF(INDEX('Form Calc'!$K:$K,T28)&lt;&gt;""," · "&amp;INDEX('Form Calc'!$K:$K,T28),"")&amp;IF(INDEX('Form Calc'!$M:$M,T28)&lt;&gt;""," · “"&amp;INDEX('Form Calc'!$M:$M,T28)&amp;"”","")))</f>
        <v/>
      </c>
      <c r="R28" s="32">
        <f>SUBSTITUTE(SUBSTITUTE(SUBSTITUTE(SUBSTITUTE(SUBSTITUTE(SUBSTITUTE(SUBSTITUTE(SUBSTITUTE(D28&amp;""," ",""),"-",""),"(",""),")",""),".",""),"+",""),"/",""),CHAR(160),"")</f>
        <v/>
      </c>
      <c r="S28" s="32">
        <f>IF(LEN(R28)&gt;=10,RIGHT(R28,10),R28)</f>
        <v/>
      </c>
      <c r="T28" s="32">
        <f>IF(TRIM(A28&amp;"")="","",IF(S28&lt;&gt;"",IFERROR(MATCH(S28,'Form Calc'!$P:$P,0),IFERROR(MATCH(TRIM(A28&amp;""),'Form Calc'!$Q:$Q,0),"")),IFERROR(MATCH(TRIM(A28&amp;""),'Form Calc'!$Q:$Q,0),"")))</f>
        <v/>
      </c>
      <c r="U28" s="32">
        <f>IF(AND(T28&lt;&gt;"",TRIM(E28&amp;"")&lt;&gt;""),TRIM(E28&amp;""),"")</f>
        <v/>
      </c>
      <c r="V28" s="32">
        <f>IF(TRIM(A28&amp;"")="","",IF(T28&lt;&gt;"",T28,IF(TRIM(E28&amp;"")="","",IFERROR(INDEX($T$6:$T$505,MATCH(TRIM(E28&amp;""),$U$6:$U$505,0)),""))))</f>
        <v/>
      </c>
      <c r="W28" s="32">
        <f>IF(V28="","",INDEX('Form Calc'!$G:$G,V28))</f>
        <v/>
      </c>
      <c r="X28" s="32">
        <f>IF(TRIM(A28&amp;"")="","",IF(T28&lt;&gt;"",IF(INDEX('Form Calc'!$K:$K,T28)&lt;&gt;"",INDEX('Form Calc'!$K:$K,T28),J28&amp;""),J28&amp;""))</f>
        <v/>
      </c>
      <c r="Y28" s="32">
        <f>IF(TRIM(A28&amp;"")="","",IF(TRIM(D28&amp;"")&lt;&gt;"",TRIM(D28&amp;""),IF(T28&lt;&gt;"",INDEX('Form Calc'!$C:$C,T28)&amp;"","")))</f>
        <v/>
      </c>
      <c r="Z28" s="32">
        <f>SUBSTITUTE(SUBSTITUTE(SUBSTITUTE(SUBSTITUTE(SUBSTITUTE(SUBSTITUTE(SUBSTITUTE(SUBSTITUTE(Y28," ",""),"-",""),"(",""),")",""),".",""),"+",""),"/",""),CHAR(160),"")</f>
        <v/>
      </c>
      <c r="AA28" s="32">
        <f>IF(Z28="","",IF(LEN(Z28)=10,"+1"&amp;Z28,IF(AND(LEN(Z28)=11,LEFT(Z28,1)="1"),"+"&amp;Z28,IF(LEFT(Y28,1)="+","+"&amp;Z28,Z28))))</f>
        <v/>
      </c>
      <c r="AB28" s="32">
        <f>IF(TRIM(A28&amp;"")="","",IF(TRIM(M28&amp;"")&lt;&gt;"",TRIM(M28&amp;""),IFERROR(LEFT(TRIM(A28&amp;""),FIND(" ",TRIM(A28&amp;""))-1),TRIM(A28&amp;""))))</f>
        <v/>
      </c>
      <c r="AC28" s="32">
        <f>SUBSTITUTE(SUBSTITUTE(SUBSTITUTE(SUBSTITUTE(SUBSTITUTE(SUBSTITUTE(SUBSTITUTE(SUBSTITUTE(SUBSTITUTE(SUBSTITUTE(AB28,"%","%25"),"&amp;","%26"),"#","%23"),"+","%2B"),"=","%3D"),"?","%3F"),CHAR(34),"%22"),CHAR(10),"%0A"),CHAR(13),"")," ","+")</f>
        <v/>
      </c>
      <c r="AD28" s="32">
        <f>IF(OR(AA28="",AB28=""),"",'Start Here'!$B$20&amp;"#p="&amp;SUBSTITUTE(AA28,"+","%2B")&amp;"&amp;n="&amp;AC28&amp;"&amp;m="&amp;SUBSTITUTE('Start Here'!$B$24,"{name}",AC28))</f>
        <v/>
      </c>
      <c r="AE28" s="32">
        <f>LEN(AD28)</f>
        <v/>
      </c>
      <c r="AF28" s="32">
        <f>IF(AND(TRIM(A28&amp;"")&lt;&gt;"",OR(B28="Awaiting",B28="Not sure yet")),1,0)</f>
        <v/>
      </c>
      <c r="AG28" s="32">
        <f>N(AG27)+AF28</f>
        <v/>
      </c>
      <c r="AH28" s="32">
        <f>IF(AF28=1,AG28,"")</f>
        <v/>
      </c>
      <c r="AI28" s="32">
        <f>IF(AND(TRIM(A28&amp;"")&lt;&gt;"",L28&amp;""&lt;&gt;"",L28&amp;""=Seating!$I$3&amp;"",B28&lt;&gt;"Declined"),1,0)</f>
        <v/>
      </c>
      <c r="AJ28" s="32">
        <f>N(AJ27)+AI28</f>
        <v/>
      </c>
      <c r="AK28" s="32">
        <f>IF(AI28=1,AJ28,"")</f>
        <v/>
      </c>
    </row>
    <row r="29">
      <c r="A29" s="10" t="n"/>
      <c r="B29" s="47">
        <f>IF(TRIM(A29&amp;"")="","",IF(W29&lt;&gt;"",W29,IF(I29="","Awaiting",I29)))</f>
        <v/>
      </c>
      <c r="C29" s="60">
        <f>IF(OR(B29="Awaiting",B29="Not sure yet"),IF(AD29&lt;&gt;"",HYPERLINK(AD29,"💬 Remind"),"add mobile"),"")</f>
        <v/>
      </c>
      <c r="D29" s="58" t="n"/>
      <c r="E29" s="10" t="n"/>
      <c r="F29" s="10" t="n"/>
      <c r="G29" s="10" t="n"/>
      <c r="H29" s="10" t="n"/>
      <c r="I29" s="10" t="n"/>
      <c r="J29" s="10" t="n"/>
      <c r="K29" s="10" t="n"/>
      <c r="L29" s="56" t="n"/>
      <c r="M29" s="10" t="n"/>
      <c r="N29" s="12" t="n"/>
      <c r="O29" s="10" t="n"/>
      <c r="P29" s="10" t="n"/>
      <c r="Q29" s="61">
        <f>IF(V29="","",IF(T29="","Covered by "&amp;INDEX('Form Calc'!$B:$B,V29)&amp;"'s reply (same party)","Replied "&amp;TEXT(INDEX('Form Calc'!$A:$A,T29),"mm/dd")&amp;" · "&amp;INDEX('Form Calc'!$H:$H,T29)&amp;" adult(s), "&amp;INDEX('Form Calc'!$I:$I,T29)&amp;" child(ren)"&amp;IF(INDEX('Form Calc'!$K:$K,T29)&lt;&gt;""," · "&amp;INDEX('Form Calc'!$K:$K,T29),"")&amp;IF(INDEX('Form Calc'!$M:$M,T29)&lt;&gt;""," · “"&amp;INDEX('Form Calc'!$M:$M,T29)&amp;"”","")))</f>
        <v/>
      </c>
      <c r="R29" s="32">
        <f>SUBSTITUTE(SUBSTITUTE(SUBSTITUTE(SUBSTITUTE(SUBSTITUTE(SUBSTITUTE(SUBSTITUTE(SUBSTITUTE(D29&amp;""," ",""),"-",""),"(",""),")",""),".",""),"+",""),"/",""),CHAR(160),"")</f>
        <v/>
      </c>
      <c r="S29" s="32">
        <f>IF(LEN(R29)&gt;=10,RIGHT(R29,10),R29)</f>
        <v/>
      </c>
      <c r="T29" s="32">
        <f>IF(TRIM(A29&amp;"")="","",IF(S29&lt;&gt;"",IFERROR(MATCH(S29,'Form Calc'!$P:$P,0),IFERROR(MATCH(TRIM(A29&amp;""),'Form Calc'!$Q:$Q,0),"")),IFERROR(MATCH(TRIM(A29&amp;""),'Form Calc'!$Q:$Q,0),"")))</f>
        <v/>
      </c>
      <c r="U29" s="32">
        <f>IF(AND(T29&lt;&gt;"",TRIM(E29&amp;"")&lt;&gt;""),TRIM(E29&amp;""),"")</f>
        <v/>
      </c>
      <c r="V29" s="32">
        <f>IF(TRIM(A29&amp;"")="","",IF(T29&lt;&gt;"",T29,IF(TRIM(E29&amp;"")="","",IFERROR(INDEX($T$6:$T$505,MATCH(TRIM(E29&amp;""),$U$6:$U$505,0)),""))))</f>
        <v/>
      </c>
      <c r="W29" s="32">
        <f>IF(V29="","",INDEX('Form Calc'!$G:$G,V29))</f>
        <v/>
      </c>
      <c r="X29" s="32">
        <f>IF(TRIM(A29&amp;"")="","",IF(T29&lt;&gt;"",IF(INDEX('Form Calc'!$K:$K,T29)&lt;&gt;"",INDEX('Form Calc'!$K:$K,T29),J29&amp;""),J29&amp;""))</f>
        <v/>
      </c>
      <c r="Y29" s="32">
        <f>IF(TRIM(A29&amp;"")="","",IF(TRIM(D29&amp;"")&lt;&gt;"",TRIM(D29&amp;""),IF(T29&lt;&gt;"",INDEX('Form Calc'!$C:$C,T29)&amp;"","")))</f>
        <v/>
      </c>
      <c r="Z29" s="32">
        <f>SUBSTITUTE(SUBSTITUTE(SUBSTITUTE(SUBSTITUTE(SUBSTITUTE(SUBSTITUTE(SUBSTITUTE(SUBSTITUTE(Y29," ",""),"-",""),"(",""),")",""),".",""),"+",""),"/",""),CHAR(160),"")</f>
        <v/>
      </c>
      <c r="AA29" s="32">
        <f>IF(Z29="","",IF(LEN(Z29)=10,"+1"&amp;Z29,IF(AND(LEN(Z29)=11,LEFT(Z29,1)="1"),"+"&amp;Z29,IF(LEFT(Y29,1)="+","+"&amp;Z29,Z29))))</f>
        <v/>
      </c>
      <c r="AB29" s="32">
        <f>IF(TRIM(A29&amp;"")="","",IF(TRIM(M29&amp;"")&lt;&gt;"",TRIM(M29&amp;""),IFERROR(LEFT(TRIM(A29&amp;""),FIND(" ",TRIM(A29&amp;""))-1),TRIM(A29&amp;""))))</f>
        <v/>
      </c>
      <c r="AC29" s="32">
        <f>SUBSTITUTE(SUBSTITUTE(SUBSTITUTE(SUBSTITUTE(SUBSTITUTE(SUBSTITUTE(SUBSTITUTE(SUBSTITUTE(SUBSTITUTE(SUBSTITUTE(AB29,"%","%25"),"&amp;","%26"),"#","%23"),"+","%2B"),"=","%3D"),"?","%3F"),CHAR(34),"%22"),CHAR(10),"%0A"),CHAR(13),"")," ","+")</f>
        <v/>
      </c>
      <c r="AD29" s="32">
        <f>IF(OR(AA29="",AB29=""),"",'Start Here'!$B$20&amp;"#p="&amp;SUBSTITUTE(AA29,"+","%2B")&amp;"&amp;n="&amp;AC29&amp;"&amp;m="&amp;SUBSTITUTE('Start Here'!$B$24,"{name}",AC29))</f>
        <v/>
      </c>
      <c r="AE29" s="32">
        <f>LEN(AD29)</f>
        <v/>
      </c>
      <c r="AF29" s="32">
        <f>IF(AND(TRIM(A29&amp;"")&lt;&gt;"",OR(B29="Awaiting",B29="Not sure yet")),1,0)</f>
        <v/>
      </c>
      <c r="AG29" s="32">
        <f>N(AG28)+AF29</f>
        <v/>
      </c>
      <c r="AH29" s="32">
        <f>IF(AF29=1,AG29,"")</f>
        <v/>
      </c>
      <c r="AI29" s="32">
        <f>IF(AND(TRIM(A29&amp;"")&lt;&gt;"",L29&amp;""&lt;&gt;"",L29&amp;""=Seating!$I$3&amp;"",B29&lt;&gt;"Declined"),1,0)</f>
        <v/>
      </c>
      <c r="AJ29" s="32">
        <f>N(AJ28)+AI29</f>
        <v/>
      </c>
      <c r="AK29" s="32">
        <f>IF(AI29=1,AJ29,"")</f>
        <v/>
      </c>
    </row>
    <row r="30">
      <c r="A30" s="10" t="n"/>
      <c r="B30" s="47">
        <f>IF(TRIM(A30&amp;"")="","",IF(W30&lt;&gt;"",W30,IF(I30="","Awaiting",I30)))</f>
        <v/>
      </c>
      <c r="C30" s="60">
        <f>IF(OR(B30="Awaiting",B30="Not sure yet"),IF(AD30&lt;&gt;"",HYPERLINK(AD30,"💬 Remind"),"add mobile"),"")</f>
        <v/>
      </c>
      <c r="D30" s="58" t="n"/>
      <c r="E30" s="10" t="n"/>
      <c r="F30" s="10" t="n"/>
      <c r="G30" s="10" t="n"/>
      <c r="H30" s="10" t="n"/>
      <c r="I30" s="10" t="n"/>
      <c r="J30" s="10" t="n"/>
      <c r="K30" s="10" t="n"/>
      <c r="L30" s="56" t="n"/>
      <c r="M30" s="10" t="n"/>
      <c r="N30" s="12" t="n"/>
      <c r="O30" s="10" t="n"/>
      <c r="P30" s="10" t="n"/>
      <c r="Q30" s="61">
        <f>IF(V30="","",IF(T30="","Covered by "&amp;INDEX('Form Calc'!$B:$B,V30)&amp;"'s reply (same party)","Replied "&amp;TEXT(INDEX('Form Calc'!$A:$A,T30),"mm/dd")&amp;" · "&amp;INDEX('Form Calc'!$H:$H,T30)&amp;" adult(s), "&amp;INDEX('Form Calc'!$I:$I,T30)&amp;" child(ren)"&amp;IF(INDEX('Form Calc'!$K:$K,T30)&lt;&gt;""," · "&amp;INDEX('Form Calc'!$K:$K,T30),"")&amp;IF(INDEX('Form Calc'!$M:$M,T30)&lt;&gt;""," · “"&amp;INDEX('Form Calc'!$M:$M,T30)&amp;"”","")))</f>
        <v/>
      </c>
      <c r="R30" s="32">
        <f>SUBSTITUTE(SUBSTITUTE(SUBSTITUTE(SUBSTITUTE(SUBSTITUTE(SUBSTITUTE(SUBSTITUTE(SUBSTITUTE(D30&amp;""," ",""),"-",""),"(",""),")",""),".",""),"+",""),"/",""),CHAR(160),"")</f>
        <v/>
      </c>
      <c r="S30" s="32">
        <f>IF(LEN(R30)&gt;=10,RIGHT(R30,10),R30)</f>
        <v/>
      </c>
      <c r="T30" s="32">
        <f>IF(TRIM(A30&amp;"")="","",IF(S30&lt;&gt;"",IFERROR(MATCH(S30,'Form Calc'!$P:$P,0),IFERROR(MATCH(TRIM(A30&amp;""),'Form Calc'!$Q:$Q,0),"")),IFERROR(MATCH(TRIM(A30&amp;""),'Form Calc'!$Q:$Q,0),"")))</f>
        <v/>
      </c>
      <c r="U30" s="32">
        <f>IF(AND(T30&lt;&gt;"",TRIM(E30&amp;"")&lt;&gt;""),TRIM(E30&amp;""),"")</f>
        <v/>
      </c>
      <c r="V30" s="32">
        <f>IF(TRIM(A30&amp;"")="","",IF(T30&lt;&gt;"",T30,IF(TRIM(E30&amp;"")="","",IFERROR(INDEX($T$6:$T$505,MATCH(TRIM(E30&amp;""),$U$6:$U$505,0)),""))))</f>
        <v/>
      </c>
      <c r="W30" s="32">
        <f>IF(V30="","",INDEX('Form Calc'!$G:$G,V30))</f>
        <v/>
      </c>
      <c r="X30" s="32">
        <f>IF(TRIM(A30&amp;"")="","",IF(T30&lt;&gt;"",IF(INDEX('Form Calc'!$K:$K,T30)&lt;&gt;"",INDEX('Form Calc'!$K:$K,T30),J30&amp;""),J30&amp;""))</f>
        <v/>
      </c>
      <c r="Y30" s="32">
        <f>IF(TRIM(A30&amp;"")="","",IF(TRIM(D30&amp;"")&lt;&gt;"",TRIM(D30&amp;""),IF(T30&lt;&gt;"",INDEX('Form Calc'!$C:$C,T30)&amp;"","")))</f>
        <v/>
      </c>
      <c r="Z30" s="32">
        <f>SUBSTITUTE(SUBSTITUTE(SUBSTITUTE(SUBSTITUTE(SUBSTITUTE(SUBSTITUTE(SUBSTITUTE(SUBSTITUTE(Y30," ",""),"-",""),"(",""),")",""),".",""),"+",""),"/",""),CHAR(160),"")</f>
        <v/>
      </c>
      <c r="AA30" s="32">
        <f>IF(Z30="","",IF(LEN(Z30)=10,"+1"&amp;Z30,IF(AND(LEN(Z30)=11,LEFT(Z30,1)="1"),"+"&amp;Z30,IF(LEFT(Y30,1)="+","+"&amp;Z30,Z30))))</f>
        <v/>
      </c>
      <c r="AB30" s="32">
        <f>IF(TRIM(A30&amp;"")="","",IF(TRIM(M30&amp;"")&lt;&gt;"",TRIM(M30&amp;""),IFERROR(LEFT(TRIM(A30&amp;""),FIND(" ",TRIM(A30&amp;""))-1),TRIM(A30&amp;""))))</f>
        <v/>
      </c>
      <c r="AC30" s="32">
        <f>SUBSTITUTE(SUBSTITUTE(SUBSTITUTE(SUBSTITUTE(SUBSTITUTE(SUBSTITUTE(SUBSTITUTE(SUBSTITUTE(SUBSTITUTE(SUBSTITUTE(AB30,"%","%25"),"&amp;","%26"),"#","%23"),"+","%2B"),"=","%3D"),"?","%3F"),CHAR(34),"%22"),CHAR(10),"%0A"),CHAR(13),"")," ","+")</f>
        <v/>
      </c>
      <c r="AD30" s="32">
        <f>IF(OR(AA30="",AB30=""),"",'Start Here'!$B$20&amp;"#p="&amp;SUBSTITUTE(AA30,"+","%2B")&amp;"&amp;n="&amp;AC30&amp;"&amp;m="&amp;SUBSTITUTE('Start Here'!$B$24,"{name}",AC30))</f>
        <v/>
      </c>
      <c r="AE30" s="32">
        <f>LEN(AD30)</f>
        <v/>
      </c>
      <c r="AF30" s="32">
        <f>IF(AND(TRIM(A30&amp;"")&lt;&gt;"",OR(B30="Awaiting",B30="Not sure yet")),1,0)</f>
        <v/>
      </c>
      <c r="AG30" s="32">
        <f>N(AG29)+AF30</f>
        <v/>
      </c>
      <c r="AH30" s="32">
        <f>IF(AF30=1,AG30,"")</f>
        <v/>
      </c>
      <c r="AI30" s="32">
        <f>IF(AND(TRIM(A30&amp;"")&lt;&gt;"",L30&amp;""&lt;&gt;"",L30&amp;""=Seating!$I$3&amp;"",B30&lt;&gt;"Declined"),1,0)</f>
        <v/>
      </c>
      <c r="AJ30" s="32">
        <f>N(AJ29)+AI30</f>
        <v/>
      </c>
      <c r="AK30" s="32">
        <f>IF(AI30=1,AJ30,"")</f>
        <v/>
      </c>
    </row>
    <row r="31">
      <c r="A31" s="10" t="n"/>
      <c r="B31" s="47">
        <f>IF(TRIM(A31&amp;"")="","",IF(W31&lt;&gt;"",W31,IF(I31="","Awaiting",I31)))</f>
        <v/>
      </c>
      <c r="C31" s="60">
        <f>IF(OR(B31="Awaiting",B31="Not sure yet"),IF(AD31&lt;&gt;"",HYPERLINK(AD31,"💬 Remind"),"add mobile"),"")</f>
        <v/>
      </c>
      <c r="D31" s="58" t="n"/>
      <c r="E31" s="10" t="n"/>
      <c r="F31" s="10" t="n"/>
      <c r="G31" s="10" t="n"/>
      <c r="H31" s="10" t="n"/>
      <c r="I31" s="10" t="n"/>
      <c r="J31" s="10" t="n"/>
      <c r="K31" s="10" t="n"/>
      <c r="L31" s="56" t="n"/>
      <c r="M31" s="10" t="n"/>
      <c r="N31" s="12" t="n"/>
      <c r="O31" s="10" t="n"/>
      <c r="P31" s="10" t="n"/>
      <c r="Q31" s="61">
        <f>IF(V31="","",IF(T31="","Covered by "&amp;INDEX('Form Calc'!$B:$B,V31)&amp;"'s reply (same party)","Replied "&amp;TEXT(INDEX('Form Calc'!$A:$A,T31),"mm/dd")&amp;" · "&amp;INDEX('Form Calc'!$H:$H,T31)&amp;" adult(s), "&amp;INDEX('Form Calc'!$I:$I,T31)&amp;" child(ren)"&amp;IF(INDEX('Form Calc'!$K:$K,T31)&lt;&gt;""," · "&amp;INDEX('Form Calc'!$K:$K,T31),"")&amp;IF(INDEX('Form Calc'!$M:$M,T31)&lt;&gt;""," · “"&amp;INDEX('Form Calc'!$M:$M,T31)&amp;"”","")))</f>
        <v/>
      </c>
      <c r="R31" s="32">
        <f>SUBSTITUTE(SUBSTITUTE(SUBSTITUTE(SUBSTITUTE(SUBSTITUTE(SUBSTITUTE(SUBSTITUTE(SUBSTITUTE(D31&amp;""," ",""),"-",""),"(",""),")",""),".",""),"+",""),"/",""),CHAR(160),"")</f>
        <v/>
      </c>
      <c r="S31" s="32">
        <f>IF(LEN(R31)&gt;=10,RIGHT(R31,10),R31)</f>
        <v/>
      </c>
      <c r="T31" s="32">
        <f>IF(TRIM(A31&amp;"")="","",IF(S31&lt;&gt;"",IFERROR(MATCH(S31,'Form Calc'!$P:$P,0),IFERROR(MATCH(TRIM(A31&amp;""),'Form Calc'!$Q:$Q,0),"")),IFERROR(MATCH(TRIM(A31&amp;""),'Form Calc'!$Q:$Q,0),"")))</f>
        <v/>
      </c>
      <c r="U31" s="32">
        <f>IF(AND(T31&lt;&gt;"",TRIM(E31&amp;"")&lt;&gt;""),TRIM(E31&amp;""),"")</f>
        <v/>
      </c>
      <c r="V31" s="32">
        <f>IF(TRIM(A31&amp;"")="","",IF(T31&lt;&gt;"",T31,IF(TRIM(E31&amp;"")="","",IFERROR(INDEX($T$6:$T$505,MATCH(TRIM(E31&amp;""),$U$6:$U$505,0)),""))))</f>
        <v/>
      </c>
      <c r="W31" s="32">
        <f>IF(V31="","",INDEX('Form Calc'!$G:$G,V31))</f>
        <v/>
      </c>
      <c r="X31" s="32">
        <f>IF(TRIM(A31&amp;"")="","",IF(T31&lt;&gt;"",IF(INDEX('Form Calc'!$K:$K,T31)&lt;&gt;"",INDEX('Form Calc'!$K:$K,T31),J31&amp;""),J31&amp;""))</f>
        <v/>
      </c>
      <c r="Y31" s="32">
        <f>IF(TRIM(A31&amp;"")="","",IF(TRIM(D31&amp;"")&lt;&gt;"",TRIM(D31&amp;""),IF(T31&lt;&gt;"",INDEX('Form Calc'!$C:$C,T31)&amp;"","")))</f>
        <v/>
      </c>
      <c r="Z31" s="32">
        <f>SUBSTITUTE(SUBSTITUTE(SUBSTITUTE(SUBSTITUTE(SUBSTITUTE(SUBSTITUTE(SUBSTITUTE(SUBSTITUTE(Y31," ",""),"-",""),"(",""),")",""),".",""),"+",""),"/",""),CHAR(160),"")</f>
        <v/>
      </c>
      <c r="AA31" s="32">
        <f>IF(Z31="","",IF(LEN(Z31)=10,"+1"&amp;Z31,IF(AND(LEN(Z31)=11,LEFT(Z31,1)="1"),"+"&amp;Z31,IF(LEFT(Y31,1)="+","+"&amp;Z31,Z31))))</f>
        <v/>
      </c>
      <c r="AB31" s="32">
        <f>IF(TRIM(A31&amp;"")="","",IF(TRIM(M31&amp;"")&lt;&gt;"",TRIM(M31&amp;""),IFERROR(LEFT(TRIM(A31&amp;""),FIND(" ",TRIM(A31&amp;""))-1),TRIM(A31&amp;""))))</f>
        <v/>
      </c>
      <c r="AC31" s="32">
        <f>SUBSTITUTE(SUBSTITUTE(SUBSTITUTE(SUBSTITUTE(SUBSTITUTE(SUBSTITUTE(SUBSTITUTE(SUBSTITUTE(SUBSTITUTE(SUBSTITUTE(AB31,"%","%25"),"&amp;","%26"),"#","%23"),"+","%2B"),"=","%3D"),"?","%3F"),CHAR(34),"%22"),CHAR(10),"%0A"),CHAR(13),"")," ","+")</f>
        <v/>
      </c>
      <c r="AD31" s="32">
        <f>IF(OR(AA31="",AB31=""),"",'Start Here'!$B$20&amp;"#p="&amp;SUBSTITUTE(AA31,"+","%2B")&amp;"&amp;n="&amp;AC31&amp;"&amp;m="&amp;SUBSTITUTE('Start Here'!$B$24,"{name}",AC31))</f>
        <v/>
      </c>
      <c r="AE31" s="32">
        <f>LEN(AD31)</f>
        <v/>
      </c>
      <c r="AF31" s="32">
        <f>IF(AND(TRIM(A31&amp;"")&lt;&gt;"",OR(B31="Awaiting",B31="Not sure yet")),1,0)</f>
        <v/>
      </c>
      <c r="AG31" s="32">
        <f>N(AG30)+AF31</f>
        <v/>
      </c>
      <c r="AH31" s="32">
        <f>IF(AF31=1,AG31,"")</f>
        <v/>
      </c>
      <c r="AI31" s="32">
        <f>IF(AND(TRIM(A31&amp;"")&lt;&gt;"",L31&amp;""&lt;&gt;"",L31&amp;""=Seating!$I$3&amp;"",B31&lt;&gt;"Declined"),1,0)</f>
        <v/>
      </c>
      <c r="AJ31" s="32">
        <f>N(AJ30)+AI31</f>
        <v/>
      </c>
      <c r="AK31" s="32">
        <f>IF(AI31=1,AJ31,"")</f>
        <v/>
      </c>
    </row>
    <row r="32">
      <c r="A32" s="10" t="n"/>
      <c r="B32" s="47">
        <f>IF(TRIM(A32&amp;"")="","",IF(W32&lt;&gt;"",W32,IF(I32="","Awaiting",I32)))</f>
        <v/>
      </c>
      <c r="C32" s="60">
        <f>IF(OR(B32="Awaiting",B32="Not sure yet"),IF(AD32&lt;&gt;"",HYPERLINK(AD32,"💬 Remind"),"add mobile"),"")</f>
        <v/>
      </c>
      <c r="D32" s="58" t="n"/>
      <c r="E32" s="10" t="n"/>
      <c r="F32" s="10" t="n"/>
      <c r="G32" s="10" t="n"/>
      <c r="H32" s="10" t="n"/>
      <c r="I32" s="10" t="n"/>
      <c r="J32" s="10" t="n"/>
      <c r="K32" s="10" t="n"/>
      <c r="L32" s="56" t="n"/>
      <c r="M32" s="10" t="n"/>
      <c r="N32" s="12" t="n"/>
      <c r="O32" s="10" t="n"/>
      <c r="P32" s="10" t="n"/>
      <c r="Q32" s="61">
        <f>IF(V32="","",IF(T32="","Covered by "&amp;INDEX('Form Calc'!$B:$B,V32)&amp;"'s reply (same party)","Replied "&amp;TEXT(INDEX('Form Calc'!$A:$A,T32),"mm/dd")&amp;" · "&amp;INDEX('Form Calc'!$H:$H,T32)&amp;" adult(s), "&amp;INDEX('Form Calc'!$I:$I,T32)&amp;" child(ren)"&amp;IF(INDEX('Form Calc'!$K:$K,T32)&lt;&gt;""," · "&amp;INDEX('Form Calc'!$K:$K,T32),"")&amp;IF(INDEX('Form Calc'!$M:$M,T32)&lt;&gt;""," · “"&amp;INDEX('Form Calc'!$M:$M,T32)&amp;"”","")))</f>
        <v/>
      </c>
      <c r="R32" s="32">
        <f>SUBSTITUTE(SUBSTITUTE(SUBSTITUTE(SUBSTITUTE(SUBSTITUTE(SUBSTITUTE(SUBSTITUTE(SUBSTITUTE(D32&amp;""," ",""),"-",""),"(",""),")",""),".",""),"+",""),"/",""),CHAR(160),"")</f>
        <v/>
      </c>
      <c r="S32" s="32">
        <f>IF(LEN(R32)&gt;=10,RIGHT(R32,10),R32)</f>
        <v/>
      </c>
      <c r="T32" s="32">
        <f>IF(TRIM(A32&amp;"")="","",IF(S32&lt;&gt;"",IFERROR(MATCH(S32,'Form Calc'!$P:$P,0),IFERROR(MATCH(TRIM(A32&amp;""),'Form Calc'!$Q:$Q,0),"")),IFERROR(MATCH(TRIM(A32&amp;""),'Form Calc'!$Q:$Q,0),"")))</f>
        <v/>
      </c>
      <c r="U32" s="32">
        <f>IF(AND(T32&lt;&gt;"",TRIM(E32&amp;"")&lt;&gt;""),TRIM(E32&amp;""),"")</f>
        <v/>
      </c>
      <c r="V32" s="32">
        <f>IF(TRIM(A32&amp;"")="","",IF(T32&lt;&gt;"",T32,IF(TRIM(E32&amp;"")="","",IFERROR(INDEX($T$6:$T$505,MATCH(TRIM(E32&amp;""),$U$6:$U$505,0)),""))))</f>
        <v/>
      </c>
      <c r="W32" s="32">
        <f>IF(V32="","",INDEX('Form Calc'!$G:$G,V32))</f>
        <v/>
      </c>
      <c r="X32" s="32">
        <f>IF(TRIM(A32&amp;"")="","",IF(T32&lt;&gt;"",IF(INDEX('Form Calc'!$K:$K,T32)&lt;&gt;"",INDEX('Form Calc'!$K:$K,T32),J32&amp;""),J32&amp;""))</f>
        <v/>
      </c>
      <c r="Y32" s="32">
        <f>IF(TRIM(A32&amp;"")="","",IF(TRIM(D32&amp;"")&lt;&gt;"",TRIM(D32&amp;""),IF(T32&lt;&gt;"",INDEX('Form Calc'!$C:$C,T32)&amp;"","")))</f>
        <v/>
      </c>
      <c r="Z32" s="32">
        <f>SUBSTITUTE(SUBSTITUTE(SUBSTITUTE(SUBSTITUTE(SUBSTITUTE(SUBSTITUTE(SUBSTITUTE(SUBSTITUTE(Y32," ",""),"-",""),"(",""),")",""),".",""),"+",""),"/",""),CHAR(160),"")</f>
        <v/>
      </c>
      <c r="AA32" s="32">
        <f>IF(Z32="","",IF(LEN(Z32)=10,"+1"&amp;Z32,IF(AND(LEN(Z32)=11,LEFT(Z32,1)="1"),"+"&amp;Z32,IF(LEFT(Y32,1)="+","+"&amp;Z32,Z32))))</f>
        <v/>
      </c>
      <c r="AB32" s="32">
        <f>IF(TRIM(A32&amp;"")="","",IF(TRIM(M32&amp;"")&lt;&gt;"",TRIM(M32&amp;""),IFERROR(LEFT(TRIM(A32&amp;""),FIND(" ",TRIM(A32&amp;""))-1),TRIM(A32&amp;""))))</f>
        <v/>
      </c>
      <c r="AC32" s="32">
        <f>SUBSTITUTE(SUBSTITUTE(SUBSTITUTE(SUBSTITUTE(SUBSTITUTE(SUBSTITUTE(SUBSTITUTE(SUBSTITUTE(SUBSTITUTE(SUBSTITUTE(AB32,"%","%25"),"&amp;","%26"),"#","%23"),"+","%2B"),"=","%3D"),"?","%3F"),CHAR(34),"%22"),CHAR(10),"%0A"),CHAR(13),"")," ","+")</f>
        <v/>
      </c>
      <c r="AD32" s="32">
        <f>IF(OR(AA32="",AB32=""),"",'Start Here'!$B$20&amp;"#p="&amp;SUBSTITUTE(AA32,"+","%2B")&amp;"&amp;n="&amp;AC32&amp;"&amp;m="&amp;SUBSTITUTE('Start Here'!$B$24,"{name}",AC32))</f>
        <v/>
      </c>
      <c r="AE32" s="32">
        <f>LEN(AD32)</f>
        <v/>
      </c>
      <c r="AF32" s="32">
        <f>IF(AND(TRIM(A32&amp;"")&lt;&gt;"",OR(B32="Awaiting",B32="Not sure yet")),1,0)</f>
        <v/>
      </c>
      <c r="AG32" s="32">
        <f>N(AG31)+AF32</f>
        <v/>
      </c>
      <c r="AH32" s="32">
        <f>IF(AF32=1,AG32,"")</f>
        <v/>
      </c>
      <c r="AI32" s="32">
        <f>IF(AND(TRIM(A32&amp;"")&lt;&gt;"",L32&amp;""&lt;&gt;"",L32&amp;""=Seating!$I$3&amp;"",B32&lt;&gt;"Declined"),1,0)</f>
        <v/>
      </c>
      <c r="AJ32" s="32">
        <f>N(AJ31)+AI32</f>
        <v/>
      </c>
      <c r="AK32" s="32">
        <f>IF(AI32=1,AJ32,"")</f>
        <v/>
      </c>
    </row>
    <row r="33">
      <c r="A33" s="10" t="n"/>
      <c r="B33" s="47">
        <f>IF(TRIM(A33&amp;"")="","",IF(W33&lt;&gt;"",W33,IF(I33="","Awaiting",I33)))</f>
        <v/>
      </c>
      <c r="C33" s="60">
        <f>IF(OR(B33="Awaiting",B33="Not sure yet"),IF(AD33&lt;&gt;"",HYPERLINK(AD33,"💬 Remind"),"add mobile"),"")</f>
        <v/>
      </c>
      <c r="D33" s="58" t="n"/>
      <c r="E33" s="10" t="n"/>
      <c r="F33" s="10" t="n"/>
      <c r="G33" s="10" t="n"/>
      <c r="H33" s="10" t="n"/>
      <c r="I33" s="10" t="n"/>
      <c r="J33" s="10" t="n"/>
      <c r="K33" s="10" t="n"/>
      <c r="L33" s="56" t="n"/>
      <c r="M33" s="10" t="n"/>
      <c r="N33" s="12" t="n"/>
      <c r="O33" s="10" t="n"/>
      <c r="P33" s="10" t="n"/>
      <c r="Q33" s="61">
        <f>IF(V33="","",IF(T33="","Covered by "&amp;INDEX('Form Calc'!$B:$B,V33)&amp;"'s reply (same party)","Replied "&amp;TEXT(INDEX('Form Calc'!$A:$A,T33),"mm/dd")&amp;" · "&amp;INDEX('Form Calc'!$H:$H,T33)&amp;" adult(s), "&amp;INDEX('Form Calc'!$I:$I,T33)&amp;" child(ren)"&amp;IF(INDEX('Form Calc'!$K:$K,T33)&lt;&gt;""," · "&amp;INDEX('Form Calc'!$K:$K,T33),"")&amp;IF(INDEX('Form Calc'!$M:$M,T33)&lt;&gt;""," · “"&amp;INDEX('Form Calc'!$M:$M,T33)&amp;"”","")))</f>
        <v/>
      </c>
      <c r="R33" s="32">
        <f>SUBSTITUTE(SUBSTITUTE(SUBSTITUTE(SUBSTITUTE(SUBSTITUTE(SUBSTITUTE(SUBSTITUTE(SUBSTITUTE(D33&amp;""," ",""),"-",""),"(",""),")",""),".",""),"+",""),"/",""),CHAR(160),"")</f>
        <v/>
      </c>
      <c r="S33" s="32">
        <f>IF(LEN(R33)&gt;=10,RIGHT(R33,10),R33)</f>
        <v/>
      </c>
      <c r="T33" s="32">
        <f>IF(TRIM(A33&amp;"")="","",IF(S33&lt;&gt;"",IFERROR(MATCH(S33,'Form Calc'!$P:$P,0),IFERROR(MATCH(TRIM(A33&amp;""),'Form Calc'!$Q:$Q,0),"")),IFERROR(MATCH(TRIM(A33&amp;""),'Form Calc'!$Q:$Q,0),"")))</f>
        <v/>
      </c>
      <c r="U33" s="32">
        <f>IF(AND(T33&lt;&gt;"",TRIM(E33&amp;"")&lt;&gt;""),TRIM(E33&amp;""),"")</f>
        <v/>
      </c>
      <c r="V33" s="32">
        <f>IF(TRIM(A33&amp;"")="","",IF(T33&lt;&gt;"",T33,IF(TRIM(E33&amp;"")="","",IFERROR(INDEX($T$6:$T$505,MATCH(TRIM(E33&amp;""),$U$6:$U$505,0)),""))))</f>
        <v/>
      </c>
      <c r="W33" s="32">
        <f>IF(V33="","",INDEX('Form Calc'!$G:$G,V33))</f>
        <v/>
      </c>
      <c r="X33" s="32">
        <f>IF(TRIM(A33&amp;"")="","",IF(T33&lt;&gt;"",IF(INDEX('Form Calc'!$K:$K,T33)&lt;&gt;"",INDEX('Form Calc'!$K:$K,T33),J33&amp;""),J33&amp;""))</f>
        <v/>
      </c>
      <c r="Y33" s="32">
        <f>IF(TRIM(A33&amp;"")="","",IF(TRIM(D33&amp;"")&lt;&gt;"",TRIM(D33&amp;""),IF(T33&lt;&gt;"",INDEX('Form Calc'!$C:$C,T33)&amp;"","")))</f>
        <v/>
      </c>
      <c r="Z33" s="32">
        <f>SUBSTITUTE(SUBSTITUTE(SUBSTITUTE(SUBSTITUTE(SUBSTITUTE(SUBSTITUTE(SUBSTITUTE(SUBSTITUTE(Y33," ",""),"-",""),"(",""),")",""),".",""),"+",""),"/",""),CHAR(160),"")</f>
        <v/>
      </c>
      <c r="AA33" s="32">
        <f>IF(Z33="","",IF(LEN(Z33)=10,"+1"&amp;Z33,IF(AND(LEN(Z33)=11,LEFT(Z33,1)="1"),"+"&amp;Z33,IF(LEFT(Y33,1)="+","+"&amp;Z33,Z33))))</f>
        <v/>
      </c>
      <c r="AB33" s="32">
        <f>IF(TRIM(A33&amp;"")="","",IF(TRIM(M33&amp;"")&lt;&gt;"",TRIM(M33&amp;""),IFERROR(LEFT(TRIM(A33&amp;""),FIND(" ",TRIM(A33&amp;""))-1),TRIM(A33&amp;""))))</f>
        <v/>
      </c>
      <c r="AC33" s="32">
        <f>SUBSTITUTE(SUBSTITUTE(SUBSTITUTE(SUBSTITUTE(SUBSTITUTE(SUBSTITUTE(SUBSTITUTE(SUBSTITUTE(SUBSTITUTE(SUBSTITUTE(AB33,"%","%25"),"&amp;","%26"),"#","%23"),"+","%2B"),"=","%3D"),"?","%3F"),CHAR(34),"%22"),CHAR(10),"%0A"),CHAR(13),"")," ","+")</f>
        <v/>
      </c>
      <c r="AD33" s="32">
        <f>IF(OR(AA33="",AB33=""),"",'Start Here'!$B$20&amp;"#p="&amp;SUBSTITUTE(AA33,"+","%2B")&amp;"&amp;n="&amp;AC33&amp;"&amp;m="&amp;SUBSTITUTE('Start Here'!$B$24,"{name}",AC33))</f>
        <v/>
      </c>
      <c r="AE33" s="32">
        <f>LEN(AD33)</f>
        <v/>
      </c>
      <c r="AF33" s="32">
        <f>IF(AND(TRIM(A33&amp;"")&lt;&gt;"",OR(B33="Awaiting",B33="Not sure yet")),1,0)</f>
        <v/>
      </c>
      <c r="AG33" s="32">
        <f>N(AG32)+AF33</f>
        <v/>
      </c>
      <c r="AH33" s="32">
        <f>IF(AF33=1,AG33,"")</f>
        <v/>
      </c>
      <c r="AI33" s="32">
        <f>IF(AND(TRIM(A33&amp;"")&lt;&gt;"",L33&amp;""&lt;&gt;"",L33&amp;""=Seating!$I$3&amp;"",B33&lt;&gt;"Declined"),1,0)</f>
        <v/>
      </c>
      <c r="AJ33" s="32">
        <f>N(AJ32)+AI33</f>
        <v/>
      </c>
      <c r="AK33" s="32">
        <f>IF(AI33=1,AJ33,"")</f>
        <v/>
      </c>
    </row>
    <row r="34">
      <c r="A34" s="10" t="n"/>
      <c r="B34" s="47">
        <f>IF(TRIM(A34&amp;"")="","",IF(W34&lt;&gt;"",W34,IF(I34="","Awaiting",I34)))</f>
        <v/>
      </c>
      <c r="C34" s="60">
        <f>IF(OR(B34="Awaiting",B34="Not sure yet"),IF(AD34&lt;&gt;"",HYPERLINK(AD34,"💬 Remind"),"add mobile"),"")</f>
        <v/>
      </c>
      <c r="D34" s="58" t="n"/>
      <c r="E34" s="10" t="n"/>
      <c r="F34" s="10" t="n"/>
      <c r="G34" s="10" t="n"/>
      <c r="H34" s="10" t="n"/>
      <c r="I34" s="10" t="n"/>
      <c r="J34" s="10" t="n"/>
      <c r="K34" s="10" t="n"/>
      <c r="L34" s="56" t="n"/>
      <c r="M34" s="10" t="n"/>
      <c r="N34" s="12" t="n"/>
      <c r="O34" s="10" t="n"/>
      <c r="P34" s="10" t="n"/>
      <c r="Q34" s="61">
        <f>IF(V34="","",IF(T34="","Covered by "&amp;INDEX('Form Calc'!$B:$B,V34)&amp;"'s reply (same party)","Replied "&amp;TEXT(INDEX('Form Calc'!$A:$A,T34),"mm/dd")&amp;" · "&amp;INDEX('Form Calc'!$H:$H,T34)&amp;" adult(s), "&amp;INDEX('Form Calc'!$I:$I,T34)&amp;" child(ren)"&amp;IF(INDEX('Form Calc'!$K:$K,T34)&lt;&gt;""," · "&amp;INDEX('Form Calc'!$K:$K,T34),"")&amp;IF(INDEX('Form Calc'!$M:$M,T34)&lt;&gt;""," · “"&amp;INDEX('Form Calc'!$M:$M,T34)&amp;"”","")))</f>
        <v/>
      </c>
      <c r="R34" s="32">
        <f>SUBSTITUTE(SUBSTITUTE(SUBSTITUTE(SUBSTITUTE(SUBSTITUTE(SUBSTITUTE(SUBSTITUTE(SUBSTITUTE(D34&amp;""," ",""),"-",""),"(",""),")",""),".",""),"+",""),"/",""),CHAR(160),"")</f>
        <v/>
      </c>
      <c r="S34" s="32">
        <f>IF(LEN(R34)&gt;=10,RIGHT(R34,10),R34)</f>
        <v/>
      </c>
      <c r="T34" s="32">
        <f>IF(TRIM(A34&amp;"")="","",IF(S34&lt;&gt;"",IFERROR(MATCH(S34,'Form Calc'!$P:$P,0),IFERROR(MATCH(TRIM(A34&amp;""),'Form Calc'!$Q:$Q,0),"")),IFERROR(MATCH(TRIM(A34&amp;""),'Form Calc'!$Q:$Q,0),"")))</f>
        <v/>
      </c>
      <c r="U34" s="32">
        <f>IF(AND(T34&lt;&gt;"",TRIM(E34&amp;"")&lt;&gt;""),TRIM(E34&amp;""),"")</f>
        <v/>
      </c>
      <c r="V34" s="32">
        <f>IF(TRIM(A34&amp;"")="","",IF(T34&lt;&gt;"",T34,IF(TRIM(E34&amp;"")="","",IFERROR(INDEX($T$6:$T$505,MATCH(TRIM(E34&amp;""),$U$6:$U$505,0)),""))))</f>
        <v/>
      </c>
      <c r="W34" s="32">
        <f>IF(V34="","",INDEX('Form Calc'!$G:$G,V34))</f>
        <v/>
      </c>
      <c r="X34" s="32">
        <f>IF(TRIM(A34&amp;"")="","",IF(T34&lt;&gt;"",IF(INDEX('Form Calc'!$K:$K,T34)&lt;&gt;"",INDEX('Form Calc'!$K:$K,T34),J34&amp;""),J34&amp;""))</f>
        <v/>
      </c>
      <c r="Y34" s="32">
        <f>IF(TRIM(A34&amp;"")="","",IF(TRIM(D34&amp;"")&lt;&gt;"",TRIM(D34&amp;""),IF(T34&lt;&gt;"",INDEX('Form Calc'!$C:$C,T34)&amp;"","")))</f>
        <v/>
      </c>
      <c r="Z34" s="32">
        <f>SUBSTITUTE(SUBSTITUTE(SUBSTITUTE(SUBSTITUTE(SUBSTITUTE(SUBSTITUTE(SUBSTITUTE(SUBSTITUTE(Y34," ",""),"-",""),"(",""),")",""),".",""),"+",""),"/",""),CHAR(160),"")</f>
        <v/>
      </c>
      <c r="AA34" s="32">
        <f>IF(Z34="","",IF(LEN(Z34)=10,"+1"&amp;Z34,IF(AND(LEN(Z34)=11,LEFT(Z34,1)="1"),"+"&amp;Z34,IF(LEFT(Y34,1)="+","+"&amp;Z34,Z34))))</f>
        <v/>
      </c>
      <c r="AB34" s="32">
        <f>IF(TRIM(A34&amp;"")="","",IF(TRIM(M34&amp;"")&lt;&gt;"",TRIM(M34&amp;""),IFERROR(LEFT(TRIM(A34&amp;""),FIND(" ",TRIM(A34&amp;""))-1),TRIM(A34&amp;""))))</f>
        <v/>
      </c>
      <c r="AC34" s="32">
        <f>SUBSTITUTE(SUBSTITUTE(SUBSTITUTE(SUBSTITUTE(SUBSTITUTE(SUBSTITUTE(SUBSTITUTE(SUBSTITUTE(SUBSTITUTE(SUBSTITUTE(AB34,"%","%25"),"&amp;","%26"),"#","%23"),"+","%2B"),"=","%3D"),"?","%3F"),CHAR(34),"%22"),CHAR(10),"%0A"),CHAR(13),"")," ","+")</f>
        <v/>
      </c>
      <c r="AD34" s="32">
        <f>IF(OR(AA34="",AB34=""),"",'Start Here'!$B$20&amp;"#p="&amp;SUBSTITUTE(AA34,"+","%2B")&amp;"&amp;n="&amp;AC34&amp;"&amp;m="&amp;SUBSTITUTE('Start Here'!$B$24,"{name}",AC34))</f>
        <v/>
      </c>
      <c r="AE34" s="32">
        <f>LEN(AD34)</f>
        <v/>
      </c>
      <c r="AF34" s="32">
        <f>IF(AND(TRIM(A34&amp;"")&lt;&gt;"",OR(B34="Awaiting",B34="Not sure yet")),1,0)</f>
        <v/>
      </c>
      <c r="AG34" s="32">
        <f>N(AG33)+AF34</f>
        <v/>
      </c>
      <c r="AH34" s="32">
        <f>IF(AF34=1,AG34,"")</f>
        <v/>
      </c>
      <c r="AI34" s="32">
        <f>IF(AND(TRIM(A34&amp;"")&lt;&gt;"",L34&amp;""&lt;&gt;"",L34&amp;""=Seating!$I$3&amp;"",B34&lt;&gt;"Declined"),1,0)</f>
        <v/>
      </c>
      <c r="AJ34" s="32">
        <f>N(AJ33)+AI34</f>
        <v/>
      </c>
      <c r="AK34" s="32">
        <f>IF(AI34=1,AJ34,"")</f>
        <v/>
      </c>
    </row>
    <row r="35">
      <c r="A35" s="10" t="n"/>
      <c r="B35" s="47">
        <f>IF(TRIM(A35&amp;"")="","",IF(W35&lt;&gt;"",W35,IF(I35="","Awaiting",I35)))</f>
        <v/>
      </c>
      <c r="C35" s="60">
        <f>IF(OR(B35="Awaiting",B35="Not sure yet"),IF(AD35&lt;&gt;"",HYPERLINK(AD35,"💬 Remind"),"add mobile"),"")</f>
        <v/>
      </c>
      <c r="D35" s="58" t="n"/>
      <c r="E35" s="10" t="n"/>
      <c r="F35" s="10" t="n"/>
      <c r="G35" s="10" t="n"/>
      <c r="H35" s="10" t="n"/>
      <c r="I35" s="10" t="n"/>
      <c r="J35" s="10" t="n"/>
      <c r="K35" s="10" t="n"/>
      <c r="L35" s="56" t="n"/>
      <c r="M35" s="10" t="n"/>
      <c r="N35" s="12" t="n"/>
      <c r="O35" s="10" t="n"/>
      <c r="P35" s="10" t="n"/>
      <c r="Q35" s="61">
        <f>IF(V35="","",IF(T35="","Covered by "&amp;INDEX('Form Calc'!$B:$B,V35)&amp;"'s reply (same party)","Replied "&amp;TEXT(INDEX('Form Calc'!$A:$A,T35),"mm/dd")&amp;" · "&amp;INDEX('Form Calc'!$H:$H,T35)&amp;" adult(s), "&amp;INDEX('Form Calc'!$I:$I,T35)&amp;" child(ren)"&amp;IF(INDEX('Form Calc'!$K:$K,T35)&lt;&gt;""," · "&amp;INDEX('Form Calc'!$K:$K,T35),"")&amp;IF(INDEX('Form Calc'!$M:$M,T35)&lt;&gt;""," · “"&amp;INDEX('Form Calc'!$M:$M,T35)&amp;"”","")))</f>
        <v/>
      </c>
      <c r="R35" s="32">
        <f>SUBSTITUTE(SUBSTITUTE(SUBSTITUTE(SUBSTITUTE(SUBSTITUTE(SUBSTITUTE(SUBSTITUTE(SUBSTITUTE(D35&amp;""," ",""),"-",""),"(",""),")",""),".",""),"+",""),"/",""),CHAR(160),"")</f>
        <v/>
      </c>
      <c r="S35" s="32">
        <f>IF(LEN(R35)&gt;=10,RIGHT(R35,10),R35)</f>
        <v/>
      </c>
      <c r="T35" s="32">
        <f>IF(TRIM(A35&amp;"")="","",IF(S35&lt;&gt;"",IFERROR(MATCH(S35,'Form Calc'!$P:$P,0),IFERROR(MATCH(TRIM(A35&amp;""),'Form Calc'!$Q:$Q,0),"")),IFERROR(MATCH(TRIM(A35&amp;""),'Form Calc'!$Q:$Q,0),"")))</f>
        <v/>
      </c>
      <c r="U35" s="32">
        <f>IF(AND(T35&lt;&gt;"",TRIM(E35&amp;"")&lt;&gt;""),TRIM(E35&amp;""),"")</f>
        <v/>
      </c>
      <c r="V35" s="32">
        <f>IF(TRIM(A35&amp;"")="","",IF(T35&lt;&gt;"",T35,IF(TRIM(E35&amp;"")="","",IFERROR(INDEX($T$6:$T$505,MATCH(TRIM(E35&amp;""),$U$6:$U$505,0)),""))))</f>
        <v/>
      </c>
      <c r="W35" s="32">
        <f>IF(V35="","",INDEX('Form Calc'!$G:$G,V35))</f>
        <v/>
      </c>
      <c r="X35" s="32">
        <f>IF(TRIM(A35&amp;"")="","",IF(T35&lt;&gt;"",IF(INDEX('Form Calc'!$K:$K,T35)&lt;&gt;"",INDEX('Form Calc'!$K:$K,T35),J35&amp;""),J35&amp;""))</f>
        <v/>
      </c>
      <c r="Y35" s="32">
        <f>IF(TRIM(A35&amp;"")="","",IF(TRIM(D35&amp;"")&lt;&gt;"",TRIM(D35&amp;""),IF(T35&lt;&gt;"",INDEX('Form Calc'!$C:$C,T35)&amp;"","")))</f>
        <v/>
      </c>
      <c r="Z35" s="32">
        <f>SUBSTITUTE(SUBSTITUTE(SUBSTITUTE(SUBSTITUTE(SUBSTITUTE(SUBSTITUTE(SUBSTITUTE(SUBSTITUTE(Y35," ",""),"-",""),"(",""),")",""),".",""),"+",""),"/",""),CHAR(160),"")</f>
        <v/>
      </c>
      <c r="AA35" s="32">
        <f>IF(Z35="","",IF(LEN(Z35)=10,"+1"&amp;Z35,IF(AND(LEN(Z35)=11,LEFT(Z35,1)="1"),"+"&amp;Z35,IF(LEFT(Y35,1)="+","+"&amp;Z35,Z35))))</f>
        <v/>
      </c>
      <c r="AB35" s="32">
        <f>IF(TRIM(A35&amp;"")="","",IF(TRIM(M35&amp;"")&lt;&gt;"",TRIM(M35&amp;""),IFERROR(LEFT(TRIM(A35&amp;""),FIND(" ",TRIM(A35&amp;""))-1),TRIM(A35&amp;""))))</f>
        <v/>
      </c>
      <c r="AC35" s="32">
        <f>SUBSTITUTE(SUBSTITUTE(SUBSTITUTE(SUBSTITUTE(SUBSTITUTE(SUBSTITUTE(SUBSTITUTE(SUBSTITUTE(SUBSTITUTE(SUBSTITUTE(AB35,"%","%25"),"&amp;","%26"),"#","%23"),"+","%2B"),"=","%3D"),"?","%3F"),CHAR(34),"%22"),CHAR(10),"%0A"),CHAR(13),"")," ","+")</f>
        <v/>
      </c>
      <c r="AD35" s="32">
        <f>IF(OR(AA35="",AB35=""),"",'Start Here'!$B$20&amp;"#p="&amp;SUBSTITUTE(AA35,"+","%2B")&amp;"&amp;n="&amp;AC35&amp;"&amp;m="&amp;SUBSTITUTE('Start Here'!$B$24,"{name}",AC35))</f>
        <v/>
      </c>
      <c r="AE35" s="32">
        <f>LEN(AD35)</f>
        <v/>
      </c>
      <c r="AF35" s="32">
        <f>IF(AND(TRIM(A35&amp;"")&lt;&gt;"",OR(B35="Awaiting",B35="Not sure yet")),1,0)</f>
        <v/>
      </c>
      <c r="AG35" s="32">
        <f>N(AG34)+AF35</f>
        <v/>
      </c>
      <c r="AH35" s="32">
        <f>IF(AF35=1,AG35,"")</f>
        <v/>
      </c>
      <c r="AI35" s="32">
        <f>IF(AND(TRIM(A35&amp;"")&lt;&gt;"",L35&amp;""&lt;&gt;"",L35&amp;""=Seating!$I$3&amp;"",B35&lt;&gt;"Declined"),1,0)</f>
        <v/>
      </c>
      <c r="AJ35" s="32">
        <f>N(AJ34)+AI35</f>
        <v/>
      </c>
      <c r="AK35" s="32">
        <f>IF(AI35=1,AJ35,"")</f>
        <v/>
      </c>
    </row>
    <row r="36">
      <c r="A36" s="10" t="n"/>
      <c r="B36" s="47">
        <f>IF(TRIM(A36&amp;"")="","",IF(W36&lt;&gt;"",W36,IF(I36="","Awaiting",I36)))</f>
        <v/>
      </c>
      <c r="C36" s="60">
        <f>IF(OR(B36="Awaiting",B36="Not sure yet"),IF(AD36&lt;&gt;"",HYPERLINK(AD36,"💬 Remind"),"add mobile"),"")</f>
        <v/>
      </c>
      <c r="D36" s="58" t="n"/>
      <c r="E36" s="10" t="n"/>
      <c r="F36" s="10" t="n"/>
      <c r="G36" s="10" t="n"/>
      <c r="H36" s="10" t="n"/>
      <c r="I36" s="10" t="n"/>
      <c r="J36" s="10" t="n"/>
      <c r="K36" s="10" t="n"/>
      <c r="L36" s="56" t="n"/>
      <c r="M36" s="10" t="n"/>
      <c r="N36" s="12" t="n"/>
      <c r="O36" s="10" t="n"/>
      <c r="P36" s="10" t="n"/>
      <c r="Q36" s="61">
        <f>IF(V36="","",IF(T36="","Covered by "&amp;INDEX('Form Calc'!$B:$B,V36)&amp;"'s reply (same party)","Replied "&amp;TEXT(INDEX('Form Calc'!$A:$A,T36),"mm/dd")&amp;" · "&amp;INDEX('Form Calc'!$H:$H,T36)&amp;" adult(s), "&amp;INDEX('Form Calc'!$I:$I,T36)&amp;" child(ren)"&amp;IF(INDEX('Form Calc'!$K:$K,T36)&lt;&gt;""," · "&amp;INDEX('Form Calc'!$K:$K,T36),"")&amp;IF(INDEX('Form Calc'!$M:$M,T36)&lt;&gt;""," · “"&amp;INDEX('Form Calc'!$M:$M,T36)&amp;"”","")))</f>
        <v/>
      </c>
      <c r="R36" s="32">
        <f>SUBSTITUTE(SUBSTITUTE(SUBSTITUTE(SUBSTITUTE(SUBSTITUTE(SUBSTITUTE(SUBSTITUTE(SUBSTITUTE(D36&amp;""," ",""),"-",""),"(",""),")",""),".",""),"+",""),"/",""),CHAR(160),"")</f>
        <v/>
      </c>
      <c r="S36" s="32">
        <f>IF(LEN(R36)&gt;=10,RIGHT(R36,10),R36)</f>
        <v/>
      </c>
      <c r="T36" s="32">
        <f>IF(TRIM(A36&amp;"")="","",IF(S36&lt;&gt;"",IFERROR(MATCH(S36,'Form Calc'!$P:$P,0),IFERROR(MATCH(TRIM(A36&amp;""),'Form Calc'!$Q:$Q,0),"")),IFERROR(MATCH(TRIM(A36&amp;""),'Form Calc'!$Q:$Q,0),"")))</f>
        <v/>
      </c>
      <c r="U36" s="32">
        <f>IF(AND(T36&lt;&gt;"",TRIM(E36&amp;"")&lt;&gt;""),TRIM(E36&amp;""),"")</f>
        <v/>
      </c>
      <c r="V36" s="32">
        <f>IF(TRIM(A36&amp;"")="","",IF(T36&lt;&gt;"",T36,IF(TRIM(E36&amp;"")="","",IFERROR(INDEX($T$6:$T$505,MATCH(TRIM(E36&amp;""),$U$6:$U$505,0)),""))))</f>
        <v/>
      </c>
      <c r="W36" s="32">
        <f>IF(V36="","",INDEX('Form Calc'!$G:$G,V36))</f>
        <v/>
      </c>
      <c r="X36" s="32">
        <f>IF(TRIM(A36&amp;"")="","",IF(T36&lt;&gt;"",IF(INDEX('Form Calc'!$K:$K,T36)&lt;&gt;"",INDEX('Form Calc'!$K:$K,T36),J36&amp;""),J36&amp;""))</f>
        <v/>
      </c>
      <c r="Y36" s="32">
        <f>IF(TRIM(A36&amp;"")="","",IF(TRIM(D36&amp;"")&lt;&gt;"",TRIM(D36&amp;""),IF(T36&lt;&gt;"",INDEX('Form Calc'!$C:$C,T36)&amp;"","")))</f>
        <v/>
      </c>
      <c r="Z36" s="32">
        <f>SUBSTITUTE(SUBSTITUTE(SUBSTITUTE(SUBSTITUTE(SUBSTITUTE(SUBSTITUTE(SUBSTITUTE(SUBSTITUTE(Y36," ",""),"-",""),"(",""),")",""),".",""),"+",""),"/",""),CHAR(160),"")</f>
        <v/>
      </c>
      <c r="AA36" s="32">
        <f>IF(Z36="","",IF(LEN(Z36)=10,"+1"&amp;Z36,IF(AND(LEN(Z36)=11,LEFT(Z36,1)="1"),"+"&amp;Z36,IF(LEFT(Y36,1)="+","+"&amp;Z36,Z36))))</f>
        <v/>
      </c>
      <c r="AB36" s="32">
        <f>IF(TRIM(A36&amp;"")="","",IF(TRIM(M36&amp;"")&lt;&gt;"",TRIM(M36&amp;""),IFERROR(LEFT(TRIM(A36&amp;""),FIND(" ",TRIM(A36&amp;""))-1),TRIM(A36&amp;""))))</f>
        <v/>
      </c>
      <c r="AC36" s="32">
        <f>SUBSTITUTE(SUBSTITUTE(SUBSTITUTE(SUBSTITUTE(SUBSTITUTE(SUBSTITUTE(SUBSTITUTE(SUBSTITUTE(SUBSTITUTE(SUBSTITUTE(AB36,"%","%25"),"&amp;","%26"),"#","%23"),"+","%2B"),"=","%3D"),"?","%3F"),CHAR(34),"%22"),CHAR(10),"%0A"),CHAR(13),"")," ","+")</f>
        <v/>
      </c>
      <c r="AD36" s="32">
        <f>IF(OR(AA36="",AB36=""),"",'Start Here'!$B$20&amp;"#p="&amp;SUBSTITUTE(AA36,"+","%2B")&amp;"&amp;n="&amp;AC36&amp;"&amp;m="&amp;SUBSTITUTE('Start Here'!$B$24,"{name}",AC36))</f>
        <v/>
      </c>
      <c r="AE36" s="32">
        <f>LEN(AD36)</f>
        <v/>
      </c>
      <c r="AF36" s="32">
        <f>IF(AND(TRIM(A36&amp;"")&lt;&gt;"",OR(B36="Awaiting",B36="Not sure yet")),1,0)</f>
        <v/>
      </c>
      <c r="AG36" s="32">
        <f>N(AG35)+AF36</f>
        <v/>
      </c>
      <c r="AH36" s="32">
        <f>IF(AF36=1,AG36,"")</f>
        <v/>
      </c>
      <c r="AI36" s="32">
        <f>IF(AND(TRIM(A36&amp;"")&lt;&gt;"",L36&amp;""&lt;&gt;"",L36&amp;""=Seating!$I$3&amp;"",B36&lt;&gt;"Declined"),1,0)</f>
        <v/>
      </c>
      <c r="AJ36" s="32">
        <f>N(AJ35)+AI36</f>
        <v/>
      </c>
      <c r="AK36" s="32">
        <f>IF(AI36=1,AJ36,"")</f>
        <v/>
      </c>
    </row>
    <row r="37">
      <c r="A37" s="10" t="n"/>
      <c r="B37" s="47">
        <f>IF(TRIM(A37&amp;"")="","",IF(W37&lt;&gt;"",W37,IF(I37="","Awaiting",I37)))</f>
        <v/>
      </c>
      <c r="C37" s="60">
        <f>IF(OR(B37="Awaiting",B37="Not sure yet"),IF(AD37&lt;&gt;"",HYPERLINK(AD37,"💬 Remind"),"add mobile"),"")</f>
        <v/>
      </c>
      <c r="D37" s="58" t="n"/>
      <c r="E37" s="10" t="n"/>
      <c r="F37" s="10" t="n"/>
      <c r="G37" s="10" t="n"/>
      <c r="H37" s="10" t="n"/>
      <c r="I37" s="10" t="n"/>
      <c r="J37" s="10" t="n"/>
      <c r="K37" s="10" t="n"/>
      <c r="L37" s="56" t="n"/>
      <c r="M37" s="10" t="n"/>
      <c r="N37" s="12" t="n"/>
      <c r="O37" s="10" t="n"/>
      <c r="P37" s="10" t="n"/>
      <c r="Q37" s="61">
        <f>IF(V37="","",IF(T37="","Covered by "&amp;INDEX('Form Calc'!$B:$B,V37)&amp;"'s reply (same party)","Replied "&amp;TEXT(INDEX('Form Calc'!$A:$A,T37),"mm/dd")&amp;" · "&amp;INDEX('Form Calc'!$H:$H,T37)&amp;" adult(s), "&amp;INDEX('Form Calc'!$I:$I,T37)&amp;" child(ren)"&amp;IF(INDEX('Form Calc'!$K:$K,T37)&lt;&gt;""," · "&amp;INDEX('Form Calc'!$K:$K,T37),"")&amp;IF(INDEX('Form Calc'!$M:$M,T37)&lt;&gt;""," · “"&amp;INDEX('Form Calc'!$M:$M,T37)&amp;"”","")))</f>
        <v/>
      </c>
      <c r="R37" s="32">
        <f>SUBSTITUTE(SUBSTITUTE(SUBSTITUTE(SUBSTITUTE(SUBSTITUTE(SUBSTITUTE(SUBSTITUTE(SUBSTITUTE(D37&amp;""," ",""),"-",""),"(",""),")",""),".",""),"+",""),"/",""),CHAR(160),"")</f>
        <v/>
      </c>
      <c r="S37" s="32">
        <f>IF(LEN(R37)&gt;=10,RIGHT(R37,10),R37)</f>
        <v/>
      </c>
      <c r="T37" s="32">
        <f>IF(TRIM(A37&amp;"")="","",IF(S37&lt;&gt;"",IFERROR(MATCH(S37,'Form Calc'!$P:$P,0),IFERROR(MATCH(TRIM(A37&amp;""),'Form Calc'!$Q:$Q,0),"")),IFERROR(MATCH(TRIM(A37&amp;""),'Form Calc'!$Q:$Q,0),"")))</f>
        <v/>
      </c>
      <c r="U37" s="32">
        <f>IF(AND(T37&lt;&gt;"",TRIM(E37&amp;"")&lt;&gt;""),TRIM(E37&amp;""),"")</f>
        <v/>
      </c>
      <c r="V37" s="32">
        <f>IF(TRIM(A37&amp;"")="","",IF(T37&lt;&gt;"",T37,IF(TRIM(E37&amp;"")="","",IFERROR(INDEX($T$6:$T$505,MATCH(TRIM(E37&amp;""),$U$6:$U$505,0)),""))))</f>
        <v/>
      </c>
      <c r="W37" s="32">
        <f>IF(V37="","",INDEX('Form Calc'!$G:$G,V37))</f>
        <v/>
      </c>
      <c r="X37" s="32">
        <f>IF(TRIM(A37&amp;"")="","",IF(T37&lt;&gt;"",IF(INDEX('Form Calc'!$K:$K,T37)&lt;&gt;"",INDEX('Form Calc'!$K:$K,T37),J37&amp;""),J37&amp;""))</f>
        <v/>
      </c>
      <c r="Y37" s="32">
        <f>IF(TRIM(A37&amp;"")="","",IF(TRIM(D37&amp;"")&lt;&gt;"",TRIM(D37&amp;""),IF(T37&lt;&gt;"",INDEX('Form Calc'!$C:$C,T37)&amp;"","")))</f>
        <v/>
      </c>
      <c r="Z37" s="32">
        <f>SUBSTITUTE(SUBSTITUTE(SUBSTITUTE(SUBSTITUTE(SUBSTITUTE(SUBSTITUTE(SUBSTITUTE(SUBSTITUTE(Y37," ",""),"-",""),"(",""),")",""),".",""),"+",""),"/",""),CHAR(160),"")</f>
        <v/>
      </c>
      <c r="AA37" s="32">
        <f>IF(Z37="","",IF(LEN(Z37)=10,"+1"&amp;Z37,IF(AND(LEN(Z37)=11,LEFT(Z37,1)="1"),"+"&amp;Z37,IF(LEFT(Y37,1)="+","+"&amp;Z37,Z37))))</f>
        <v/>
      </c>
      <c r="AB37" s="32">
        <f>IF(TRIM(A37&amp;"")="","",IF(TRIM(M37&amp;"")&lt;&gt;"",TRIM(M37&amp;""),IFERROR(LEFT(TRIM(A37&amp;""),FIND(" ",TRIM(A37&amp;""))-1),TRIM(A37&amp;""))))</f>
        <v/>
      </c>
      <c r="AC37" s="32">
        <f>SUBSTITUTE(SUBSTITUTE(SUBSTITUTE(SUBSTITUTE(SUBSTITUTE(SUBSTITUTE(SUBSTITUTE(SUBSTITUTE(SUBSTITUTE(SUBSTITUTE(AB37,"%","%25"),"&amp;","%26"),"#","%23"),"+","%2B"),"=","%3D"),"?","%3F"),CHAR(34),"%22"),CHAR(10),"%0A"),CHAR(13),"")," ","+")</f>
        <v/>
      </c>
      <c r="AD37" s="32">
        <f>IF(OR(AA37="",AB37=""),"",'Start Here'!$B$20&amp;"#p="&amp;SUBSTITUTE(AA37,"+","%2B")&amp;"&amp;n="&amp;AC37&amp;"&amp;m="&amp;SUBSTITUTE('Start Here'!$B$24,"{name}",AC37))</f>
        <v/>
      </c>
      <c r="AE37" s="32">
        <f>LEN(AD37)</f>
        <v/>
      </c>
      <c r="AF37" s="32">
        <f>IF(AND(TRIM(A37&amp;"")&lt;&gt;"",OR(B37="Awaiting",B37="Not sure yet")),1,0)</f>
        <v/>
      </c>
      <c r="AG37" s="32">
        <f>N(AG36)+AF37</f>
        <v/>
      </c>
      <c r="AH37" s="32">
        <f>IF(AF37=1,AG37,"")</f>
        <v/>
      </c>
      <c r="AI37" s="32">
        <f>IF(AND(TRIM(A37&amp;"")&lt;&gt;"",L37&amp;""&lt;&gt;"",L37&amp;""=Seating!$I$3&amp;"",B37&lt;&gt;"Declined"),1,0)</f>
        <v/>
      </c>
      <c r="AJ37" s="32">
        <f>N(AJ36)+AI37</f>
        <v/>
      </c>
      <c r="AK37" s="32">
        <f>IF(AI37=1,AJ37,"")</f>
        <v/>
      </c>
    </row>
    <row r="38">
      <c r="A38" s="10" t="n"/>
      <c r="B38" s="47">
        <f>IF(TRIM(A38&amp;"")="","",IF(W38&lt;&gt;"",W38,IF(I38="","Awaiting",I38)))</f>
        <v/>
      </c>
      <c r="C38" s="60">
        <f>IF(OR(B38="Awaiting",B38="Not sure yet"),IF(AD38&lt;&gt;"",HYPERLINK(AD38,"💬 Remind"),"add mobile"),"")</f>
        <v/>
      </c>
      <c r="D38" s="58" t="n"/>
      <c r="E38" s="10" t="n"/>
      <c r="F38" s="10" t="n"/>
      <c r="G38" s="10" t="n"/>
      <c r="H38" s="10" t="n"/>
      <c r="I38" s="10" t="n"/>
      <c r="J38" s="10" t="n"/>
      <c r="K38" s="10" t="n"/>
      <c r="L38" s="56" t="n"/>
      <c r="M38" s="10" t="n"/>
      <c r="N38" s="12" t="n"/>
      <c r="O38" s="10" t="n"/>
      <c r="P38" s="10" t="n"/>
      <c r="Q38" s="61">
        <f>IF(V38="","",IF(T38="","Covered by "&amp;INDEX('Form Calc'!$B:$B,V38)&amp;"'s reply (same party)","Replied "&amp;TEXT(INDEX('Form Calc'!$A:$A,T38),"mm/dd")&amp;" · "&amp;INDEX('Form Calc'!$H:$H,T38)&amp;" adult(s), "&amp;INDEX('Form Calc'!$I:$I,T38)&amp;" child(ren)"&amp;IF(INDEX('Form Calc'!$K:$K,T38)&lt;&gt;""," · "&amp;INDEX('Form Calc'!$K:$K,T38),"")&amp;IF(INDEX('Form Calc'!$M:$M,T38)&lt;&gt;""," · “"&amp;INDEX('Form Calc'!$M:$M,T38)&amp;"”","")))</f>
        <v/>
      </c>
      <c r="R38" s="32">
        <f>SUBSTITUTE(SUBSTITUTE(SUBSTITUTE(SUBSTITUTE(SUBSTITUTE(SUBSTITUTE(SUBSTITUTE(SUBSTITUTE(D38&amp;""," ",""),"-",""),"(",""),")",""),".",""),"+",""),"/",""),CHAR(160),"")</f>
        <v/>
      </c>
      <c r="S38" s="32">
        <f>IF(LEN(R38)&gt;=10,RIGHT(R38,10),R38)</f>
        <v/>
      </c>
      <c r="T38" s="32">
        <f>IF(TRIM(A38&amp;"")="","",IF(S38&lt;&gt;"",IFERROR(MATCH(S38,'Form Calc'!$P:$P,0),IFERROR(MATCH(TRIM(A38&amp;""),'Form Calc'!$Q:$Q,0),"")),IFERROR(MATCH(TRIM(A38&amp;""),'Form Calc'!$Q:$Q,0),"")))</f>
        <v/>
      </c>
      <c r="U38" s="32">
        <f>IF(AND(T38&lt;&gt;"",TRIM(E38&amp;"")&lt;&gt;""),TRIM(E38&amp;""),"")</f>
        <v/>
      </c>
      <c r="V38" s="32">
        <f>IF(TRIM(A38&amp;"")="","",IF(T38&lt;&gt;"",T38,IF(TRIM(E38&amp;"")="","",IFERROR(INDEX($T$6:$T$505,MATCH(TRIM(E38&amp;""),$U$6:$U$505,0)),""))))</f>
        <v/>
      </c>
      <c r="W38" s="32">
        <f>IF(V38="","",INDEX('Form Calc'!$G:$G,V38))</f>
        <v/>
      </c>
      <c r="X38" s="32">
        <f>IF(TRIM(A38&amp;"")="","",IF(T38&lt;&gt;"",IF(INDEX('Form Calc'!$K:$K,T38)&lt;&gt;"",INDEX('Form Calc'!$K:$K,T38),J38&amp;""),J38&amp;""))</f>
        <v/>
      </c>
      <c r="Y38" s="32">
        <f>IF(TRIM(A38&amp;"")="","",IF(TRIM(D38&amp;"")&lt;&gt;"",TRIM(D38&amp;""),IF(T38&lt;&gt;"",INDEX('Form Calc'!$C:$C,T38)&amp;"","")))</f>
        <v/>
      </c>
      <c r="Z38" s="32">
        <f>SUBSTITUTE(SUBSTITUTE(SUBSTITUTE(SUBSTITUTE(SUBSTITUTE(SUBSTITUTE(SUBSTITUTE(SUBSTITUTE(Y38," ",""),"-",""),"(",""),")",""),".",""),"+",""),"/",""),CHAR(160),"")</f>
        <v/>
      </c>
      <c r="AA38" s="32">
        <f>IF(Z38="","",IF(LEN(Z38)=10,"+1"&amp;Z38,IF(AND(LEN(Z38)=11,LEFT(Z38,1)="1"),"+"&amp;Z38,IF(LEFT(Y38,1)="+","+"&amp;Z38,Z38))))</f>
        <v/>
      </c>
      <c r="AB38" s="32">
        <f>IF(TRIM(A38&amp;"")="","",IF(TRIM(M38&amp;"")&lt;&gt;"",TRIM(M38&amp;""),IFERROR(LEFT(TRIM(A38&amp;""),FIND(" ",TRIM(A38&amp;""))-1),TRIM(A38&amp;""))))</f>
        <v/>
      </c>
      <c r="AC38" s="32">
        <f>SUBSTITUTE(SUBSTITUTE(SUBSTITUTE(SUBSTITUTE(SUBSTITUTE(SUBSTITUTE(SUBSTITUTE(SUBSTITUTE(SUBSTITUTE(SUBSTITUTE(AB38,"%","%25"),"&amp;","%26"),"#","%23"),"+","%2B"),"=","%3D"),"?","%3F"),CHAR(34),"%22"),CHAR(10),"%0A"),CHAR(13),"")," ","+")</f>
        <v/>
      </c>
      <c r="AD38" s="32">
        <f>IF(OR(AA38="",AB38=""),"",'Start Here'!$B$20&amp;"#p="&amp;SUBSTITUTE(AA38,"+","%2B")&amp;"&amp;n="&amp;AC38&amp;"&amp;m="&amp;SUBSTITUTE('Start Here'!$B$24,"{name}",AC38))</f>
        <v/>
      </c>
      <c r="AE38" s="32">
        <f>LEN(AD38)</f>
        <v/>
      </c>
      <c r="AF38" s="32">
        <f>IF(AND(TRIM(A38&amp;"")&lt;&gt;"",OR(B38="Awaiting",B38="Not sure yet")),1,0)</f>
        <v/>
      </c>
      <c r="AG38" s="32">
        <f>N(AG37)+AF38</f>
        <v/>
      </c>
      <c r="AH38" s="32">
        <f>IF(AF38=1,AG38,"")</f>
        <v/>
      </c>
      <c r="AI38" s="32">
        <f>IF(AND(TRIM(A38&amp;"")&lt;&gt;"",L38&amp;""&lt;&gt;"",L38&amp;""=Seating!$I$3&amp;"",B38&lt;&gt;"Declined"),1,0)</f>
        <v/>
      </c>
      <c r="AJ38" s="32">
        <f>N(AJ37)+AI38</f>
        <v/>
      </c>
      <c r="AK38" s="32">
        <f>IF(AI38=1,AJ38,"")</f>
        <v/>
      </c>
    </row>
    <row r="39">
      <c r="A39" s="10" t="n"/>
      <c r="B39" s="47">
        <f>IF(TRIM(A39&amp;"")="","",IF(W39&lt;&gt;"",W39,IF(I39="","Awaiting",I39)))</f>
        <v/>
      </c>
      <c r="C39" s="60">
        <f>IF(OR(B39="Awaiting",B39="Not sure yet"),IF(AD39&lt;&gt;"",HYPERLINK(AD39,"💬 Remind"),"add mobile"),"")</f>
        <v/>
      </c>
      <c r="D39" s="58" t="n"/>
      <c r="E39" s="10" t="n"/>
      <c r="F39" s="10" t="n"/>
      <c r="G39" s="10" t="n"/>
      <c r="H39" s="10" t="n"/>
      <c r="I39" s="10" t="n"/>
      <c r="J39" s="10" t="n"/>
      <c r="K39" s="10" t="n"/>
      <c r="L39" s="56" t="n"/>
      <c r="M39" s="10" t="n"/>
      <c r="N39" s="12" t="n"/>
      <c r="O39" s="10" t="n"/>
      <c r="P39" s="10" t="n"/>
      <c r="Q39" s="61">
        <f>IF(V39="","",IF(T39="","Covered by "&amp;INDEX('Form Calc'!$B:$B,V39)&amp;"'s reply (same party)","Replied "&amp;TEXT(INDEX('Form Calc'!$A:$A,T39),"mm/dd")&amp;" · "&amp;INDEX('Form Calc'!$H:$H,T39)&amp;" adult(s), "&amp;INDEX('Form Calc'!$I:$I,T39)&amp;" child(ren)"&amp;IF(INDEX('Form Calc'!$K:$K,T39)&lt;&gt;""," · "&amp;INDEX('Form Calc'!$K:$K,T39),"")&amp;IF(INDEX('Form Calc'!$M:$M,T39)&lt;&gt;""," · “"&amp;INDEX('Form Calc'!$M:$M,T39)&amp;"”","")))</f>
        <v/>
      </c>
      <c r="R39" s="32">
        <f>SUBSTITUTE(SUBSTITUTE(SUBSTITUTE(SUBSTITUTE(SUBSTITUTE(SUBSTITUTE(SUBSTITUTE(SUBSTITUTE(D39&amp;""," ",""),"-",""),"(",""),")",""),".",""),"+",""),"/",""),CHAR(160),"")</f>
        <v/>
      </c>
      <c r="S39" s="32">
        <f>IF(LEN(R39)&gt;=10,RIGHT(R39,10),R39)</f>
        <v/>
      </c>
      <c r="T39" s="32">
        <f>IF(TRIM(A39&amp;"")="","",IF(S39&lt;&gt;"",IFERROR(MATCH(S39,'Form Calc'!$P:$P,0),IFERROR(MATCH(TRIM(A39&amp;""),'Form Calc'!$Q:$Q,0),"")),IFERROR(MATCH(TRIM(A39&amp;""),'Form Calc'!$Q:$Q,0),"")))</f>
        <v/>
      </c>
      <c r="U39" s="32">
        <f>IF(AND(T39&lt;&gt;"",TRIM(E39&amp;"")&lt;&gt;""),TRIM(E39&amp;""),"")</f>
        <v/>
      </c>
      <c r="V39" s="32">
        <f>IF(TRIM(A39&amp;"")="","",IF(T39&lt;&gt;"",T39,IF(TRIM(E39&amp;"")="","",IFERROR(INDEX($T$6:$T$505,MATCH(TRIM(E39&amp;""),$U$6:$U$505,0)),""))))</f>
        <v/>
      </c>
      <c r="W39" s="32">
        <f>IF(V39="","",INDEX('Form Calc'!$G:$G,V39))</f>
        <v/>
      </c>
      <c r="X39" s="32">
        <f>IF(TRIM(A39&amp;"")="","",IF(T39&lt;&gt;"",IF(INDEX('Form Calc'!$K:$K,T39)&lt;&gt;"",INDEX('Form Calc'!$K:$K,T39),J39&amp;""),J39&amp;""))</f>
        <v/>
      </c>
      <c r="Y39" s="32">
        <f>IF(TRIM(A39&amp;"")="","",IF(TRIM(D39&amp;"")&lt;&gt;"",TRIM(D39&amp;""),IF(T39&lt;&gt;"",INDEX('Form Calc'!$C:$C,T39)&amp;"","")))</f>
        <v/>
      </c>
      <c r="Z39" s="32">
        <f>SUBSTITUTE(SUBSTITUTE(SUBSTITUTE(SUBSTITUTE(SUBSTITUTE(SUBSTITUTE(SUBSTITUTE(SUBSTITUTE(Y39," ",""),"-",""),"(",""),")",""),".",""),"+",""),"/",""),CHAR(160),"")</f>
        <v/>
      </c>
      <c r="AA39" s="32">
        <f>IF(Z39="","",IF(LEN(Z39)=10,"+1"&amp;Z39,IF(AND(LEN(Z39)=11,LEFT(Z39,1)="1"),"+"&amp;Z39,IF(LEFT(Y39,1)="+","+"&amp;Z39,Z39))))</f>
        <v/>
      </c>
      <c r="AB39" s="32">
        <f>IF(TRIM(A39&amp;"")="","",IF(TRIM(M39&amp;"")&lt;&gt;"",TRIM(M39&amp;""),IFERROR(LEFT(TRIM(A39&amp;""),FIND(" ",TRIM(A39&amp;""))-1),TRIM(A39&amp;""))))</f>
        <v/>
      </c>
      <c r="AC39" s="32">
        <f>SUBSTITUTE(SUBSTITUTE(SUBSTITUTE(SUBSTITUTE(SUBSTITUTE(SUBSTITUTE(SUBSTITUTE(SUBSTITUTE(SUBSTITUTE(SUBSTITUTE(AB39,"%","%25"),"&amp;","%26"),"#","%23"),"+","%2B"),"=","%3D"),"?","%3F"),CHAR(34),"%22"),CHAR(10),"%0A"),CHAR(13),"")," ","+")</f>
        <v/>
      </c>
      <c r="AD39" s="32">
        <f>IF(OR(AA39="",AB39=""),"",'Start Here'!$B$20&amp;"#p="&amp;SUBSTITUTE(AA39,"+","%2B")&amp;"&amp;n="&amp;AC39&amp;"&amp;m="&amp;SUBSTITUTE('Start Here'!$B$24,"{name}",AC39))</f>
        <v/>
      </c>
      <c r="AE39" s="32">
        <f>LEN(AD39)</f>
        <v/>
      </c>
      <c r="AF39" s="32">
        <f>IF(AND(TRIM(A39&amp;"")&lt;&gt;"",OR(B39="Awaiting",B39="Not sure yet")),1,0)</f>
        <v/>
      </c>
      <c r="AG39" s="32">
        <f>N(AG38)+AF39</f>
        <v/>
      </c>
      <c r="AH39" s="32">
        <f>IF(AF39=1,AG39,"")</f>
        <v/>
      </c>
      <c r="AI39" s="32">
        <f>IF(AND(TRIM(A39&amp;"")&lt;&gt;"",L39&amp;""&lt;&gt;"",L39&amp;""=Seating!$I$3&amp;"",B39&lt;&gt;"Declined"),1,0)</f>
        <v/>
      </c>
      <c r="AJ39" s="32">
        <f>N(AJ38)+AI39</f>
        <v/>
      </c>
      <c r="AK39" s="32">
        <f>IF(AI39=1,AJ39,"")</f>
        <v/>
      </c>
    </row>
    <row r="40">
      <c r="A40" s="10" t="n"/>
      <c r="B40" s="47">
        <f>IF(TRIM(A40&amp;"")="","",IF(W40&lt;&gt;"",W40,IF(I40="","Awaiting",I40)))</f>
        <v/>
      </c>
      <c r="C40" s="60">
        <f>IF(OR(B40="Awaiting",B40="Not sure yet"),IF(AD40&lt;&gt;"",HYPERLINK(AD40,"💬 Remind"),"add mobile"),"")</f>
        <v/>
      </c>
      <c r="D40" s="58" t="n"/>
      <c r="E40" s="10" t="n"/>
      <c r="F40" s="10" t="n"/>
      <c r="G40" s="10" t="n"/>
      <c r="H40" s="10" t="n"/>
      <c r="I40" s="10" t="n"/>
      <c r="J40" s="10" t="n"/>
      <c r="K40" s="10" t="n"/>
      <c r="L40" s="56" t="n"/>
      <c r="M40" s="10" t="n"/>
      <c r="N40" s="12" t="n"/>
      <c r="O40" s="10" t="n"/>
      <c r="P40" s="10" t="n"/>
      <c r="Q40" s="61">
        <f>IF(V40="","",IF(T40="","Covered by "&amp;INDEX('Form Calc'!$B:$B,V40)&amp;"'s reply (same party)","Replied "&amp;TEXT(INDEX('Form Calc'!$A:$A,T40),"mm/dd")&amp;" · "&amp;INDEX('Form Calc'!$H:$H,T40)&amp;" adult(s), "&amp;INDEX('Form Calc'!$I:$I,T40)&amp;" child(ren)"&amp;IF(INDEX('Form Calc'!$K:$K,T40)&lt;&gt;""," · "&amp;INDEX('Form Calc'!$K:$K,T40),"")&amp;IF(INDEX('Form Calc'!$M:$M,T40)&lt;&gt;""," · “"&amp;INDEX('Form Calc'!$M:$M,T40)&amp;"”","")))</f>
        <v/>
      </c>
      <c r="R40" s="32">
        <f>SUBSTITUTE(SUBSTITUTE(SUBSTITUTE(SUBSTITUTE(SUBSTITUTE(SUBSTITUTE(SUBSTITUTE(SUBSTITUTE(D40&amp;""," ",""),"-",""),"(",""),")",""),".",""),"+",""),"/",""),CHAR(160),"")</f>
        <v/>
      </c>
      <c r="S40" s="32">
        <f>IF(LEN(R40)&gt;=10,RIGHT(R40,10),R40)</f>
        <v/>
      </c>
      <c r="T40" s="32">
        <f>IF(TRIM(A40&amp;"")="","",IF(S40&lt;&gt;"",IFERROR(MATCH(S40,'Form Calc'!$P:$P,0),IFERROR(MATCH(TRIM(A40&amp;""),'Form Calc'!$Q:$Q,0),"")),IFERROR(MATCH(TRIM(A40&amp;""),'Form Calc'!$Q:$Q,0),"")))</f>
        <v/>
      </c>
      <c r="U40" s="32">
        <f>IF(AND(T40&lt;&gt;"",TRIM(E40&amp;"")&lt;&gt;""),TRIM(E40&amp;""),"")</f>
        <v/>
      </c>
      <c r="V40" s="32">
        <f>IF(TRIM(A40&amp;"")="","",IF(T40&lt;&gt;"",T40,IF(TRIM(E40&amp;"")="","",IFERROR(INDEX($T$6:$T$505,MATCH(TRIM(E40&amp;""),$U$6:$U$505,0)),""))))</f>
        <v/>
      </c>
      <c r="W40" s="32">
        <f>IF(V40="","",INDEX('Form Calc'!$G:$G,V40))</f>
        <v/>
      </c>
      <c r="X40" s="32">
        <f>IF(TRIM(A40&amp;"")="","",IF(T40&lt;&gt;"",IF(INDEX('Form Calc'!$K:$K,T40)&lt;&gt;"",INDEX('Form Calc'!$K:$K,T40),J40&amp;""),J40&amp;""))</f>
        <v/>
      </c>
      <c r="Y40" s="32">
        <f>IF(TRIM(A40&amp;"")="","",IF(TRIM(D40&amp;"")&lt;&gt;"",TRIM(D40&amp;""),IF(T40&lt;&gt;"",INDEX('Form Calc'!$C:$C,T40)&amp;"","")))</f>
        <v/>
      </c>
      <c r="Z40" s="32">
        <f>SUBSTITUTE(SUBSTITUTE(SUBSTITUTE(SUBSTITUTE(SUBSTITUTE(SUBSTITUTE(SUBSTITUTE(SUBSTITUTE(Y40," ",""),"-",""),"(",""),")",""),".",""),"+",""),"/",""),CHAR(160),"")</f>
        <v/>
      </c>
      <c r="AA40" s="32">
        <f>IF(Z40="","",IF(LEN(Z40)=10,"+1"&amp;Z40,IF(AND(LEN(Z40)=11,LEFT(Z40,1)="1"),"+"&amp;Z40,IF(LEFT(Y40,1)="+","+"&amp;Z40,Z40))))</f>
        <v/>
      </c>
      <c r="AB40" s="32">
        <f>IF(TRIM(A40&amp;"")="","",IF(TRIM(M40&amp;"")&lt;&gt;"",TRIM(M40&amp;""),IFERROR(LEFT(TRIM(A40&amp;""),FIND(" ",TRIM(A40&amp;""))-1),TRIM(A40&amp;""))))</f>
        <v/>
      </c>
      <c r="AC40" s="32">
        <f>SUBSTITUTE(SUBSTITUTE(SUBSTITUTE(SUBSTITUTE(SUBSTITUTE(SUBSTITUTE(SUBSTITUTE(SUBSTITUTE(SUBSTITUTE(SUBSTITUTE(AB40,"%","%25"),"&amp;","%26"),"#","%23"),"+","%2B"),"=","%3D"),"?","%3F"),CHAR(34),"%22"),CHAR(10),"%0A"),CHAR(13),"")," ","+")</f>
        <v/>
      </c>
      <c r="AD40" s="32">
        <f>IF(OR(AA40="",AB40=""),"",'Start Here'!$B$20&amp;"#p="&amp;SUBSTITUTE(AA40,"+","%2B")&amp;"&amp;n="&amp;AC40&amp;"&amp;m="&amp;SUBSTITUTE('Start Here'!$B$24,"{name}",AC40))</f>
        <v/>
      </c>
      <c r="AE40" s="32">
        <f>LEN(AD40)</f>
        <v/>
      </c>
      <c r="AF40" s="32">
        <f>IF(AND(TRIM(A40&amp;"")&lt;&gt;"",OR(B40="Awaiting",B40="Not sure yet")),1,0)</f>
        <v/>
      </c>
      <c r="AG40" s="32">
        <f>N(AG39)+AF40</f>
        <v/>
      </c>
      <c r="AH40" s="32">
        <f>IF(AF40=1,AG40,"")</f>
        <v/>
      </c>
      <c r="AI40" s="32">
        <f>IF(AND(TRIM(A40&amp;"")&lt;&gt;"",L40&amp;""&lt;&gt;"",L40&amp;""=Seating!$I$3&amp;"",B40&lt;&gt;"Declined"),1,0)</f>
        <v/>
      </c>
      <c r="AJ40" s="32">
        <f>N(AJ39)+AI40</f>
        <v/>
      </c>
      <c r="AK40" s="32">
        <f>IF(AI40=1,AJ40,"")</f>
        <v/>
      </c>
    </row>
    <row r="41">
      <c r="A41" s="10" t="n"/>
      <c r="B41" s="47">
        <f>IF(TRIM(A41&amp;"")="","",IF(W41&lt;&gt;"",W41,IF(I41="","Awaiting",I41)))</f>
        <v/>
      </c>
      <c r="C41" s="60">
        <f>IF(OR(B41="Awaiting",B41="Not sure yet"),IF(AD41&lt;&gt;"",HYPERLINK(AD41,"💬 Remind"),"add mobile"),"")</f>
        <v/>
      </c>
      <c r="D41" s="58" t="n"/>
      <c r="E41" s="10" t="n"/>
      <c r="F41" s="10" t="n"/>
      <c r="G41" s="10" t="n"/>
      <c r="H41" s="10" t="n"/>
      <c r="I41" s="10" t="n"/>
      <c r="J41" s="10" t="n"/>
      <c r="K41" s="10" t="n"/>
      <c r="L41" s="56" t="n"/>
      <c r="M41" s="10" t="n"/>
      <c r="N41" s="12" t="n"/>
      <c r="O41" s="10" t="n"/>
      <c r="P41" s="10" t="n"/>
      <c r="Q41" s="61">
        <f>IF(V41="","",IF(T41="","Covered by "&amp;INDEX('Form Calc'!$B:$B,V41)&amp;"'s reply (same party)","Replied "&amp;TEXT(INDEX('Form Calc'!$A:$A,T41),"mm/dd")&amp;" · "&amp;INDEX('Form Calc'!$H:$H,T41)&amp;" adult(s), "&amp;INDEX('Form Calc'!$I:$I,T41)&amp;" child(ren)"&amp;IF(INDEX('Form Calc'!$K:$K,T41)&lt;&gt;""," · "&amp;INDEX('Form Calc'!$K:$K,T41),"")&amp;IF(INDEX('Form Calc'!$M:$M,T41)&lt;&gt;""," · “"&amp;INDEX('Form Calc'!$M:$M,T41)&amp;"”","")))</f>
        <v/>
      </c>
      <c r="R41" s="32">
        <f>SUBSTITUTE(SUBSTITUTE(SUBSTITUTE(SUBSTITUTE(SUBSTITUTE(SUBSTITUTE(SUBSTITUTE(SUBSTITUTE(D41&amp;""," ",""),"-",""),"(",""),")",""),".",""),"+",""),"/",""),CHAR(160),"")</f>
        <v/>
      </c>
      <c r="S41" s="32">
        <f>IF(LEN(R41)&gt;=10,RIGHT(R41,10),R41)</f>
        <v/>
      </c>
      <c r="T41" s="32">
        <f>IF(TRIM(A41&amp;"")="","",IF(S41&lt;&gt;"",IFERROR(MATCH(S41,'Form Calc'!$P:$P,0),IFERROR(MATCH(TRIM(A41&amp;""),'Form Calc'!$Q:$Q,0),"")),IFERROR(MATCH(TRIM(A41&amp;""),'Form Calc'!$Q:$Q,0),"")))</f>
        <v/>
      </c>
      <c r="U41" s="32">
        <f>IF(AND(T41&lt;&gt;"",TRIM(E41&amp;"")&lt;&gt;""),TRIM(E41&amp;""),"")</f>
        <v/>
      </c>
      <c r="V41" s="32">
        <f>IF(TRIM(A41&amp;"")="","",IF(T41&lt;&gt;"",T41,IF(TRIM(E41&amp;"")="","",IFERROR(INDEX($T$6:$T$505,MATCH(TRIM(E41&amp;""),$U$6:$U$505,0)),""))))</f>
        <v/>
      </c>
      <c r="W41" s="32">
        <f>IF(V41="","",INDEX('Form Calc'!$G:$G,V41))</f>
        <v/>
      </c>
      <c r="X41" s="32">
        <f>IF(TRIM(A41&amp;"")="","",IF(T41&lt;&gt;"",IF(INDEX('Form Calc'!$K:$K,T41)&lt;&gt;"",INDEX('Form Calc'!$K:$K,T41),J41&amp;""),J41&amp;""))</f>
        <v/>
      </c>
      <c r="Y41" s="32">
        <f>IF(TRIM(A41&amp;"")="","",IF(TRIM(D41&amp;"")&lt;&gt;"",TRIM(D41&amp;""),IF(T41&lt;&gt;"",INDEX('Form Calc'!$C:$C,T41)&amp;"","")))</f>
        <v/>
      </c>
      <c r="Z41" s="32">
        <f>SUBSTITUTE(SUBSTITUTE(SUBSTITUTE(SUBSTITUTE(SUBSTITUTE(SUBSTITUTE(SUBSTITUTE(SUBSTITUTE(Y41," ",""),"-",""),"(",""),")",""),".",""),"+",""),"/",""),CHAR(160),"")</f>
        <v/>
      </c>
      <c r="AA41" s="32">
        <f>IF(Z41="","",IF(LEN(Z41)=10,"+1"&amp;Z41,IF(AND(LEN(Z41)=11,LEFT(Z41,1)="1"),"+"&amp;Z41,IF(LEFT(Y41,1)="+","+"&amp;Z41,Z41))))</f>
        <v/>
      </c>
      <c r="AB41" s="32">
        <f>IF(TRIM(A41&amp;"")="","",IF(TRIM(M41&amp;"")&lt;&gt;"",TRIM(M41&amp;""),IFERROR(LEFT(TRIM(A41&amp;""),FIND(" ",TRIM(A41&amp;""))-1),TRIM(A41&amp;""))))</f>
        <v/>
      </c>
      <c r="AC41" s="32">
        <f>SUBSTITUTE(SUBSTITUTE(SUBSTITUTE(SUBSTITUTE(SUBSTITUTE(SUBSTITUTE(SUBSTITUTE(SUBSTITUTE(SUBSTITUTE(SUBSTITUTE(AB41,"%","%25"),"&amp;","%26"),"#","%23"),"+","%2B"),"=","%3D"),"?","%3F"),CHAR(34),"%22"),CHAR(10),"%0A"),CHAR(13),"")," ","+")</f>
        <v/>
      </c>
      <c r="AD41" s="32">
        <f>IF(OR(AA41="",AB41=""),"",'Start Here'!$B$20&amp;"#p="&amp;SUBSTITUTE(AA41,"+","%2B")&amp;"&amp;n="&amp;AC41&amp;"&amp;m="&amp;SUBSTITUTE('Start Here'!$B$24,"{name}",AC41))</f>
        <v/>
      </c>
      <c r="AE41" s="32">
        <f>LEN(AD41)</f>
        <v/>
      </c>
      <c r="AF41" s="32">
        <f>IF(AND(TRIM(A41&amp;"")&lt;&gt;"",OR(B41="Awaiting",B41="Not sure yet")),1,0)</f>
        <v/>
      </c>
      <c r="AG41" s="32">
        <f>N(AG40)+AF41</f>
        <v/>
      </c>
      <c r="AH41" s="32">
        <f>IF(AF41=1,AG41,"")</f>
        <v/>
      </c>
      <c r="AI41" s="32">
        <f>IF(AND(TRIM(A41&amp;"")&lt;&gt;"",L41&amp;""&lt;&gt;"",L41&amp;""=Seating!$I$3&amp;"",B41&lt;&gt;"Declined"),1,0)</f>
        <v/>
      </c>
      <c r="AJ41" s="32">
        <f>N(AJ40)+AI41</f>
        <v/>
      </c>
      <c r="AK41" s="32">
        <f>IF(AI41=1,AJ41,"")</f>
        <v/>
      </c>
    </row>
    <row r="42">
      <c r="A42" s="10" t="n"/>
      <c r="B42" s="47">
        <f>IF(TRIM(A42&amp;"")="","",IF(W42&lt;&gt;"",W42,IF(I42="","Awaiting",I42)))</f>
        <v/>
      </c>
      <c r="C42" s="60">
        <f>IF(OR(B42="Awaiting",B42="Not sure yet"),IF(AD42&lt;&gt;"",HYPERLINK(AD42,"💬 Remind"),"add mobile"),"")</f>
        <v/>
      </c>
      <c r="D42" s="58" t="n"/>
      <c r="E42" s="10" t="n"/>
      <c r="F42" s="10" t="n"/>
      <c r="G42" s="10" t="n"/>
      <c r="H42" s="10" t="n"/>
      <c r="I42" s="10" t="n"/>
      <c r="J42" s="10" t="n"/>
      <c r="K42" s="10" t="n"/>
      <c r="L42" s="56" t="n"/>
      <c r="M42" s="10" t="n"/>
      <c r="N42" s="12" t="n"/>
      <c r="O42" s="10" t="n"/>
      <c r="P42" s="10" t="n"/>
      <c r="Q42" s="61">
        <f>IF(V42="","",IF(T42="","Covered by "&amp;INDEX('Form Calc'!$B:$B,V42)&amp;"'s reply (same party)","Replied "&amp;TEXT(INDEX('Form Calc'!$A:$A,T42),"mm/dd")&amp;" · "&amp;INDEX('Form Calc'!$H:$H,T42)&amp;" adult(s), "&amp;INDEX('Form Calc'!$I:$I,T42)&amp;" child(ren)"&amp;IF(INDEX('Form Calc'!$K:$K,T42)&lt;&gt;""," · "&amp;INDEX('Form Calc'!$K:$K,T42),"")&amp;IF(INDEX('Form Calc'!$M:$M,T42)&lt;&gt;""," · “"&amp;INDEX('Form Calc'!$M:$M,T42)&amp;"”","")))</f>
        <v/>
      </c>
      <c r="R42" s="32">
        <f>SUBSTITUTE(SUBSTITUTE(SUBSTITUTE(SUBSTITUTE(SUBSTITUTE(SUBSTITUTE(SUBSTITUTE(SUBSTITUTE(D42&amp;""," ",""),"-",""),"(",""),")",""),".",""),"+",""),"/",""),CHAR(160),"")</f>
        <v/>
      </c>
      <c r="S42" s="32">
        <f>IF(LEN(R42)&gt;=10,RIGHT(R42,10),R42)</f>
        <v/>
      </c>
      <c r="T42" s="32">
        <f>IF(TRIM(A42&amp;"")="","",IF(S42&lt;&gt;"",IFERROR(MATCH(S42,'Form Calc'!$P:$P,0),IFERROR(MATCH(TRIM(A42&amp;""),'Form Calc'!$Q:$Q,0),"")),IFERROR(MATCH(TRIM(A42&amp;""),'Form Calc'!$Q:$Q,0),"")))</f>
        <v/>
      </c>
      <c r="U42" s="32">
        <f>IF(AND(T42&lt;&gt;"",TRIM(E42&amp;"")&lt;&gt;""),TRIM(E42&amp;""),"")</f>
        <v/>
      </c>
      <c r="V42" s="32">
        <f>IF(TRIM(A42&amp;"")="","",IF(T42&lt;&gt;"",T42,IF(TRIM(E42&amp;"")="","",IFERROR(INDEX($T$6:$T$505,MATCH(TRIM(E42&amp;""),$U$6:$U$505,0)),""))))</f>
        <v/>
      </c>
      <c r="W42" s="32">
        <f>IF(V42="","",INDEX('Form Calc'!$G:$G,V42))</f>
        <v/>
      </c>
      <c r="X42" s="32">
        <f>IF(TRIM(A42&amp;"")="","",IF(T42&lt;&gt;"",IF(INDEX('Form Calc'!$K:$K,T42)&lt;&gt;"",INDEX('Form Calc'!$K:$K,T42),J42&amp;""),J42&amp;""))</f>
        <v/>
      </c>
      <c r="Y42" s="32">
        <f>IF(TRIM(A42&amp;"")="","",IF(TRIM(D42&amp;"")&lt;&gt;"",TRIM(D42&amp;""),IF(T42&lt;&gt;"",INDEX('Form Calc'!$C:$C,T42)&amp;"","")))</f>
        <v/>
      </c>
      <c r="Z42" s="32">
        <f>SUBSTITUTE(SUBSTITUTE(SUBSTITUTE(SUBSTITUTE(SUBSTITUTE(SUBSTITUTE(SUBSTITUTE(SUBSTITUTE(Y42," ",""),"-",""),"(",""),")",""),".",""),"+",""),"/",""),CHAR(160),"")</f>
        <v/>
      </c>
      <c r="AA42" s="32">
        <f>IF(Z42="","",IF(LEN(Z42)=10,"+1"&amp;Z42,IF(AND(LEN(Z42)=11,LEFT(Z42,1)="1"),"+"&amp;Z42,IF(LEFT(Y42,1)="+","+"&amp;Z42,Z42))))</f>
        <v/>
      </c>
      <c r="AB42" s="32">
        <f>IF(TRIM(A42&amp;"")="","",IF(TRIM(M42&amp;"")&lt;&gt;"",TRIM(M42&amp;""),IFERROR(LEFT(TRIM(A42&amp;""),FIND(" ",TRIM(A42&amp;""))-1),TRIM(A42&amp;""))))</f>
        <v/>
      </c>
      <c r="AC42" s="32">
        <f>SUBSTITUTE(SUBSTITUTE(SUBSTITUTE(SUBSTITUTE(SUBSTITUTE(SUBSTITUTE(SUBSTITUTE(SUBSTITUTE(SUBSTITUTE(SUBSTITUTE(AB42,"%","%25"),"&amp;","%26"),"#","%23"),"+","%2B"),"=","%3D"),"?","%3F"),CHAR(34),"%22"),CHAR(10),"%0A"),CHAR(13),"")," ","+")</f>
        <v/>
      </c>
      <c r="AD42" s="32">
        <f>IF(OR(AA42="",AB42=""),"",'Start Here'!$B$20&amp;"#p="&amp;SUBSTITUTE(AA42,"+","%2B")&amp;"&amp;n="&amp;AC42&amp;"&amp;m="&amp;SUBSTITUTE('Start Here'!$B$24,"{name}",AC42))</f>
        <v/>
      </c>
      <c r="AE42" s="32">
        <f>LEN(AD42)</f>
        <v/>
      </c>
      <c r="AF42" s="32">
        <f>IF(AND(TRIM(A42&amp;"")&lt;&gt;"",OR(B42="Awaiting",B42="Not sure yet")),1,0)</f>
        <v/>
      </c>
      <c r="AG42" s="32">
        <f>N(AG41)+AF42</f>
        <v/>
      </c>
      <c r="AH42" s="32">
        <f>IF(AF42=1,AG42,"")</f>
        <v/>
      </c>
      <c r="AI42" s="32">
        <f>IF(AND(TRIM(A42&amp;"")&lt;&gt;"",L42&amp;""&lt;&gt;"",L42&amp;""=Seating!$I$3&amp;"",B42&lt;&gt;"Declined"),1,0)</f>
        <v/>
      </c>
      <c r="AJ42" s="32">
        <f>N(AJ41)+AI42</f>
        <v/>
      </c>
      <c r="AK42" s="32">
        <f>IF(AI42=1,AJ42,"")</f>
        <v/>
      </c>
    </row>
    <row r="43">
      <c r="A43" s="10" t="n"/>
      <c r="B43" s="47">
        <f>IF(TRIM(A43&amp;"")="","",IF(W43&lt;&gt;"",W43,IF(I43="","Awaiting",I43)))</f>
        <v/>
      </c>
      <c r="C43" s="60">
        <f>IF(OR(B43="Awaiting",B43="Not sure yet"),IF(AD43&lt;&gt;"",HYPERLINK(AD43,"💬 Remind"),"add mobile"),"")</f>
        <v/>
      </c>
      <c r="D43" s="58" t="n"/>
      <c r="E43" s="10" t="n"/>
      <c r="F43" s="10" t="n"/>
      <c r="G43" s="10" t="n"/>
      <c r="H43" s="10" t="n"/>
      <c r="I43" s="10" t="n"/>
      <c r="J43" s="10" t="n"/>
      <c r="K43" s="10" t="n"/>
      <c r="L43" s="56" t="n"/>
      <c r="M43" s="10" t="n"/>
      <c r="N43" s="12" t="n"/>
      <c r="O43" s="10" t="n"/>
      <c r="P43" s="10" t="n"/>
      <c r="Q43" s="61">
        <f>IF(V43="","",IF(T43="","Covered by "&amp;INDEX('Form Calc'!$B:$B,V43)&amp;"'s reply (same party)","Replied "&amp;TEXT(INDEX('Form Calc'!$A:$A,T43),"mm/dd")&amp;" · "&amp;INDEX('Form Calc'!$H:$H,T43)&amp;" adult(s), "&amp;INDEX('Form Calc'!$I:$I,T43)&amp;" child(ren)"&amp;IF(INDEX('Form Calc'!$K:$K,T43)&lt;&gt;""," · "&amp;INDEX('Form Calc'!$K:$K,T43),"")&amp;IF(INDEX('Form Calc'!$M:$M,T43)&lt;&gt;""," · “"&amp;INDEX('Form Calc'!$M:$M,T43)&amp;"”","")))</f>
        <v/>
      </c>
      <c r="R43" s="32">
        <f>SUBSTITUTE(SUBSTITUTE(SUBSTITUTE(SUBSTITUTE(SUBSTITUTE(SUBSTITUTE(SUBSTITUTE(SUBSTITUTE(D43&amp;""," ",""),"-",""),"(",""),")",""),".",""),"+",""),"/",""),CHAR(160),"")</f>
        <v/>
      </c>
      <c r="S43" s="32">
        <f>IF(LEN(R43)&gt;=10,RIGHT(R43,10),R43)</f>
        <v/>
      </c>
      <c r="T43" s="32">
        <f>IF(TRIM(A43&amp;"")="","",IF(S43&lt;&gt;"",IFERROR(MATCH(S43,'Form Calc'!$P:$P,0),IFERROR(MATCH(TRIM(A43&amp;""),'Form Calc'!$Q:$Q,0),"")),IFERROR(MATCH(TRIM(A43&amp;""),'Form Calc'!$Q:$Q,0),"")))</f>
        <v/>
      </c>
      <c r="U43" s="32">
        <f>IF(AND(T43&lt;&gt;"",TRIM(E43&amp;"")&lt;&gt;""),TRIM(E43&amp;""),"")</f>
        <v/>
      </c>
      <c r="V43" s="32">
        <f>IF(TRIM(A43&amp;"")="","",IF(T43&lt;&gt;"",T43,IF(TRIM(E43&amp;"")="","",IFERROR(INDEX($T$6:$T$505,MATCH(TRIM(E43&amp;""),$U$6:$U$505,0)),""))))</f>
        <v/>
      </c>
      <c r="W43" s="32">
        <f>IF(V43="","",INDEX('Form Calc'!$G:$G,V43))</f>
        <v/>
      </c>
      <c r="X43" s="32">
        <f>IF(TRIM(A43&amp;"")="","",IF(T43&lt;&gt;"",IF(INDEX('Form Calc'!$K:$K,T43)&lt;&gt;"",INDEX('Form Calc'!$K:$K,T43),J43&amp;""),J43&amp;""))</f>
        <v/>
      </c>
      <c r="Y43" s="32">
        <f>IF(TRIM(A43&amp;"")="","",IF(TRIM(D43&amp;"")&lt;&gt;"",TRIM(D43&amp;""),IF(T43&lt;&gt;"",INDEX('Form Calc'!$C:$C,T43)&amp;"","")))</f>
        <v/>
      </c>
      <c r="Z43" s="32">
        <f>SUBSTITUTE(SUBSTITUTE(SUBSTITUTE(SUBSTITUTE(SUBSTITUTE(SUBSTITUTE(SUBSTITUTE(SUBSTITUTE(Y43," ",""),"-",""),"(",""),")",""),".",""),"+",""),"/",""),CHAR(160),"")</f>
        <v/>
      </c>
      <c r="AA43" s="32">
        <f>IF(Z43="","",IF(LEN(Z43)=10,"+1"&amp;Z43,IF(AND(LEN(Z43)=11,LEFT(Z43,1)="1"),"+"&amp;Z43,IF(LEFT(Y43,1)="+","+"&amp;Z43,Z43))))</f>
        <v/>
      </c>
      <c r="AB43" s="32">
        <f>IF(TRIM(A43&amp;"")="","",IF(TRIM(M43&amp;"")&lt;&gt;"",TRIM(M43&amp;""),IFERROR(LEFT(TRIM(A43&amp;""),FIND(" ",TRIM(A43&amp;""))-1),TRIM(A43&amp;""))))</f>
        <v/>
      </c>
      <c r="AC43" s="32">
        <f>SUBSTITUTE(SUBSTITUTE(SUBSTITUTE(SUBSTITUTE(SUBSTITUTE(SUBSTITUTE(SUBSTITUTE(SUBSTITUTE(SUBSTITUTE(SUBSTITUTE(AB43,"%","%25"),"&amp;","%26"),"#","%23"),"+","%2B"),"=","%3D"),"?","%3F"),CHAR(34),"%22"),CHAR(10),"%0A"),CHAR(13),"")," ","+")</f>
        <v/>
      </c>
      <c r="AD43" s="32">
        <f>IF(OR(AA43="",AB43=""),"",'Start Here'!$B$20&amp;"#p="&amp;SUBSTITUTE(AA43,"+","%2B")&amp;"&amp;n="&amp;AC43&amp;"&amp;m="&amp;SUBSTITUTE('Start Here'!$B$24,"{name}",AC43))</f>
        <v/>
      </c>
      <c r="AE43" s="32">
        <f>LEN(AD43)</f>
        <v/>
      </c>
      <c r="AF43" s="32">
        <f>IF(AND(TRIM(A43&amp;"")&lt;&gt;"",OR(B43="Awaiting",B43="Not sure yet")),1,0)</f>
        <v/>
      </c>
      <c r="AG43" s="32">
        <f>N(AG42)+AF43</f>
        <v/>
      </c>
      <c r="AH43" s="32">
        <f>IF(AF43=1,AG43,"")</f>
        <v/>
      </c>
      <c r="AI43" s="32">
        <f>IF(AND(TRIM(A43&amp;"")&lt;&gt;"",L43&amp;""&lt;&gt;"",L43&amp;""=Seating!$I$3&amp;"",B43&lt;&gt;"Declined"),1,0)</f>
        <v/>
      </c>
      <c r="AJ43" s="32">
        <f>N(AJ42)+AI43</f>
        <v/>
      </c>
      <c r="AK43" s="32">
        <f>IF(AI43=1,AJ43,"")</f>
        <v/>
      </c>
    </row>
    <row r="44">
      <c r="A44" s="10" t="n"/>
      <c r="B44" s="47">
        <f>IF(TRIM(A44&amp;"")="","",IF(W44&lt;&gt;"",W44,IF(I44="","Awaiting",I44)))</f>
        <v/>
      </c>
      <c r="C44" s="60">
        <f>IF(OR(B44="Awaiting",B44="Not sure yet"),IF(AD44&lt;&gt;"",HYPERLINK(AD44,"💬 Remind"),"add mobile"),"")</f>
        <v/>
      </c>
      <c r="D44" s="58" t="n"/>
      <c r="E44" s="10" t="n"/>
      <c r="F44" s="10" t="n"/>
      <c r="G44" s="10" t="n"/>
      <c r="H44" s="10" t="n"/>
      <c r="I44" s="10" t="n"/>
      <c r="J44" s="10" t="n"/>
      <c r="K44" s="10" t="n"/>
      <c r="L44" s="56" t="n"/>
      <c r="M44" s="10" t="n"/>
      <c r="N44" s="12" t="n"/>
      <c r="O44" s="10" t="n"/>
      <c r="P44" s="10" t="n"/>
      <c r="Q44" s="61">
        <f>IF(V44="","",IF(T44="","Covered by "&amp;INDEX('Form Calc'!$B:$B,V44)&amp;"'s reply (same party)","Replied "&amp;TEXT(INDEX('Form Calc'!$A:$A,T44),"mm/dd")&amp;" · "&amp;INDEX('Form Calc'!$H:$H,T44)&amp;" adult(s), "&amp;INDEX('Form Calc'!$I:$I,T44)&amp;" child(ren)"&amp;IF(INDEX('Form Calc'!$K:$K,T44)&lt;&gt;""," · "&amp;INDEX('Form Calc'!$K:$K,T44),"")&amp;IF(INDEX('Form Calc'!$M:$M,T44)&lt;&gt;""," · “"&amp;INDEX('Form Calc'!$M:$M,T44)&amp;"”","")))</f>
        <v/>
      </c>
      <c r="R44" s="32">
        <f>SUBSTITUTE(SUBSTITUTE(SUBSTITUTE(SUBSTITUTE(SUBSTITUTE(SUBSTITUTE(SUBSTITUTE(SUBSTITUTE(D44&amp;""," ",""),"-",""),"(",""),")",""),".",""),"+",""),"/",""),CHAR(160),"")</f>
        <v/>
      </c>
      <c r="S44" s="32">
        <f>IF(LEN(R44)&gt;=10,RIGHT(R44,10),R44)</f>
        <v/>
      </c>
      <c r="T44" s="32">
        <f>IF(TRIM(A44&amp;"")="","",IF(S44&lt;&gt;"",IFERROR(MATCH(S44,'Form Calc'!$P:$P,0),IFERROR(MATCH(TRIM(A44&amp;""),'Form Calc'!$Q:$Q,0),"")),IFERROR(MATCH(TRIM(A44&amp;""),'Form Calc'!$Q:$Q,0),"")))</f>
        <v/>
      </c>
      <c r="U44" s="32">
        <f>IF(AND(T44&lt;&gt;"",TRIM(E44&amp;"")&lt;&gt;""),TRIM(E44&amp;""),"")</f>
        <v/>
      </c>
      <c r="V44" s="32">
        <f>IF(TRIM(A44&amp;"")="","",IF(T44&lt;&gt;"",T44,IF(TRIM(E44&amp;"")="","",IFERROR(INDEX($T$6:$T$505,MATCH(TRIM(E44&amp;""),$U$6:$U$505,0)),""))))</f>
        <v/>
      </c>
      <c r="W44" s="32">
        <f>IF(V44="","",INDEX('Form Calc'!$G:$G,V44))</f>
        <v/>
      </c>
      <c r="X44" s="32">
        <f>IF(TRIM(A44&amp;"")="","",IF(T44&lt;&gt;"",IF(INDEX('Form Calc'!$K:$K,T44)&lt;&gt;"",INDEX('Form Calc'!$K:$K,T44),J44&amp;""),J44&amp;""))</f>
        <v/>
      </c>
      <c r="Y44" s="32">
        <f>IF(TRIM(A44&amp;"")="","",IF(TRIM(D44&amp;"")&lt;&gt;"",TRIM(D44&amp;""),IF(T44&lt;&gt;"",INDEX('Form Calc'!$C:$C,T44)&amp;"","")))</f>
        <v/>
      </c>
      <c r="Z44" s="32">
        <f>SUBSTITUTE(SUBSTITUTE(SUBSTITUTE(SUBSTITUTE(SUBSTITUTE(SUBSTITUTE(SUBSTITUTE(SUBSTITUTE(Y44," ",""),"-",""),"(",""),")",""),".",""),"+",""),"/",""),CHAR(160),"")</f>
        <v/>
      </c>
      <c r="AA44" s="32">
        <f>IF(Z44="","",IF(LEN(Z44)=10,"+1"&amp;Z44,IF(AND(LEN(Z44)=11,LEFT(Z44,1)="1"),"+"&amp;Z44,IF(LEFT(Y44,1)="+","+"&amp;Z44,Z44))))</f>
        <v/>
      </c>
      <c r="AB44" s="32">
        <f>IF(TRIM(A44&amp;"")="","",IF(TRIM(M44&amp;"")&lt;&gt;"",TRIM(M44&amp;""),IFERROR(LEFT(TRIM(A44&amp;""),FIND(" ",TRIM(A44&amp;""))-1),TRIM(A44&amp;""))))</f>
        <v/>
      </c>
      <c r="AC44" s="32">
        <f>SUBSTITUTE(SUBSTITUTE(SUBSTITUTE(SUBSTITUTE(SUBSTITUTE(SUBSTITUTE(SUBSTITUTE(SUBSTITUTE(SUBSTITUTE(SUBSTITUTE(AB44,"%","%25"),"&amp;","%26"),"#","%23"),"+","%2B"),"=","%3D"),"?","%3F"),CHAR(34),"%22"),CHAR(10),"%0A"),CHAR(13),"")," ","+")</f>
        <v/>
      </c>
      <c r="AD44" s="32">
        <f>IF(OR(AA44="",AB44=""),"",'Start Here'!$B$20&amp;"#p="&amp;SUBSTITUTE(AA44,"+","%2B")&amp;"&amp;n="&amp;AC44&amp;"&amp;m="&amp;SUBSTITUTE('Start Here'!$B$24,"{name}",AC44))</f>
        <v/>
      </c>
      <c r="AE44" s="32">
        <f>LEN(AD44)</f>
        <v/>
      </c>
      <c r="AF44" s="32">
        <f>IF(AND(TRIM(A44&amp;"")&lt;&gt;"",OR(B44="Awaiting",B44="Not sure yet")),1,0)</f>
        <v/>
      </c>
      <c r="AG44" s="32">
        <f>N(AG43)+AF44</f>
        <v/>
      </c>
      <c r="AH44" s="32">
        <f>IF(AF44=1,AG44,"")</f>
        <v/>
      </c>
      <c r="AI44" s="32">
        <f>IF(AND(TRIM(A44&amp;"")&lt;&gt;"",L44&amp;""&lt;&gt;"",L44&amp;""=Seating!$I$3&amp;"",B44&lt;&gt;"Declined"),1,0)</f>
        <v/>
      </c>
      <c r="AJ44" s="32">
        <f>N(AJ43)+AI44</f>
        <v/>
      </c>
      <c r="AK44" s="32">
        <f>IF(AI44=1,AJ44,"")</f>
        <v/>
      </c>
    </row>
    <row r="45">
      <c r="A45" s="10" t="n"/>
      <c r="B45" s="47">
        <f>IF(TRIM(A45&amp;"")="","",IF(W45&lt;&gt;"",W45,IF(I45="","Awaiting",I45)))</f>
        <v/>
      </c>
      <c r="C45" s="60">
        <f>IF(OR(B45="Awaiting",B45="Not sure yet"),IF(AD45&lt;&gt;"",HYPERLINK(AD45,"💬 Remind"),"add mobile"),"")</f>
        <v/>
      </c>
      <c r="D45" s="58" t="n"/>
      <c r="E45" s="10" t="n"/>
      <c r="F45" s="10" t="n"/>
      <c r="G45" s="10" t="n"/>
      <c r="H45" s="10" t="n"/>
      <c r="I45" s="10" t="n"/>
      <c r="J45" s="10" t="n"/>
      <c r="K45" s="10" t="n"/>
      <c r="L45" s="56" t="n"/>
      <c r="M45" s="10" t="n"/>
      <c r="N45" s="12" t="n"/>
      <c r="O45" s="10" t="n"/>
      <c r="P45" s="10" t="n"/>
      <c r="Q45" s="61">
        <f>IF(V45="","",IF(T45="","Covered by "&amp;INDEX('Form Calc'!$B:$B,V45)&amp;"'s reply (same party)","Replied "&amp;TEXT(INDEX('Form Calc'!$A:$A,T45),"mm/dd")&amp;" · "&amp;INDEX('Form Calc'!$H:$H,T45)&amp;" adult(s), "&amp;INDEX('Form Calc'!$I:$I,T45)&amp;" child(ren)"&amp;IF(INDEX('Form Calc'!$K:$K,T45)&lt;&gt;""," · "&amp;INDEX('Form Calc'!$K:$K,T45),"")&amp;IF(INDEX('Form Calc'!$M:$M,T45)&lt;&gt;""," · “"&amp;INDEX('Form Calc'!$M:$M,T45)&amp;"”","")))</f>
        <v/>
      </c>
      <c r="R45" s="32">
        <f>SUBSTITUTE(SUBSTITUTE(SUBSTITUTE(SUBSTITUTE(SUBSTITUTE(SUBSTITUTE(SUBSTITUTE(SUBSTITUTE(D45&amp;""," ",""),"-",""),"(",""),")",""),".",""),"+",""),"/",""),CHAR(160),"")</f>
        <v/>
      </c>
      <c r="S45" s="32">
        <f>IF(LEN(R45)&gt;=10,RIGHT(R45,10),R45)</f>
        <v/>
      </c>
      <c r="T45" s="32">
        <f>IF(TRIM(A45&amp;"")="","",IF(S45&lt;&gt;"",IFERROR(MATCH(S45,'Form Calc'!$P:$P,0),IFERROR(MATCH(TRIM(A45&amp;""),'Form Calc'!$Q:$Q,0),"")),IFERROR(MATCH(TRIM(A45&amp;""),'Form Calc'!$Q:$Q,0),"")))</f>
        <v/>
      </c>
      <c r="U45" s="32">
        <f>IF(AND(T45&lt;&gt;"",TRIM(E45&amp;"")&lt;&gt;""),TRIM(E45&amp;""),"")</f>
        <v/>
      </c>
      <c r="V45" s="32">
        <f>IF(TRIM(A45&amp;"")="","",IF(T45&lt;&gt;"",T45,IF(TRIM(E45&amp;"")="","",IFERROR(INDEX($T$6:$T$505,MATCH(TRIM(E45&amp;""),$U$6:$U$505,0)),""))))</f>
        <v/>
      </c>
      <c r="W45" s="32">
        <f>IF(V45="","",INDEX('Form Calc'!$G:$G,V45))</f>
        <v/>
      </c>
      <c r="X45" s="32">
        <f>IF(TRIM(A45&amp;"")="","",IF(T45&lt;&gt;"",IF(INDEX('Form Calc'!$K:$K,T45)&lt;&gt;"",INDEX('Form Calc'!$K:$K,T45),J45&amp;""),J45&amp;""))</f>
        <v/>
      </c>
      <c r="Y45" s="32">
        <f>IF(TRIM(A45&amp;"")="","",IF(TRIM(D45&amp;"")&lt;&gt;"",TRIM(D45&amp;""),IF(T45&lt;&gt;"",INDEX('Form Calc'!$C:$C,T45)&amp;"","")))</f>
        <v/>
      </c>
      <c r="Z45" s="32">
        <f>SUBSTITUTE(SUBSTITUTE(SUBSTITUTE(SUBSTITUTE(SUBSTITUTE(SUBSTITUTE(SUBSTITUTE(SUBSTITUTE(Y45," ",""),"-",""),"(",""),")",""),".",""),"+",""),"/",""),CHAR(160),"")</f>
        <v/>
      </c>
      <c r="AA45" s="32">
        <f>IF(Z45="","",IF(LEN(Z45)=10,"+1"&amp;Z45,IF(AND(LEN(Z45)=11,LEFT(Z45,1)="1"),"+"&amp;Z45,IF(LEFT(Y45,1)="+","+"&amp;Z45,Z45))))</f>
        <v/>
      </c>
      <c r="AB45" s="32">
        <f>IF(TRIM(A45&amp;"")="","",IF(TRIM(M45&amp;"")&lt;&gt;"",TRIM(M45&amp;""),IFERROR(LEFT(TRIM(A45&amp;""),FIND(" ",TRIM(A45&amp;""))-1),TRIM(A45&amp;""))))</f>
        <v/>
      </c>
      <c r="AC45" s="32">
        <f>SUBSTITUTE(SUBSTITUTE(SUBSTITUTE(SUBSTITUTE(SUBSTITUTE(SUBSTITUTE(SUBSTITUTE(SUBSTITUTE(SUBSTITUTE(SUBSTITUTE(AB45,"%","%25"),"&amp;","%26"),"#","%23"),"+","%2B"),"=","%3D"),"?","%3F"),CHAR(34),"%22"),CHAR(10),"%0A"),CHAR(13),"")," ","+")</f>
        <v/>
      </c>
      <c r="AD45" s="32">
        <f>IF(OR(AA45="",AB45=""),"",'Start Here'!$B$20&amp;"#p="&amp;SUBSTITUTE(AA45,"+","%2B")&amp;"&amp;n="&amp;AC45&amp;"&amp;m="&amp;SUBSTITUTE('Start Here'!$B$24,"{name}",AC45))</f>
        <v/>
      </c>
      <c r="AE45" s="32">
        <f>LEN(AD45)</f>
        <v/>
      </c>
      <c r="AF45" s="32">
        <f>IF(AND(TRIM(A45&amp;"")&lt;&gt;"",OR(B45="Awaiting",B45="Not sure yet")),1,0)</f>
        <v/>
      </c>
      <c r="AG45" s="32">
        <f>N(AG44)+AF45</f>
        <v/>
      </c>
      <c r="AH45" s="32">
        <f>IF(AF45=1,AG45,"")</f>
        <v/>
      </c>
      <c r="AI45" s="32">
        <f>IF(AND(TRIM(A45&amp;"")&lt;&gt;"",L45&amp;""&lt;&gt;"",L45&amp;""=Seating!$I$3&amp;"",B45&lt;&gt;"Declined"),1,0)</f>
        <v/>
      </c>
      <c r="AJ45" s="32">
        <f>N(AJ44)+AI45</f>
        <v/>
      </c>
      <c r="AK45" s="32">
        <f>IF(AI45=1,AJ45,"")</f>
        <v/>
      </c>
    </row>
    <row r="46">
      <c r="A46" s="10" t="n"/>
      <c r="B46" s="47">
        <f>IF(TRIM(A46&amp;"")="","",IF(W46&lt;&gt;"",W46,IF(I46="","Awaiting",I46)))</f>
        <v/>
      </c>
      <c r="C46" s="60">
        <f>IF(OR(B46="Awaiting",B46="Not sure yet"),IF(AD46&lt;&gt;"",HYPERLINK(AD46,"💬 Remind"),"add mobile"),"")</f>
        <v/>
      </c>
      <c r="D46" s="58" t="n"/>
      <c r="E46" s="10" t="n"/>
      <c r="F46" s="10" t="n"/>
      <c r="G46" s="10" t="n"/>
      <c r="H46" s="10" t="n"/>
      <c r="I46" s="10" t="n"/>
      <c r="J46" s="10" t="n"/>
      <c r="K46" s="10" t="n"/>
      <c r="L46" s="56" t="n"/>
      <c r="M46" s="10" t="n"/>
      <c r="N46" s="12" t="n"/>
      <c r="O46" s="10" t="n"/>
      <c r="P46" s="10" t="n"/>
      <c r="Q46" s="61">
        <f>IF(V46="","",IF(T46="","Covered by "&amp;INDEX('Form Calc'!$B:$B,V46)&amp;"'s reply (same party)","Replied "&amp;TEXT(INDEX('Form Calc'!$A:$A,T46),"mm/dd")&amp;" · "&amp;INDEX('Form Calc'!$H:$H,T46)&amp;" adult(s), "&amp;INDEX('Form Calc'!$I:$I,T46)&amp;" child(ren)"&amp;IF(INDEX('Form Calc'!$K:$K,T46)&lt;&gt;""," · "&amp;INDEX('Form Calc'!$K:$K,T46),"")&amp;IF(INDEX('Form Calc'!$M:$M,T46)&lt;&gt;""," · “"&amp;INDEX('Form Calc'!$M:$M,T46)&amp;"”","")))</f>
        <v/>
      </c>
      <c r="R46" s="32">
        <f>SUBSTITUTE(SUBSTITUTE(SUBSTITUTE(SUBSTITUTE(SUBSTITUTE(SUBSTITUTE(SUBSTITUTE(SUBSTITUTE(D46&amp;""," ",""),"-",""),"(",""),")",""),".",""),"+",""),"/",""),CHAR(160),"")</f>
        <v/>
      </c>
      <c r="S46" s="32">
        <f>IF(LEN(R46)&gt;=10,RIGHT(R46,10),R46)</f>
        <v/>
      </c>
      <c r="T46" s="32">
        <f>IF(TRIM(A46&amp;"")="","",IF(S46&lt;&gt;"",IFERROR(MATCH(S46,'Form Calc'!$P:$P,0),IFERROR(MATCH(TRIM(A46&amp;""),'Form Calc'!$Q:$Q,0),"")),IFERROR(MATCH(TRIM(A46&amp;""),'Form Calc'!$Q:$Q,0),"")))</f>
        <v/>
      </c>
      <c r="U46" s="32">
        <f>IF(AND(T46&lt;&gt;"",TRIM(E46&amp;"")&lt;&gt;""),TRIM(E46&amp;""),"")</f>
        <v/>
      </c>
      <c r="V46" s="32">
        <f>IF(TRIM(A46&amp;"")="","",IF(T46&lt;&gt;"",T46,IF(TRIM(E46&amp;"")="","",IFERROR(INDEX($T$6:$T$505,MATCH(TRIM(E46&amp;""),$U$6:$U$505,0)),""))))</f>
        <v/>
      </c>
      <c r="W46" s="32">
        <f>IF(V46="","",INDEX('Form Calc'!$G:$G,V46))</f>
        <v/>
      </c>
      <c r="X46" s="32">
        <f>IF(TRIM(A46&amp;"")="","",IF(T46&lt;&gt;"",IF(INDEX('Form Calc'!$K:$K,T46)&lt;&gt;"",INDEX('Form Calc'!$K:$K,T46),J46&amp;""),J46&amp;""))</f>
        <v/>
      </c>
      <c r="Y46" s="32">
        <f>IF(TRIM(A46&amp;"")="","",IF(TRIM(D46&amp;"")&lt;&gt;"",TRIM(D46&amp;""),IF(T46&lt;&gt;"",INDEX('Form Calc'!$C:$C,T46)&amp;"","")))</f>
        <v/>
      </c>
      <c r="Z46" s="32">
        <f>SUBSTITUTE(SUBSTITUTE(SUBSTITUTE(SUBSTITUTE(SUBSTITUTE(SUBSTITUTE(SUBSTITUTE(SUBSTITUTE(Y46," ",""),"-",""),"(",""),")",""),".",""),"+",""),"/",""),CHAR(160),"")</f>
        <v/>
      </c>
      <c r="AA46" s="32">
        <f>IF(Z46="","",IF(LEN(Z46)=10,"+1"&amp;Z46,IF(AND(LEN(Z46)=11,LEFT(Z46,1)="1"),"+"&amp;Z46,IF(LEFT(Y46,1)="+","+"&amp;Z46,Z46))))</f>
        <v/>
      </c>
      <c r="AB46" s="32">
        <f>IF(TRIM(A46&amp;"")="","",IF(TRIM(M46&amp;"")&lt;&gt;"",TRIM(M46&amp;""),IFERROR(LEFT(TRIM(A46&amp;""),FIND(" ",TRIM(A46&amp;""))-1),TRIM(A46&amp;""))))</f>
        <v/>
      </c>
      <c r="AC46" s="32">
        <f>SUBSTITUTE(SUBSTITUTE(SUBSTITUTE(SUBSTITUTE(SUBSTITUTE(SUBSTITUTE(SUBSTITUTE(SUBSTITUTE(SUBSTITUTE(SUBSTITUTE(AB46,"%","%25"),"&amp;","%26"),"#","%23"),"+","%2B"),"=","%3D"),"?","%3F"),CHAR(34),"%22"),CHAR(10),"%0A"),CHAR(13),"")," ","+")</f>
        <v/>
      </c>
      <c r="AD46" s="32">
        <f>IF(OR(AA46="",AB46=""),"",'Start Here'!$B$20&amp;"#p="&amp;SUBSTITUTE(AA46,"+","%2B")&amp;"&amp;n="&amp;AC46&amp;"&amp;m="&amp;SUBSTITUTE('Start Here'!$B$24,"{name}",AC46))</f>
        <v/>
      </c>
      <c r="AE46" s="32">
        <f>LEN(AD46)</f>
        <v/>
      </c>
      <c r="AF46" s="32">
        <f>IF(AND(TRIM(A46&amp;"")&lt;&gt;"",OR(B46="Awaiting",B46="Not sure yet")),1,0)</f>
        <v/>
      </c>
      <c r="AG46" s="32">
        <f>N(AG45)+AF46</f>
        <v/>
      </c>
      <c r="AH46" s="32">
        <f>IF(AF46=1,AG46,"")</f>
        <v/>
      </c>
      <c r="AI46" s="32">
        <f>IF(AND(TRIM(A46&amp;"")&lt;&gt;"",L46&amp;""&lt;&gt;"",L46&amp;""=Seating!$I$3&amp;"",B46&lt;&gt;"Declined"),1,0)</f>
        <v/>
      </c>
      <c r="AJ46" s="32">
        <f>N(AJ45)+AI46</f>
        <v/>
      </c>
      <c r="AK46" s="32">
        <f>IF(AI46=1,AJ46,"")</f>
        <v/>
      </c>
    </row>
    <row r="47">
      <c r="A47" s="10" t="n"/>
      <c r="B47" s="47">
        <f>IF(TRIM(A47&amp;"")="","",IF(W47&lt;&gt;"",W47,IF(I47="","Awaiting",I47)))</f>
        <v/>
      </c>
      <c r="C47" s="60">
        <f>IF(OR(B47="Awaiting",B47="Not sure yet"),IF(AD47&lt;&gt;"",HYPERLINK(AD47,"💬 Remind"),"add mobile"),"")</f>
        <v/>
      </c>
      <c r="D47" s="58" t="n"/>
      <c r="E47" s="10" t="n"/>
      <c r="F47" s="10" t="n"/>
      <c r="G47" s="10" t="n"/>
      <c r="H47" s="10" t="n"/>
      <c r="I47" s="10" t="n"/>
      <c r="J47" s="10" t="n"/>
      <c r="K47" s="10" t="n"/>
      <c r="L47" s="56" t="n"/>
      <c r="M47" s="10" t="n"/>
      <c r="N47" s="12" t="n"/>
      <c r="O47" s="10" t="n"/>
      <c r="P47" s="10" t="n"/>
      <c r="Q47" s="61">
        <f>IF(V47="","",IF(T47="","Covered by "&amp;INDEX('Form Calc'!$B:$B,V47)&amp;"'s reply (same party)","Replied "&amp;TEXT(INDEX('Form Calc'!$A:$A,T47),"mm/dd")&amp;" · "&amp;INDEX('Form Calc'!$H:$H,T47)&amp;" adult(s), "&amp;INDEX('Form Calc'!$I:$I,T47)&amp;" child(ren)"&amp;IF(INDEX('Form Calc'!$K:$K,T47)&lt;&gt;""," · "&amp;INDEX('Form Calc'!$K:$K,T47),"")&amp;IF(INDEX('Form Calc'!$M:$M,T47)&lt;&gt;""," · “"&amp;INDEX('Form Calc'!$M:$M,T47)&amp;"”","")))</f>
        <v/>
      </c>
      <c r="R47" s="32">
        <f>SUBSTITUTE(SUBSTITUTE(SUBSTITUTE(SUBSTITUTE(SUBSTITUTE(SUBSTITUTE(SUBSTITUTE(SUBSTITUTE(D47&amp;""," ",""),"-",""),"(",""),")",""),".",""),"+",""),"/",""),CHAR(160),"")</f>
        <v/>
      </c>
      <c r="S47" s="32">
        <f>IF(LEN(R47)&gt;=10,RIGHT(R47,10),R47)</f>
        <v/>
      </c>
      <c r="T47" s="32">
        <f>IF(TRIM(A47&amp;"")="","",IF(S47&lt;&gt;"",IFERROR(MATCH(S47,'Form Calc'!$P:$P,0),IFERROR(MATCH(TRIM(A47&amp;""),'Form Calc'!$Q:$Q,0),"")),IFERROR(MATCH(TRIM(A47&amp;""),'Form Calc'!$Q:$Q,0),"")))</f>
        <v/>
      </c>
      <c r="U47" s="32">
        <f>IF(AND(T47&lt;&gt;"",TRIM(E47&amp;"")&lt;&gt;""),TRIM(E47&amp;""),"")</f>
        <v/>
      </c>
      <c r="V47" s="32">
        <f>IF(TRIM(A47&amp;"")="","",IF(T47&lt;&gt;"",T47,IF(TRIM(E47&amp;"")="","",IFERROR(INDEX($T$6:$T$505,MATCH(TRIM(E47&amp;""),$U$6:$U$505,0)),""))))</f>
        <v/>
      </c>
      <c r="W47" s="32">
        <f>IF(V47="","",INDEX('Form Calc'!$G:$G,V47))</f>
        <v/>
      </c>
      <c r="X47" s="32">
        <f>IF(TRIM(A47&amp;"")="","",IF(T47&lt;&gt;"",IF(INDEX('Form Calc'!$K:$K,T47)&lt;&gt;"",INDEX('Form Calc'!$K:$K,T47),J47&amp;""),J47&amp;""))</f>
        <v/>
      </c>
      <c r="Y47" s="32">
        <f>IF(TRIM(A47&amp;"")="","",IF(TRIM(D47&amp;"")&lt;&gt;"",TRIM(D47&amp;""),IF(T47&lt;&gt;"",INDEX('Form Calc'!$C:$C,T47)&amp;"","")))</f>
        <v/>
      </c>
      <c r="Z47" s="32">
        <f>SUBSTITUTE(SUBSTITUTE(SUBSTITUTE(SUBSTITUTE(SUBSTITUTE(SUBSTITUTE(SUBSTITUTE(SUBSTITUTE(Y47," ",""),"-",""),"(",""),")",""),".",""),"+",""),"/",""),CHAR(160),"")</f>
        <v/>
      </c>
      <c r="AA47" s="32">
        <f>IF(Z47="","",IF(LEN(Z47)=10,"+1"&amp;Z47,IF(AND(LEN(Z47)=11,LEFT(Z47,1)="1"),"+"&amp;Z47,IF(LEFT(Y47,1)="+","+"&amp;Z47,Z47))))</f>
        <v/>
      </c>
      <c r="AB47" s="32">
        <f>IF(TRIM(A47&amp;"")="","",IF(TRIM(M47&amp;"")&lt;&gt;"",TRIM(M47&amp;""),IFERROR(LEFT(TRIM(A47&amp;""),FIND(" ",TRIM(A47&amp;""))-1),TRIM(A47&amp;""))))</f>
        <v/>
      </c>
      <c r="AC47" s="32">
        <f>SUBSTITUTE(SUBSTITUTE(SUBSTITUTE(SUBSTITUTE(SUBSTITUTE(SUBSTITUTE(SUBSTITUTE(SUBSTITUTE(SUBSTITUTE(SUBSTITUTE(AB47,"%","%25"),"&amp;","%26"),"#","%23"),"+","%2B"),"=","%3D"),"?","%3F"),CHAR(34),"%22"),CHAR(10),"%0A"),CHAR(13),"")," ","+")</f>
        <v/>
      </c>
      <c r="AD47" s="32">
        <f>IF(OR(AA47="",AB47=""),"",'Start Here'!$B$20&amp;"#p="&amp;SUBSTITUTE(AA47,"+","%2B")&amp;"&amp;n="&amp;AC47&amp;"&amp;m="&amp;SUBSTITUTE('Start Here'!$B$24,"{name}",AC47))</f>
        <v/>
      </c>
      <c r="AE47" s="32">
        <f>LEN(AD47)</f>
        <v/>
      </c>
      <c r="AF47" s="32">
        <f>IF(AND(TRIM(A47&amp;"")&lt;&gt;"",OR(B47="Awaiting",B47="Not sure yet")),1,0)</f>
        <v/>
      </c>
      <c r="AG47" s="32">
        <f>N(AG46)+AF47</f>
        <v/>
      </c>
      <c r="AH47" s="32">
        <f>IF(AF47=1,AG47,"")</f>
        <v/>
      </c>
      <c r="AI47" s="32">
        <f>IF(AND(TRIM(A47&amp;"")&lt;&gt;"",L47&amp;""&lt;&gt;"",L47&amp;""=Seating!$I$3&amp;"",B47&lt;&gt;"Declined"),1,0)</f>
        <v/>
      </c>
      <c r="AJ47" s="32">
        <f>N(AJ46)+AI47</f>
        <v/>
      </c>
      <c r="AK47" s="32">
        <f>IF(AI47=1,AJ47,"")</f>
        <v/>
      </c>
    </row>
    <row r="48">
      <c r="A48" s="10" t="n"/>
      <c r="B48" s="47">
        <f>IF(TRIM(A48&amp;"")="","",IF(W48&lt;&gt;"",W48,IF(I48="","Awaiting",I48)))</f>
        <v/>
      </c>
      <c r="C48" s="60">
        <f>IF(OR(B48="Awaiting",B48="Not sure yet"),IF(AD48&lt;&gt;"",HYPERLINK(AD48,"💬 Remind"),"add mobile"),"")</f>
        <v/>
      </c>
      <c r="D48" s="58" t="n"/>
      <c r="E48" s="10" t="n"/>
      <c r="F48" s="10" t="n"/>
      <c r="G48" s="10" t="n"/>
      <c r="H48" s="10" t="n"/>
      <c r="I48" s="10" t="n"/>
      <c r="J48" s="10" t="n"/>
      <c r="K48" s="10" t="n"/>
      <c r="L48" s="56" t="n"/>
      <c r="M48" s="10" t="n"/>
      <c r="N48" s="12" t="n"/>
      <c r="O48" s="10" t="n"/>
      <c r="P48" s="10" t="n"/>
      <c r="Q48" s="61">
        <f>IF(V48="","",IF(T48="","Covered by "&amp;INDEX('Form Calc'!$B:$B,V48)&amp;"'s reply (same party)","Replied "&amp;TEXT(INDEX('Form Calc'!$A:$A,T48),"mm/dd")&amp;" · "&amp;INDEX('Form Calc'!$H:$H,T48)&amp;" adult(s), "&amp;INDEX('Form Calc'!$I:$I,T48)&amp;" child(ren)"&amp;IF(INDEX('Form Calc'!$K:$K,T48)&lt;&gt;""," · "&amp;INDEX('Form Calc'!$K:$K,T48),"")&amp;IF(INDEX('Form Calc'!$M:$M,T48)&lt;&gt;""," · “"&amp;INDEX('Form Calc'!$M:$M,T48)&amp;"”","")))</f>
        <v/>
      </c>
      <c r="R48" s="32">
        <f>SUBSTITUTE(SUBSTITUTE(SUBSTITUTE(SUBSTITUTE(SUBSTITUTE(SUBSTITUTE(SUBSTITUTE(SUBSTITUTE(D48&amp;""," ",""),"-",""),"(",""),")",""),".",""),"+",""),"/",""),CHAR(160),"")</f>
        <v/>
      </c>
      <c r="S48" s="32">
        <f>IF(LEN(R48)&gt;=10,RIGHT(R48,10),R48)</f>
        <v/>
      </c>
      <c r="T48" s="32">
        <f>IF(TRIM(A48&amp;"")="","",IF(S48&lt;&gt;"",IFERROR(MATCH(S48,'Form Calc'!$P:$P,0),IFERROR(MATCH(TRIM(A48&amp;""),'Form Calc'!$Q:$Q,0),"")),IFERROR(MATCH(TRIM(A48&amp;""),'Form Calc'!$Q:$Q,0),"")))</f>
        <v/>
      </c>
      <c r="U48" s="32">
        <f>IF(AND(T48&lt;&gt;"",TRIM(E48&amp;"")&lt;&gt;""),TRIM(E48&amp;""),"")</f>
        <v/>
      </c>
      <c r="V48" s="32">
        <f>IF(TRIM(A48&amp;"")="","",IF(T48&lt;&gt;"",T48,IF(TRIM(E48&amp;"")="","",IFERROR(INDEX($T$6:$T$505,MATCH(TRIM(E48&amp;""),$U$6:$U$505,0)),""))))</f>
        <v/>
      </c>
      <c r="W48" s="32">
        <f>IF(V48="","",INDEX('Form Calc'!$G:$G,V48))</f>
        <v/>
      </c>
      <c r="X48" s="32">
        <f>IF(TRIM(A48&amp;"")="","",IF(T48&lt;&gt;"",IF(INDEX('Form Calc'!$K:$K,T48)&lt;&gt;"",INDEX('Form Calc'!$K:$K,T48),J48&amp;""),J48&amp;""))</f>
        <v/>
      </c>
      <c r="Y48" s="32">
        <f>IF(TRIM(A48&amp;"")="","",IF(TRIM(D48&amp;"")&lt;&gt;"",TRIM(D48&amp;""),IF(T48&lt;&gt;"",INDEX('Form Calc'!$C:$C,T48)&amp;"","")))</f>
        <v/>
      </c>
      <c r="Z48" s="32">
        <f>SUBSTITUTE(SUBSTITUTE(SUBSTITUTE(SUBSTITUTE(SUBSTITUTE(SUBSTITUTE(SUBSTITUTE(SUBSTITUTE(Y48," ",""),"-",""),"(",""),")",""),".",""),"+",""),"/",""),CHAR(160),"")</f>
        <v/>
      </c>
      <c r="AA48" s="32">
        <f>IF(Z48="","",IF(LEN(Z48)=10,"+1"&amp;Z48,IF(AND(LEN(Z48)=11,LEFT(Z48,1)="1"),"+"&amp;Z48,IF(LEFT(Y48,1)="+","+"&amp;Z48,Z48))))</f>
        <v/>
      </c>
      <c r="AB48" s="32">
        <f>IF(TRIM(A48&amp;"")="","",IF(TRIM(M48&amp;"")&lt;&gt;"",TRIM(M48&amp;""),IFERROR(LEFT(TRIM(A48&amp;""),FIND(" ",TRIM(A48&amp;""))-1),TRIM(A48&amp;""))))</f>
        <v/>
      </c>
      <c r="AC48" s="32">
        <f>SUBSTITUTE(SUBSTITUTE(SUBSTITUTE(SUBSTITUTE(SUBSTITUTE(SUBSTITUTE(SUBSTITUTE(SUBSTITUTE(SUBSTITUTE(SUBSTITUTE(AB48,"%","%25"),"&amp;","%26"),"#","%23"),"+","%2B"),"=","%3D"),"?","%3F"),CHAR(34),"%22"),CHAR(10),"%0A"),CHAR(13),"")," ","+")</f>
        <v/>
      </c>
      <c r="AD48" s="32">
        <f>IF(OR(AA48="",AB48=""),"",'Start Here'!$B$20&amp;"#p="&amp;SUBSTITUTE(AA48,"+","%2B")&amp;"&amp;n="&amp;AC48&amp;"&amp;m="&amp;SUBSTITUTE('Start Here'!$B$24,"{name}",AC48))</f>
        <v/>
      </c>
      <c r="AE48" s="32">
        <f>LEN(AD48)</f>
        <v/>
      </c>
      <c r="AF48" s="32">
        <f>IF(AND(TRIM(A48&amp;"")&lt;&gt;"",OR(B48="Awaiting",B48="Not sure yet")),1,0)</f>
        <v/>
      </c>
      <c r="AG48" s="32">
        <f>N(AG47)+AF48</f>
        <v/>
      </c>
      <c r="AH48" s="32">
        <f>IF(AF48=1,AG48,"")</f>
        <v/>
      </c>
      <c r="AI48" s="32">
        <f>IF(AND(TRIM(A48&amp;"")&lt;&gt;"",L48&amp;""&lt;&gt;"",L48&amp;""=Seating!$I$3&amp;"",B48&lt;&gt;"Declined"),1,0)</f>
        <v/>
      </c>
      <c r="AJ48" s="32">
        <f>N(AJ47)+AI48</f>
        <v/>
      </c>
      <c r="AK48" s="32">
        <f>IF(AI48=1,AJ48,"")</f>
        <v/>
      </c>
    </row>
    <row r="49">
      <c r="A49" s="10" t="n"/>
      <c r="B49" s="47">
        <f>IF(TRIM(A49&amp;"")="","",IF(W49&lt;&gt;"",W49,IF(I49="","Awaiting",I49)))</f>
        <v/>
      </c>
      <c r="C49" s="60">
        <f>IF(OR(B49="Awaiting",B49="Not sure yet"),IF(AD49&lt;&gt;"",HYPERLINK(AD49,"💬 Remind"),"add mobile"),"")</f>
        <v/>
      </c>
      <c r="D49" s="58" t="n"/>
      <c r="E49" s="10" t="n"/>
      <c r="F49" s="10" t="n"/>
      <c r="G49" s="10" t="n"/>
      <c r="H49" s="10" t="n"/>
      <c r="I49" s="10" t="n"/>
      <c r="J49" s="10" t="n"/>
      <c r="K49" s="10" t="n"/>
      <c r="L49" s="56" t="n"/>
      <c r="M49" s="10" t="n"/>
      <c r="N49" s="12" t="n"/>
      <c r="O49" s="10" t="n"/>
      <c r="P49" s="10" t="n"/>
      <c r="Q49" s="61">
        <f>IF(V49="","",IF(T49="","Covered by "&amp;INDEX('Form Calc'!$B:$B,V49)&amp;"'s reply (same party)","Replied "&amp;TEXT(INDEX('Form Calc'!$A:$A,T49),"mm/dd")&amp;" · "&amp;INDEX('Form Calc'!$H:$H,T49)&amp;" adult(s), "&amp;INDEX('Form Calc'!$I:$I,T49)&amp;" child(ren)"&amp;IF(INDEX('Form Calc'!$K:$K,T49)&lt;&gt;""," · "&amp;INDEX('Form Calc'!$K:$K,T49),"")&amp;IF(INDEX('Form Calc'!$M:$M,T49)&lt;&gt;""," · “"&amp;INDEX('Form Calc'!$M:$M,T49)&amp;"”","")))</f>
        <v/>
      </c>
      <c r="R49" s="32">
        <f>SUBSTITUTE(SUBSTITUTE(SUBSTITUTE(SUBSTITUTE(SUBSTITUTE(SUBSTITUTE(SUBSTITUTE(SUBSTITUTE(D49&amp;""," ",""),"-",""),"(",""),")",""),".",""),"+",""),"/",""),CHAR(160),"")</f>
        <v/>
      </c>
      <c r="S49" s="32">
        <f>IF(LEN(R49)&gt;=10,RIGHT(R49,10),R49)</f>
        <v/>
      </c>
      <c r="T49" s="32">
        <f>IF(TRIM(A49&amp;"")="","",IF(S49&lt;&gt;"",IFERROR(MATCH(S49,'Form Calc'!$P:$P,0),IFERROR(MATCH(TRIM(A49&amp;""),'Form Calc'!$Q:$Q,0),"")),IFERROR(MATCH(TRIM(A49&amp;""),'Form Calc'!$Q:$Q,0),"")))</f>
        <v/>
      </c>
      <c r="U49" s="32">
        <f>IF(AND(T49&lt;&gt;"",TRIM(E49&amp;"")&lt;&gt;""),TRIM(E49&amp;""),"")</f>
        <v/>
      </c>
      <c r="V49" s="32">
        <f>IF(TRIM(A49&amp;"")="","",IF(T49&lt;&gt;"",T49,IF(TRIM(E49&amp;"")="","",IFERROR(INDEX($T$6:$T$505,MATCH(TRIM(E49&amp;""),$U$6:$U$505,0)),""))))</f>
        <v/>
      </c>
      <c r="W49" s="32">
        <f>IF(V49="","",INDEX('Form Calc'!$G:$G,V49))</f>
        <v/>
      </c>
      <c r="X49" s="32">
        <f>IF(TRIM(A49&amp;"")="","",IF(T49&lt;&gt;"",IF(INDEX('Form Calc'!$K:$K,T49)&lt;&gt;"",INDEX('Form Calc'!$K:$K,T49),J49&amp;""),J49&amp;""))</f>
        <v/>
      </c>
      <c r="Y49" s="32">
        <f>IF(TRIM(A49&amp;"")="","",IF(TRIM(D49&amp;"")&lt;&gt;"",TRIM(D49&amp;""),IF(T49&lt;&gt;"",INDEX('Form Calc'!$C:$C,T49)&amp;"","")))</f>
        <v/>
      </c>
      <c r="Z49" s="32">
        <f>SUBSTITUTE(SUBSTITUTE(SUBSTITUTE(SUBSTITUTE(SUBSTITUTE(SUBSTITUTE(SUBSTITUTE(SUBSTITUTE(Y49," ",""),"-",""),"(",""),")",""),".",""),"+",""),"/",""),CHAR(160),"")</f>
        <v/>
      </c>
      <c r="AA49" s="32">
        <f>IF(Z49="","",IF(LEN(Z49)=10,"+1"&amp;Z49,IF(AND(LEN(Z49)=11,LEFT(Z49,1)="1"),"+"&amp;Z49,IF(LEFT(Y49,1)="+","+"&amp;Z49,Z49))))</f>
        <v/>
      </c>
      <c r="AB49" s="32">
        <f>IF(TRIM(A49&amp;"")="","",IF(TRIM(M49&amp;"")&lt;&gt;"",TRIM(M49&amp;""),IFERROR(LEFT(TRIM(A49&amp;""),FIND(" ",TRIM(A49&amp;""))-1),TRIM(A49&amp;""))))</f>
        <v/>
      </c>
      <c r="AC49" s="32">
        <f>SUBSTITUTE(SUBSTITUTE(SUBSTITUTE(SUBSTITUTE(SUBSTITUTE(SUBSTITUTE(SUBSTITUTE(SUBSTITUTE(SUBSTITUTE(SUBSTITUTE(AB49,"%","%25"),"&amp;","%26"),"#","%23"),"+","%2B"),"=","%3D"),"?","%3F"),CHAR(34),"%22"),CHAR(10),"%0A"),CHAR(13),"")," ","+")</f>
        <v/>
      </c>
      <c r="AD49" s="32">
        <f>IF(OR(AA49="",AB49=""),"",'Start Here'!$B$20&amp;"#p="&amp;SUBSTITUTE(AA49,"+","%2B")&amp;"&amp;n="&amp;AC49&amp;"&amp;m="&amp;SUBSTITUTE('Start Here'!$B$24,"{name}",AC49))</f>
        <v/>
      </c>
      <c r="AE49" s="32">
        <f>LEN(AD49)</f>
        <v/>
      </c>
      <c r="AF49" s="32">
        <f>IF(AND(TRIM(A49&amp;"")&lt;&gt;"",OR(B49="Awaiting",B49="Not sure yet")),1,0)</f>
        <v/>
      </c>
      <c r="AG49" s="32">
        <f>N(AG48)+AF49</f>
        <v/>
      </c>
      <c r="AH49" s="32">
        <f>IF(AF49=1,AG49,"")</f>
        <v/>
      </c>
      <c r="AI49" s="32">
        <f>IF(AND(TRIM(A49&amp;"")&lt;&gt;"",L49&amp;""&lt;&gt;"",L49&amp;""=Seating!$I$3&amp;"",B49&lt;&gt;"Declined"),1,0)</f>
        <v/>
      </c>
      <c r="AJ49" s="32">
        <f>N(AJ48)+AI49</f>
        <v/>
      </c>
      <c r="AK49" s="32">
        <f>IF(AI49=1,AJ49,"")</f>
        <v/>
      </c>
    </row>
    <row r="50">
      <c r="A50" s="10" t="n"/>
      <c r="B50" s="47">
        <f>IF(TRIM(A50&amp;"")="","",IF(W50&lt;&gt;"",W50,IF(I50="","Awaiting",I50)))</f>
        <v/>
      </c>
      <c r="C50" s="60">
        <f>IF(OR(B50="Awaiting",B50="Not sure yet"),IF(AD50&lt;&gt;"",HYPERLINK(AD50,"💬 Remind"),"add mobile"),"")</f>
        <v/>
      </c>
      <c r="D50" s="58" t="n"/>
      <c r="E50" s="10" t="n"/>
      <c r="F50" s="10" t="n"/>
      <c r="G50" s="10" t="n"/>
      <c r="H50" s="10" t="n"/>
      <c r="I50" s="10" t="n"/>
      <c r="J50" s="10" t="n"/>
      <c r="K50" s="10" t="n"/>
      <c r="L50" s="56" t="n"/>
      <c r="M50" s="10" t="n"/>
      <c r="N50" s="12" t="n"/>
      <c r="O50" s="10" t="n"/>
      <c r="P50" s="10" t="n"/>
      <c r="Q50" s="61">
        <f>IF(V50="","",IF(T50="","Covered by "&amp;INDEX('Form Calc'!$B:$B,V50)&amp;"'s reply (same party)","Replied "&amp;TEXT(INDEX('Form Calc'!$A:$A,T50),"mm/dd")&amp;" · "&amp;INDEX('Form Calc'!$H:$H,T50)&amp;" adult(s), "&amp;INDEX('Form Calc'!$I:$I,T50)&amp;" child(ren)"&amp;IF(INDEX('Form Calc'!$K:$K,T50)&lt;&gt;""," · "&amp;INDEX('Form Calc'!$K:$K,T50),"")&amp;IF(INDEX('Form Calc'!$M:$M,T50)&lt;&gt;""," · “"&amp;INDEX('Form Calc'!$M:$M,T50)&amp;"”","")))</f>
        <v/>
      </c>
      <c r="R50" s="32">
        <f>SUBSTITUTE(SUBSTITUTE(SUBSTITUTE(SUBSTITUTE(SUBSTITUTE(SUBSTITUTE(SUBSTITUTE(SUBSTITUTE(D50&amp;""," ",""),"-",""),"(",""),")",""),".",""),"+",""),"/",""),CHAR(160),"")</f>
        <v/>
      </c>
      <c r="S50" s="32">
        <f>IF(LEN(R50)&gt;=10,RIGHT(R50,10),R50)</f>
        <v/>
      </c>
      <c r="T50" s="32">
        <f>IF(TRIM(A50&amp;"")="","",IF(S50&lt;&gt;"",IFERROR(MATCH(S50,'Form Calc'!$P:$P,0),IFERROR(MATCH(TRIM(A50&amp;""),'Form Calc'!$Q:$Q,0),"")),IFERROR(MATCH(TRIM(A50&amp;""),'Form Calc'!$Q:$Q,0),"")))</f>
        <v/>
      </c>
      <c r="U50" s="32">
        <f>IF(AND(T50&lt;&gt;"",TRIM(E50&amp;"")&lt;&gt;""),TRIM(E50&amp;""),"")</f>
        <v/>
      </c>
      <c r="V50" s="32">
        <f>IF(TRIM(A50&amp;"")="","",IF(T50&lt;&gt;"",T50,IF(TRIM(E50&amp;"")="","",IFERROR(INDEX($T$6:$T$505,MATCH(TRIM(E50&amp;""),$U$6:$U$505,0)),""))))</f>
        <v/>
      </c>
      <c r="W50" s="32">
        <f>IF(V50="","",INDEX('Form Calc'!$G:$G,V50))</f>
        <v/>
      </c>
      <c r="X50" s="32">
        <f>IF(TRIM(A50&amp;"")="","",IF(T50&lt;&gt;"",IF(INDEX('Form Calc'!$K:$K,T50)&lt;&gt;"",INDEX('Form Calc'!$K:$K,T50),J50&amp;""),J50&amp;""))</f>
        <v/>
      </c>
      <c r="Y50" s="32">
        <f>IF(TRIM(A50&amp;"")="","",IF(TRIM(D50&amp;"")&lt;&gt;"",TRIM(D50&amp;""),IF(T50&lt;&gt;"",INDEX('Form Calc'!$C:$C,T50)&amp;"","")))</f>
        <v/>
      </c>
      <c r="Z50" s="32">
        <f>SUBSTITUTE(SUBSTITUTE(SUBSTITUTE(SUBSTITUTE(SUBSTITUTE(SUBSTITUTE(SUBSTITUTE(SUBSTITUTE(Y50," ",""),"-",""),"(",""),")",""),".",""),"+",""),"/",""),CHAR(160),"")</f>
        <v/>
      </c>
      <c r="AA50" s="32">
        <f>IF(Z50="","",IF(LEN(Z50)=10,"+1"&amp;Z50,IF(AND(LEN(Z50)=11,LEFT(Z50,1)="1"),"+"&amp;Z50,IF(LEFT(Y50,1)="+","+"&amp;Z50,Z50))))</f>
        <v/>
      </c>
      <c r="AB50" s="32">
        <f>IF(TRIM(A50&amp;"")="","",IF(TRIM(M50&amp;"")&lt;&gt;"",TRIM(M50&amp;""),IFERROR(LEFT(TRIM(A50&amp;""),FIND(" ",TRIM(A50&amp;""))-1),TRIM(A50&amp;""))))</f>
        <v/>
      </c>
      <c r="AC50" s="32">
        <f>SUBSTITUTE(SUBSTITUTE(SUBSTITUTE(SUBSTITUTE(SUBSTITUTE(SUBSTITUTE(SUBSTITUTE(SUBSTITUTE(SUBSTITUTE(SUBSTITUTE(AB50,"%","%25"),"&amp;","%26"),"#","%23"),"+","%2B"),"=","%3D"),"?","%3F"),CHAR(34),"%22"),CHAR(10),"%0A"),CHAR(13),"")," ","+")</f>
        <v/>
      </c>
      <c r="AD50" s="32">
        <f>IF(OR(AA50="",AB50=""),"",'Start Here'!$B$20&amp;"#p="&amp;SUBSTITUTE(AA50,"+","%2B")&amp;"&amp;n="&amp;AC50&amp;"&amp;m="&amp;SUBSTITUTE('Start Here'!$B$24,"{name}",AC50))</f>
        <v/>
      </c>
      <c r="AE50" s="32">
        <f>LEN(AD50)</f>
        <v/>
      </c>
      <c r="AF50" s="32">
        <f>IF(AND(TRIM(A50&amp;"")&lt;&gt;"",OR(B50="Awaiting",B50="Not sure yet")),1,0)</f>
        <v/>
      </c>
      <c r="AG50" s="32">
        <f>N(AG49)+AF50</f>
        <v/>
      </c>
      <c r="AH50" s="32">
        <f>IF(AF50=1,AG50,"")</f>
        <v/>
      </c>
      <c r="AI50" s="32">
        <f>IF(AND(TRIM(A50&amp;"")&lt;&gt;"",L50&amp;""&lt;&gt;"",L50&amp;""=Seating!$I$3&amp;"",B50&lt;&gt;"Declined"),1,0)</f>
        <v/>
      </c>
      <c r="AJ50" s="32">
        <f>N(AJ49)+AI50</f>
        <v/>
      </c>
      <c r="AK50" s="32">
        <f>IF(AI50=1,AJ50,"")</f>
        <v/>
      </c>
    </row>
    <row r="51">
      <c r="A51" s="10" t="n"/>
      <c r="B51" s="47">
        <f>IF(TRIM(A51&amp;"")="","",IF(W51&lt;&gt;"",W51,IF(I51="","Awaiting",I51)))</f>
        <v/>
      </c>
      <c r="C51" s="60">
        <f>IF(OR(B51="Awaiting",B51="Not sure yet"),IF(AD51&lt;&gt;"",HYPERLINK(AD51,"💬 Remind"),"add mobile"),"")</f>
        <v/>
      </c>
      <c r="D51" s="58" t="n"/>
      <c r="E51" s="10" t="n"/>
      <c r="F51" s="10" t="n"/>
      <c r="G51" s="10" t="n"/>
      <c r="H51" s="10" t="n"/>
      <c r="I51" s="10" t="n"/>
      <c r="J51" s="10" t="n"/>
      <c r="K51" s="10" t="n"/>
      <c r="L51" s="56" t="n"/>
      <c r="M51" s="10" t="n"/>
      <c r="N51" s="12" t="n"/>
      <c r="O51" s="10" t="n"/>
      <c r="P51" s="10" t="n"/>
      <c r="Q51" s="61">
        <f>IF(V51="","",IF(T51="","Covered by "&amp;INDEX('Form Calc'!$B:$B,V51)&amp;"'s reply (same party)","Replied "&amp;TEXT(INDEX('Form Calc'!$A:$A,T51),"mm/dd")&amp;" · "&amp;INDEX('Form Calc'!$H:$H,T51)&amp;" adult(s), "&amp;INDEX('Form Calc'!$I:$I,T51)&amp;" child(ren)"&amp;IF(INDEX('Form Calc'!$K:$K,T51)&lt;&gt;""," · "&amp;INDEX('Form Calc'!$K:$K,T51),"")&amp;IF(INDEX('Form Calc'!$M:$M,T51)&lt;&gt;""," · “"&amp;INDEX('Form Calc'!$M:$M,T51)&amp;"”","")))</f>
        <v/>
      </c>
      <c r="R51" s="32">
        <f>SUBSTITUTE(SUBSTITUTE(SUBSTITUTE(SUBSTITUTE(SUBSTITUTE(SUBSTITUTE(SUBSTITUTE(SUBSTITUTE(D51&amp;""," ",""),"-",""),"(",""),")",""),".",""),"+",""),"/",""),CHAR(160),"")</f>
        <v/>
      </c>
      <c r="S51" s="32">
        <f>IF(LEN(R51)&gt;=10,RIGHT(R51,10),R51)</f>
        <v/>
      </c>
      <c r="T51" s="32">
        <f>IF(TRIM(A51&amp;"")="","",IF(S51&lt;&gt;"",IFERROR(MATCH(S51,'Form Calc'!$P:$P,0),IFERROR(MATCH(TRIM(A51&amp;""),'Form Calc'!$Q:$Q,0),"")),IFERROR(MATCH(TRIM(A51&amp;""),'Form Calc'!$Q:$Q,0),"")))</f>
        <v/>
      </c>
      <c r="U51" s="32">
        <f>IF(AND(T51&lt;&gt;"",TRIM(E51&amp;"")&lt;&gt;""),TRIM(E51&amp;""),"")</f>
        <v/>
      </c>
      <c r="V51" s="32">
        <f>IF(TRIM(A51&amp;"")="","",IF(T51&lt;&gt;"",T51,IF(TRIM(E51&amp;"")="","",IFERROR(INDEX($T$6:$T$505,MATCH(TRIM(E51&amp;""),$U$6:$U$505,0)),""))))</f>
        <v/>
      </c>
      <c r="W51" s="32">
        <f>IF(V51="","",INDEX('Form Calc'!$G:$G,V51))</f>
        <v/>
      </c>
      <c r="X51" s="32">
        <f>IF(TRIM(A51&amp;"")="","",IF(T51&lt;&gt;"",IF(INDEX('Form Calc'!$K:$K,T51)&lt;&gt;"",INDEX('Form Calc'!$K:$K,T51),J51&amp;""),J51&amp;""))</f>
        <v/>
      </c>
      <c r="Y51" s="32">
        <f>IF(TRIM(A51&amp;"")="","",IF(TRIM(D51&amp;"")&lt;&gt;"",TRIM(D51&amp;""),IF(T51&lt;&gt;"",INDEX('Form Calc'!$C:$C,T51)&amp;"","")))</f>
        <v/>
      </c>
      <c r="Z51" s="32">
        <f>SUBSTITUTE(SUBSTITUTE(SUBSTITUTE(SUBSTITUTE(SUBSTITUTE(SUBSTITUTE(SUBSTITUTE(SUBSTITUTE(Y51," ",""),"-",""),"(",""),")",""),".",""),"+",""),"/",""),CHAR(160),"")</f>
        <v/>
      </c>
      <c r="AA51" s="32">
        <f>IF(Z51="","",IF(LEN(Z51)=10,"+1"&amp;Z51,IF(AND(LEN(Z51)=11,LEFT(Z51,1)="1"),"+"&amp;Z51,IF(LEFT(Y51,1)="+","+"&amp;Z51,Z51))))</f>
        <v/>
      </c>
      <c r="AB51" s="32">
        <f>IF(TRIM(A51&amp;"")="","",IF(TRIM(M51&amp;"")&lt;&gt;"",TRIM(M51&amp;""),IFERROR(LEFT(TRIM(A51&amp;""),FIND(" ",TRIM(A51&amp;""))-1),TRIM(A51&amp;""))))</f>
        <v/>
      </c>
      <c r="AC51" s="32">
        <f>SUBSTITUTE(SUBSTITUTE(SUBSTITUTE(SUBSTITUTE(SUBSTITUTE(SUBSTITUTE(SUBSTITUTE(SUBSTITUTE(SUBSTITUTE(SUBSTITUTE(AB51,"%","%25"),"&amp;","%26"),"#","%23"),"+","%2B"),"=","%3D"),"?","%3F"),CHAR(34),"%22"),CHAR(10),"%0A"),CHAR(13),"")," ","+")</f>
        <v/>
      </c>
      <c r="AD51" s="32">
        <f>IF(OR(AA51="",AB51=""),"",'Start Here'!$B$20&amp;"#p="&amp;SUBSTITUTE(AA51,"+","%2B")&amp;"&amp;n="&amp;AC51&amp;"&amp;m="&amp;SUBSTITUTE('Start Here'!$B$24,"{name}",AC51))</f>
        <v/>
      </c>
      <c r="AE51" s="32">
        <f>LEN(AD51)</f>
        <v/>
      </c>
      <c r="AF51" s="32">
        <f>IF(AND(TRIM(A51&amp;"")&lt;&gt;"",OR(B51="Awaiting",B51="Not sure yet")),1,0)</f>
        <v/>
      </c>
      <c r="AG51" s="32">
        <f>N(AG50)+AF51</f>
        <v/>
      </c>
      <c r="AH51" s="32">
        <f>IF(AF51=1,AG51,"")</f>
        <v/>
      </c>
      <c r="AI51" s="32">
        <f>IF(AND(TRIM(A51&amp;"")&lt;&gt;"",L51&amp;""&lt;&gt;"",L51&amp;""=Seating!$I$3&amp;"",B51&lt;&gt;"Declined"),1,0)</f>
        <v/>
      </c>
      <c r="AJ51" s="32">
        <f>N(AJ50)+AI51</f>
        <v/>
      </c>
      <c r="AK51" s="32">
        <f>IF(AI51=1,AJ51,"")</f>
        <v/>
      </c>
    </row>
    <row r="52">
      <c r="A52" s="10" t="n"/>
      <c r="B52" s="47">
        <f>IF(TRIM(A52&amp;"")="","",IF(W52&lt;&gt;"",W52,IF(I52="","Awaiting",I52)))</f>
        <v/>
      </c>
      <c r="C52" s="60">
        <f>IF(OR(B52="Awaiting",B52="Not sure yet"),IF(AD52&lt;&gt;"",HYPERLINK(AD52,"💬 Remind"),"add mobile"),"")</f>
        <v/>
      </c>
      <c r="D52" s="58" t="n"/>
      <c r="E52" s="10" t="n"/>
      <c r="F52" s="10" t="n"/>
      <c r="G52" s="10" t="n"/>
      <c r="H52" s="10" t="n"/>
      <c r="I52" s="10" t="n"/>
      <c r="J52" s="10" t="n"/>
      <c r="K52" s="10" t="n"/>
      <c r="L52" s="56" t="n"/>
      <c r="M52" s="10" t="n"/>
      <c r="N52" s="12" t="n"/>
      <c r="O52" s="10" t="n"/>
      <c r="P52" s="10" t="n"/>
      <c r="Q52" s="61">
        <f>IF(V52="","",IF(T52="","Covered by "&amp;INDEX('Form Calc'!$B:$B,V52)&amp;"'s reply (same party)","Replied "&amp;TEXT(INDEX('Form Calc'!$A:$A,T52),"mm/dd")&amp;" · "&amp;INDEX('Form Calc'!$H:$H,T52)&amp;" adult(s), "&amp;INDEX('Form Calc'!$I:$I,T52)&amp;" child(ren)"&amp;IF(INDEX('Form Calc'!$K:$K,T52)&lt;&gt;""," · "&amp;INDEX('Form Calc'!$K:$K,T52),"")&amp;IF(INDEX('Form Calc'!$M:$M,T52)&lt;&gt;""," · “"&amp;INDEX('Form Calc'!$M:$M,T52)&amp;"”","")))</f>
        <v/>
      </c>
      <c r="R52" s="32">
        <f>SUBSTITUTE(SUBSTITUTE(SUBSTITUTE(SUBSTITUTE(SUBSTITUTE(SUBSTITUTE(SUBSTITUTE(SUBSTITUTE(D52&amp;""," ",""),"-",""),"(",""),")",""),".",""),"+",""),"/",""),CHAR(160),"")</f>
        <v/>
      </c>
      <c r="S52" s="32">
        <f>IF(LEN(R52)&gt;=10,RIGHT(R52,10),R52)</f>
        <v/>
      </c>
      <c r="T52" s="32">
        <f>IF(TRIM(A52&amp;"")="","",IF(S52&lt;&gt;"",IFERROR(MATCH(S52,'Form Calc'!$P:$P,0),IFERROR(MATCH(TRIM(A52&amp;""),'Form Calc'!$Q:$Q,0),"")),IFERROR(MATCH(TRIM(A52&amp;""),'Form Calc'!$Q:$Q,0),"")))</f>
        <v/>
      </c>
      <c r="U52" s="32">
        <f>IF(AND(T52&lt;&gt;"",TRIM(E52&amp;"")&lt;&gt;""),TRIM(E52&amp;""),"")</f>
        <v/>
      </c>
      <c r="V52" s="32">
        <f>IF(TRIM(A52&amp;"")="","",IF(T52&lt;&gt;"",T52,IF(TRIM(E52&amp;"")="","",IFERROR(INDEX($T$6:$T$505,MATCH(TRIM(E52&amp;""),$U$6:$U$505,0)),""))))</f>
        <v/>
      </c>
      <c r="W52" s="32">
        <f>IF(V52="","",INDEX('Form Calc'!$G:$G,V52))</f>
        <v/>
      </c>
      <c r="X52" s="32">
        <f>IF(TRIM(A52&amp;"")="","",IF(T52&lt;&gt;"",IF(INDEX('Form Calc'!$K:$K,T52)&lt;&gt;"",INDEX('Form Calc'!$K:$K,T52),J52&amp;""),J52&amp;""))</f>
        <v/>
      </c>
      <c r="Y52" s="32">
        <f>IF(TRIM(A52&amp;"")="","",IF(TRIM(D52&amp;"")&lt;&gt;"",TRIM(D52&amp;""),IF(T52&lt;&gt;"",INDEX('Form Calc'!$C:$C,T52)&amp;"","")))</f>
        <v/>
      </c>
      <c r="Z52" s="32">
        <f>SUBSTITUTE(SUBSTITUTE(SUBSTITUTE(SUBSTITUTE(SUBSTITUTE(SUBSTITUTE(SUBSTITUTE(SUBSTITUTE(Y52," ",""),"-",""),"(",""),")",""),".",""),"+",""),"/",""),CHAR(160),"")</f>
        <v/>
      </c>
      <c r="AA52" s="32">
        <f>IF(Z52="","",IF(LEN(Z52)=10,"+1"&amp;Z52,IF(AND(LEN(Z52)=11,LEFT(Z52,1)="1"),"+"&amp;Z52,IF(LEFT(Y52,1)="+","+"&amp;Z52,Z52))))</f>
        <v/>
      </c>
      <c r="AB52" s="32">
        <f>IF(TRIM(A52&amp;"")="","",IF(TRIM(M52&amp;"")&lt;&gt;"",TRIM(M52&amp;""),IFERROR(LEFT(TRIM(A52&amp;""),FIND(" ",TRIM(A52&amp;""))-1),TRIM(A52&amp;""))))</f>
        <v/>
      </c>
      <c r="AC52" s="32">
        <f>SUBSTITUTE(SUBSTITUTE(SUBSTITUTE(SUBSTITUTE(SUBSTITUTE(SUBSTITUTE(SUBSTITUTE(SUBSTITUTE(SUBSTITUTE(SUBSTITUTE(AB52,"%","%25"),"&amp;","%26"),"#","%23"),"+","%2B"),"=","%3D"),"?","%3F"),CHAR(34),"%22"),CHAR(10),"%0A"),CHAR(13),"")," ","+")</f>
        <v/>
      </c>
      <c r="AD52" s="32">
        <f>IF(OR(AA52="",AB52=""),"",'Start Here'!$B$20&amp;"#p="&amp;SUBSTITUTE(AA52,"+","%2B")&amp;"&amp;n="&amp;AC52&amp;"&amp;m="&amp;SUBSTITUTE('Start Here'!$B$24,"{name}",AC52))</f>
        <v/>
      </c>
      <c r="AE52" s="32">
        <f>LEN(AD52)</f>
        <v/>
      </c>
      <c r="AF52" s="32">
        <f>IF(AND(TRIM(A52&amp;"")&lt;&gt;"",OR(B52="Awaiting",B52="Not sure yet")),1,0)</f>
        <v/>
      </c>
      <c r="AG52" s="32">
        <f>N(AG51)+AF52</f>
        <v/>
      </c>
      <c r="AH52" s="32">
        <f>IF(AF52=1,AG52,"")</f>
        <v/>
      </c>
      <c r="AI52" s="32">
        <f>IF(AND(TRIM(A52&amp;"")&lt;&gt;"",L52&amp;""&lt;&gt;"",L52&amp;""=Seating!$I$3&amp;"",B52&lt;&gt;"Declined"),1,0)</f>
        <v/>
      </c>
      <c r="AJ52" s="32">
        <f>N(AJ51)+AI52</f>
        <v/>
      </c>
      <c r="AK52" s="32">
        <f>IF(AI52=1,AJ52,"")</f>
        <v/>
      </c>
    </row>
    <row r="53">
      <c r="A53" s="10" t="n"/>
      <c r="B53" s="47">
        <f>IF(TRIM(A53&amp;"")="","",IF(W53&lt;&gt;"",W53,IF(I53="","Awaiting",I53)))</f>
        <v/>
      </c>
      <c r="C53" s="60">
        <f>IF(OR(B53="Awaiting",B53="Not sure yet"),IF(AD53&lt;&gt;"",HYPERLINK(AD53,"💬 Remind"),"add mobile"),"")</f>
        <v/>
      </c>
      <c r="D53" s="58" t="n"/>
      <c r="E53" s="10" t="n"/>
      <c r="F53" s="10" t="n"/>
      <c r="G53" s="10" t="n"/>
      <c r="H53" s="10" t="n"/>
      <c r="I53" s="10" t="n"/>
      <c r="J53" s="10" t="n"/>
      <c r="K53" s="10" t="n"/>
      <c r="L53" s="56" t="n"/>
      <c r="M53" s="10" t="n"/>
      <c r="N53" s="12" t="n"/>
      <c r="O53" s="10" t="n"/>
      <c r="P53" s="10" t="n"/>
      <c r="Q53" s="61">
        <f>IF(V53="","",IF(T53="","Covered by "&amp;INDEX('Form Calc'!$B:$B,V53)&amp;"'s reply (same party)","Replied "&amp;TEXT(INDEX('Form Calc'!$A:$A,T53),"mm/dd")&amp;" · "&amp;INDEX('Form Calc'!$H:$H,T53)&amp;" adult(s), "&amp;INDEX('Form Calc'!$I:$I,T53)&amp;" child(ren)"&amp;IF(INDEX('Form Calc'!$K:$K,T53)&lt;&gt;""," · "&amp;INDEX('Form Calc'!$K:$K,T53),"")&amp;IF(INDEX('Form Calc'!$M:$M,T53)&lt;&gt;""," · “"&amp;INDEX('Form Calc'!$M:$M,T53)&amp;"”","")))</f>
        <v/>
      </c>
      <c r="R53" s="32">
        <f>SUBSTITUTE(SUBSTITUTE(SUBSTITUTE(SUBSTITUTE(SUBSTITUTE(SUBSTITUTE(SUBSTITUTE(SUBSTITUTE(D53&amp;""," ",""),"-",""),"(",""),")",""),".",""),"+",""),"/",""),CHAR(160),"")</f>
        <v/>
      </c>
      <c r="S53" s="32">
        <f>IF(LEN(R53)&gt;=10,RIGHT(R53,10),R53)</f>
        <v/>
      </c>
      <c r="T53" s="32">
        <f>IF(TRIM(A53&amp;"")="","",IF(S53&lt;&gt;"",IFERROR(MATCH(S53,'Form Calc'!$P:$P,0),IFERROR(MATCH(TRIM(A53&amp;""),'Form Calc'!$Q:$Q,0),"")),IFERROR(MATCH(TRIM(A53&amp;""),'Form Calc'!$Q:$Q,0),"")))</f>
        <v/>
      </c>
      <c r="U53" s="32">
        <f>IF(AND(T53&lt;&gt;"",TRIM(E53&amp;"")&lt;&gt;""),TRIM(E53&amp;""),"")</f>
        <v/>
      </c>
      <c r="V53" s="32">
        <f>IF(TRIM(A53&amp;"")="","",IF(T53&lt;&gt;"",T53,IF(TRIM(E53&amp;"")="","",IFERROR(INDEX($T$6:$T$505,MATCH(TRIM(E53&amp;""),$U$6:$U$505,0)),""))))</f>
        <v/>
      </c>
      <c r="W53" s="32">
        <f>IF(V53="","",INDEX('Form Calc'!$G:$G,V53))</f>
        <v/>
      </c>
      <c r="X53" s="32">
        <f>IF(TRIM(A53&amp;"")="","",IF(T53&lt;&gt;"",IF(INDEX('Form Calc'!$K:$K,T53)&lt;&gt;"",INDEX('Form Calc'!$K:$K,T53),J53&amp;""),J53&amp;""))</f>
        <v/>
      </c>
      <c r="Y53" s="32">
        <f>IF(TRIM(A53&amp;"")="","",IF(TRIM(D53&amp;"")&lt;&gt;"",TRIM(D53&amp;""),IF(T53&lt;&gt;"",INDEX('Form Calc'!$C:$C,T53)&amp;"","")))</f>
        <v/>
      </c>
      <c r="Z53" s="32">
        <f>SUBSTITUTE(SUBSTITUTE(SUBSTITUTE(SUBSTITUTE(SUBSTITUTE(SUBSTITUTE(SUBSTITUTE(SUBSTITUTE(Y53," ",""),"-",""),"(",""),")",""),".",""),"+",""),"/",""),CHAR(160),"")</f>
        <v/>
      </c>
      <c r="AA53" s="32">
        <f>IF(Z53="","",IF(LEN(Z53)=10,"+1"&amp;Z53,IF(AND(LEN(Z53)=11,LEFT(Z53,1)="1"),"+"&amp;Z53,IF(LEFT(Y53,1)="+","+"&amp;Z53,Z53))))</f>
        <v/>
      </c>
      <c r="AB53" s="32">
        <f>IF(TRIM(A53&amp;"")="","",IF(TRIM(M53&amp;"")&lt;&gt;"",TRIM(M53&amp;""),IFERROR(LEFT(TRIM(A53&amp;""),FIND(" ",TRIM(A53&amp;""))-1),TRIM(A53&amp;""))))</f>
        <v/>
      </c>
      <c r="AC53" s="32">
        <f>SUBSTITUTE(SUBSTITUTE(SUBSTITUTE(SUBSTITUTE(SUBSTITUTE(SUBSTITUTE(SUBSTITUTE(SUBSTITUTE(SUBSTITUTE(SUBSTITUTE(AB53,"%","%25"),"&amp;","%26"),"#","%23"),"+","%2B"),"=","%3D"),"?","%3F"),CHAR(34),"%22"),CHAR(10),"%0A"),CHAR(13),"")," ","+")</f>
        <v/>
      </c>
      <c r="AD53" s="32">
        <f>IF(OR(AA53="",AB53=""),"",'Start Here'!$B$20&amp;"#p="&amp;SUBSTITUTE(AA53,"+","%2B")&amp;"&amp;n="&amp;AC53&amp;"&amp;m="&amp;SUBSTITUTE('Start Here'!$B$24,"{name}",AC53))</f>
        <v/>
      </c>
      <c r="AE53" s="32">
        <f>LEN(AD53)</f>
        <v/>
      </c>
      <c r="AF53" s="32">
        <f>IF(AND(TRIM(A53&amp;"")&lt;&gt;"",OR(B53="Awaiting",B53="Not sure yet")),1,0)</f>
        <v/>
      </c>
      <c r="AG53" s="32">
        <f>N(AG52)+AF53</f>
        <v/>
      </c>
      <c r="AH53" s="32">
        <f>IF(AF53=1,AG53,"")</f>
        <v/>
      </c>
      <c r="AI53" s="32">
        <f>IF(AND(TRIM(A53&amp;"")&lt;&gt;"",L53&amp;""&lt;&gt;"",L53&amp;""=Seating!$I$3&amp;"",B53&lt;&gt;"Declined"),1,0)</f>
        <v/>
      </c>
      <c r="AJ53" s="32">
        <f>N(AJ52)+AI53</f>
        <v/>
      </c>
      <c r="AK53" s="32">
        <f>IF(AI53=1,AJ53,"")</f>
        <v/>
      </c>
    </row>
    <row r="54">
      <c r="A54" s="10" t="n"/>
      <c r="B54" s="47">
        <f>IF(TRIM(A54&amp;"")="","",IF(W54&lt;&gt;"",W54,IF(I54="","Awaiting",I54)))</f>
        <v/>
      </c>
      <c r="C54" s="60">
        <f>IF(OR(B54="Awaiting",B54="Not sure yet"),IF(AD54&lt;&gt;"",HYPERLINK(AD54,"💬 Remind"),"add mobile"),"")</f>
        <v/>
      </c>
      <c r="D54" s="58" t="n"/>
      <c r="E54" s="10" t="n"/>
      <c r="F54" s="10" t="n"/>
      <c r="G54" s="10" t="n"/>
      <c r="H54" s="10" t="n"/>
      <c r="I54" s="10" t="n"/>
      <c r="J54" s="10" t="n"/>
      <c r="K54" s="10" t="n"/>
      <c r="L54" s="56" t="n"/>
      <c r="M54" s="10" t="n"/>
      <c r="N54" s="12" t="n"/>
      <c r="O54" s="10" t="n"/>
      <c r="P54" s="10" t="n"/>
      <c r="Q54" s="61">
        <f>IF(V54="","",IF(T54="","Covered by "&amp;INDEX('Form Calc'!$B:$B,V54)&amp;"'s reply (same party)","Replied "&amp;TEXT(INDEX('Form Calc'!$A:$A,T54),"mm/dd")&amp;" · "&amp;INDEX('Form Calc'!$H:$H,T54)&amp;" adult(s), "&amp;INDEX('Form Calc'!$I:$I,T54)&amp;" child(ren)"&amp;IF(INDEX('Form Calc'!$K:$K,T54)&lt;&gt;""," · "&amp;INDEX('Form Calc'!$K:$K,T54),"")&amp;IF(INDEX('Form Calc'!$M:$M,T54)&lt;&gt;""," · “"&amp;INDEX('Form Calc'!$M:$M,T54)&amp;"”","")))</f>
        <v/>
      </c>
      <c r="R54" s="32">
        <f>SUBSTITUTE(SUBSTITUTE(SUBSTITUTE(SUBSTITUTE(SUBSTITUTE(SUBSTITUTE(SUBSTITUTE(SUBSTITUTE(D54&amp;""," ",""),"-",""),"(",""),")",""),".",""),"+",""),"/",""),CHAR(160),"")</f>
        <v/>
      </c>
      <c r="S54" s="32">
        <f>IF(LEN(R54)&gt;=10,RIGHT(R54,10),R54)</f>
        <v/>
      </c>
      <c r="T54" s="32">
        <f>IF(TRIM(A54&amp;"")="","",IF(S54&lt;&gt;"",IFERROR(MATCH(S54,'Form Calc'!$P:$P,0),IFERROR(MATCH(TRIM(A54&amp;""),'Form Calc'!$Q:$Q,0),"")),IFERROR(MATCH(TRIM(A54&amp;""),'Form Calc'!$Q:$Q,0),"")))</f>
        <v/>
      </c>
      <c r="U54" s="32">
        <f>IF(AND(T54&lt;&gt;"",TRIM(E54&amp;"")&lt;&gt;""),TRIM(E54&amp;""),"")</f>
        <v/>
      </c>
      <c r="V54" s="32">
        <f>IF(TRIM(A54&amp;"")="","",IF(T54&lt;&gt;"",T54,IF(TRIM(E54&amp;"")="","",IFERROR(INDEX($T$6:$T$505,MATCH(TRIM(E54&amp;""),$U$6:$U$505,0)),""))))</f>
        <v/>
      </c>
      <c r="W54" s="32">
        <f>IF(V54="","",INDEX('Form Calc'!$G:$G,V54))</f>
        <v/>
      </c>
      <c r="X54" s="32">
        <f>IF(TRIM(A54&amp;"")="","",IF(T54&lt;&gt;"",IF(INDEX('Form Calc'!$K:$K,T54)&lt;&gt;"",INDEX('Form Calc'!$K:$K,T54),J54&amp;""),J54&amp;""))</f>
        <v/>
      </c>
      <c r="Y54" s="32">
        <f>IF(TRIM(A54&amp;"")="","",IF(TRIM(D54&amp;"")&lt;&gt;"",TRIM(D54&amp;""),IF(T54&lt;&gt;"",INDEX('Form Calc'!$C:$C,T54)&amp;"","")))</f>
        <v/>
      </c>
      <c r="Z54" s="32">
        <f>SUBSTITUTE(SUBSTITUTE(SUBSTITUTE(SUBSTITUTE(SUBSTITUTE(SUBSTITUTE(SUBSTITUTE(SUBSTITUTE(Y54," ",""),"-",""),"(",""),")",""),".",""),"+",""),"/",""),CHAR(160),"")</f>
        <v/>
      </c>
      <c r="AA54" s="32">
        <f>IF(Z54="","",IF(LEN(Z54)=10,"+1"&amp;Z54,IF(AND(LEN(Z54)=11,LEFT(Z54,1)="1"),"+"&amp;Z54,IF(LEFT(Y54,1)="+","+"&amp;Z54,Z54))))</f>
        <v/>
      </c>
      <c r="AB54" s="32">
        <f>IF(TRIM(A54&amp;"")="","",IF(TRIM(M54&amp;"")&lt;&gt;"",TRIM(M54&amp;""),IFERROR(LEFT(TRIM(A54&amp;""),FIND(" ",TRIM(A54&amp;""))-1),TRIM(A54&amp;""))))</f>
        <v/>
      </c>
      <c r="AC54" s="32">
        <f>SUBSTITUTE(SUBSTITUTE(SUBSTITUTE(SUBSTITUTE(SUBSTITUTE(SUBSTITUTE(SUBSTITUTE(SUBSTITUTE(SUBSTITUTE(SUBSTITUTE(AB54,"%","%25"),"&amp;","%26"),"#","%23"),"+","%2B"),"=","%3D"),"?","%3F"),CHAR(34),"%22"),CHAR(10),"%0A"),CHAR(13),"")," ","+")</f>
        <v/>
      </c>
      <c r="AD54" s="32">
        <f>IF(OR(AA54="",AB54=""),"",'Start Here'!$B$20&amp;"#p="&amp;SUBSTITUTE(AA54,"+","%2B")&amp;"&amp;n="&amp;AC54&amp;"&amp;m="&amp;SUBSTITUTE('Start Here'!$B$24,"{name}",AC54))</f>
        <v/>
      </c>
      <c r="AE54" s="32">
        <f>LEN(AD54)</f>
        <v/>
      </c>
      <c r="AF54" s="32">
        <f>IF(AND(TRIM(A54&amp;"")&lt;&gt;"",OR(B54="Awaiting",B54="Not sure yet")),1,0)</f>
        <v/>
      </c>
      <c r="AG54" s="32">
        <f>N(AG53)+AF54</f>
        <v/>
      </c>
      <c r="AH54" s="32">
        <f>IF(AF54=1,AG54,"")</f>
        <v/>
      </c>
      <c r="AI54" s="32">
        <f>IF(AND(TRIM(A54&amp;"")&lt;&gt;"",L54&amp;""&lt;&gt;"",L54&amp;""=Seating!$I$3&amp;"",B54&lt;&gt;"Declined"),1,0)</f>
        <v/>
      </c>
      <c r="AJ54" s="32">
        <f>N(AJ53)+AI54</f>
        <v/>
      </c>
      <c r="AK54" s="32">
        <f>IF(AI54=1,AJ54,"")</f>
        <v/>
      </c>
    </row>
    <row r="55">
      <c r="A55" s="10" t="n"/>
      <c r="B55" s="47">
        <f>IF(TRIM(A55&amp;"")="","",IF(W55&lt;&gt;"",W55,IF(I55="","Awaiting",I55)))</f>
        <v/>
      </c>
      <c r="C55" s="60">
        <f>IF(OR(B55="Awaiting",B55="Not sure yet"),IF(AD55&lt;&gt;"",HYPERLINK(AD55,"💬 Remind"),"add mobile"),"")</f>
        <v/>
      </c>
      <c r="D55" s="58" t="n"/>
      <c r="E55" s="10" t="n"/>
      <c r="F55" s="10" t="n"/>
      <c r="G55" s="10" t="n"/>
      <c r="H55" s="10" t="n"/>
      <c r="I55" s="10" t="n"/>
      <c r="J55" s="10" t="n"/>
      <c r="K55" s="10" t="n"/>
      <c r="L55" s="56" t="n"/>
      <c r="M55" s="10" t="n"/>
      <c r="N55" s="12" t="n"/>
      <c r="O55" s="10" t="n"/>
      <c r="P55" s="10" t="n"/>
      <c r="Q55" s="61">
        <f>IF(V55="","",IF(T55="","Covered by "&amp;INDEX('Form Calc'!$B:$B,V55)&amp;"'s reply (same party)","Replied "&amp;TEXT(INDEX('Form Calc'!$A:$A,T55),"mm/dd")&amp;" · "&amp;INDEX('Form Calc'!$H:$H,T55)&amp;" adult(s), "&amp;INDEX('Form Calc'!$I:$I,T55)&amp;" child(ren)"&amp;IF(INDEX('Form Calc'!$K:$K,T55)&lt;&gt;""," · "&amp;INDEX('Form Calc'!$K:$K,T55),"")&amp;IF(INDEX('Form Calc'!$M:$M,T55)&lt;&gt;""," · “"&amp;INDEX('Form Calc'!$M:$M,T55)&amp;"”","")))</f>
        <v/>
      </c>
      <c r="R55" s="32">
        <f>SUBSTITUTE(SUBSTITUTE(SUBSTITUTE(SUBSTITUTE(SUBSTITUTE(SUBSTITUTE(SUBSTITUTE(SUBSTITUTE(D55&amp;""," ",""),"-",""),"(",""),")",""),".",""),"+",""),"/",""),CHAR(160),"")</f>
        <v/>
      </c>
      <c r="S55" s="32">
        <f>IF(LEN(R55)&gt;=10,RIGHT(R55,10),R55)</f>
        <v/>
      </c>
      <c r="T55" s="32">
        <f>IF(TRIM(A55&amp;"")="","",IF(S55&lt;&gt;"",IFERROR(MATCH(S55,'Form Calc'!$P:$P,0),IFERROR(MATCH(TRIM(A55&amp;""),'Form Calc'!$Q:$Q,0),"")),IFERROR(MATCH(TRIM(A55&amp;""),'Form Calc'!$Q:$Q,0),"")))</f>
        <v/>
      </c>
      <c r="U55" s="32">
        <f>IF(AND(T55&lt;&gt;"",TRIM(E55&amp;"")&lt;&gt;""),TRIM(E55&amp;""),"")</f>
        <v/>
      </c>
      <c r="V55" s="32">
        <f>IF(TRIM(A55&amp;"")="","",IF(T55&lt;&gt;"",T55,IF(TRIM(E55&amp;"")="","",IFERROR(INDEX($T$6:$T$505,MATCH(TRIM(E55&amp;""),$U$6:$U$505,0)),""))))</f>
        <v/>
      </c>
      <c r="W55" s="32">
        <f>IF(V55="","",INDEX('Form Calc'!$G:$G,V55))</f>
        <v/>
      </c>
      <c r="X55" s="32">
        <f>IF(TRIM(A55&amp;"")="","",IF(T55&lt;&gt;"",IF(INDEX('Form Calc'!$K:$K,T55)&lt;&gt;"",INDEX('Form Calc'!$K:$K,T55),J55&amp;""),J55&amp;""))</f>
        <v/>
      </c>
      <c r="Y55" s="32">
        <f>IF(TRIM(A55&amp;"")="","",IF(TRIM(D55&amp;"")&lt;&gt;"",TRIM(D55&amp;""),IF(T55&lt;&gt;"",INDEX('Form Calc'!$C:$C,T55)&amp;"","")))</f>
        <v/>
      </c>
      <c r="Z55" s="32">
        <f>SUBSTITUTE(SUBSTITUTE(SUBSTITUTE(SUBSTITUTE(SUBSTITUTE(SUBSTITUTE(SUBSTITUTE(SUBSTITUTE(Y55," ",""),"-",""),"(",""),")",""),".",""),"+",""),"/",""),CHAR(160),"")</f>
        <v/>
      </c>
      <c r="AA55" s="32">
        <f>IF(Z55="","",IF(LEN(Z55)=10,"+1"&amp;Z55,IF(AND(LEN(Z55)=11,LEFT(Z55,1)="1"),"+"&amp;Z55,IF(LEFT(Y55,1)="+","+"&amp;Z55,Z55))))</f>
        <v/>
      </c>
      <c r="AB55" s="32">
        <f>IF(TRIM(A55&amp;"")="","",IF(TRIM(M55&amp;"")&lt;&gt;"",TRIM(M55&amp;""),IFERROR(LEFT(TRIM(A55&amp;""),FIND(" ",TRIM(A55&amp;""))-1),TRIM(A55&amp;""))))</f>
        <v/>
      </c>
      <c r="AC55" s="32">
        <f>SUBSTITUTE(SUBSTITUTE(SUBSTITUTE(SUBSTITUTE(SUBSTITUTE(SUBSTITUTE(SUBSTITUTE(SUBSTITUTE(SUBSTITUTE(SUBSTITUTE(AB55,"%","%25"),"&amp;","%26"),"#","%23"),"+","%2B"),"=","%3D"),"?","%3F"),CHAR(34),"%22"),CHAR(10),"%0A"),CHAR(13),"")," ","+")</f>
        <v/>
      </c>
      <c r="AD55" s="32">
        <f>IF(OR(AA55="",AB55=""),"",'Start Here'!$B$20&amp;"#p="&amp;SUBSTITUTE(AA55,"+","%2B")&amp;"&amp;n="&amp;AC55&amp;"&amp;m="&amp;SUBSTITUTE('Start Here'!$B$24,"{name}",AC55))</f>
        <v/>
      </c>
      <c r="AE55" s="32">
        <f>LEN(AD55)</f>
        <v/>
      </c>
      <c r="AF55" s="32">
        <f>IF(AND(TRIM(A55&amp;"")&lt;&gt;"",OR(B55="Awaiting",B55="Not sure yet")),1,0)</f>
        <v/>
      </c>
      <c r="AG55" s="32">
        <f>N(AG54)+AF55</f>
        <v/>
      </c>
      <c r="AH55" s="32">
        <f>IF(AF55=1,AG55,"")</f>
        <v/>
      </c>
      <c r="AI55" s="32">
        <f>IF(AND(TRIM(A55&amp;"")&lt;&gt;"",L55&amp;""&lt;&gt;"",L55&amp;""=Seating!$I$3&amp;"",B55&lt;&gt;"Declined"),1,0)</f>
        <v/>
      </c>
      <c r="AJ55" s="32">
        <f>N(AJ54)+AI55</f>
        <v/>
      </c>
      <c r="AK55" s="32">
        <f>IF(AI55=1,AJ55,"")</f>
        <v/>
      </c>
    </row>
    <row r="56">
      <c r="A56" s="10" t="n"/>
      <c r="B56" s="47">
        <f>IF(TRIM(A56&amp;"")="","",IF(W56&lt;&gt;"",W56,IF(I56="","Awaiting",I56)))</f>
        <v/>
      </c>
      <c r="C56" s="60">
        <f>IF(OR(B56="Awaiting",B56="Not sure yet"),IF(AD56&lt;&gt;"",HYPERLINK(AD56,"💬 Remind"),"add mobile"),"")</f>
        <v/>
      </c>
      <c r="D56" s="58" t="n"/>
      <c r="E56" s="10" t="n"/>
      <c r="F56" s="10" t="n"/>
      <c r="G56" s="10" t="n"/>
      <c r="H56" s="10" t="n"/>
      <c r="I56" s="10" t="n"/>
      <c r="J56" s="10" t="n"/>
      <c r="K56" s="10" t="n"/>
      <c r="L56" s="56" t="n"/>
      <c r="M56" s="10" t="n"/>
      <c r="N56" s="12" t="n"/>
      <c r="O56" s="10" t="n"/>
      <c r="P56" s="10" t="n"/>
      <c r="Q56" s="61">
        <f>IF(V56="","",IF(T56="","Covered by "&amp;INDEX('Form Calc'!$B:$B,V56)&amp;"'s reply (same party)","Replied "&amp;TEXT(INDEX('Form Calc'!$A:$A,T56),"mm/dd")&amp;" · "&amp;INDEX('Form Calc'!$H:$H,T56)&amp;" adult(s), "&amp;INDEX('Form Calc'!$I:$I,T56)&amp;" child(ren)"&amp;IF(INDEX('Form Calc'!$K:$K,T56)&lt;&gt;""," · "&amp;INDEX('Form Calc'!$K:$K,T56),"")&amp;IF(INDEX('Form Calc'!$M:$M,T56)&lt;&gt;""," · “"&amp;INDEX('Form Calc'!$M:$M,T56)&amp;"”","")))</f>
        <v/>
      </c>
      <c r="R56" s="32">
        <f>SUBSTITUTE(SUBSTITUTE(SUBSTITUTE(SUBSTITUTE(SUBSTITUTE(SUBSTITUTE(SUBSTITUTE(SUBSTITUTE(D56&amp;""," ",""),"-",""),"(",""),")",""),".",""),"+",""),"/",""),CHAR(160),"")</f>
        <v/>
      </c>
      <c r="S56" s="32">
        <f>IF(LEN(R56)&gt;=10,RIGHT(R56,10),R56)</f>
        <v/>
      </c>
      <c r="T56" s="32">
        <f>IF(TRIM(A56&amp;"")="","",IF(S56&lt;&gt;"",IFERROR(MATCH(S56,'Form Calc'!$P:$P,0),IFERROR(MATCH(TRIM(A56&amp;""),'Form Calc'!$Q:$Q,0),"")),IFERROR(MATCH(TRIM(A56&amp;""),'Form Calc'!$Q:$Q,0),"")))</f>
        <v/>
      </c>
      <c r="U56" s="32">
        <f>IF(AND(T56&lt;&gt;"",TRIM(E56&amp;"")&lt;&gt;""),TRIM(E56&amp;""),"")</f>
        <v/>
      </c>
      <c r="V56" s="32">
        <f>IF(TRIM(A56&amp;"")="","",IF(T56&lt;&gt;"",T56,IF(TRIM(E56&amp;"")="","",IFERROR(INDEX($T$6:$T$505,MATCH(TRIM(E56&amp;""),$U$6:$U$505,0)),""))))</f>
        <v/>
      </c>
      <c r="W56" s="32">
        <f>IF(V56="","",INDEX('Form Calc'!$G:$G,V56))</f>
        <v/>
      </c>
      <c r="X56" s="32">
        <f>IF(TRIM(A56&amp;"")="","",IF(T56&lt;&gt;"",IF(INDEX('Form Calc'!$K:$K,T56)&lt;&gt;"",INDEX('Form Calc'!$K:$K,T56),J56&amp;""),J56&amp;""))</f>
        <v/>
      </c>
      <c r="Y56" s="32">
        <f>IF(TRIM(A56&amp;"")="","",IF(TRIM(D56&amp;"")&lt;&gt;"",TRIM(D56&amp;""),IF(T56&lt;&gt;"",INDEX('Form Calc'!$C:$C,T56)&amp;"","")))</f>
        <v/>
      </c>
      <c r="Z56" s="32">
        <f>SUBSTITUTE(SUBSTITUTE(SUBSTITUTE(SUBSTITUTE(SUBSTITUTE(SUBSTITUTE(SUBSTITUTE(SUBSTITUTE(Y56," ",""),"-",""),"(",""),")",""),".",""),"+",""),"/",""),CHAR(160),"")</f>
        <v/>
      </c>
      <c r="AA56" s="32">
        <f>IF(Z56="","",IF(LEN(Z56)=10,"+1"&amp;Z56,IF(AND(LEN(Z56)=11,LEFT(Z56,1)="1"),"+"&amp;Z56,IF(LEFT(Y56,1)="+","+"&amp;Z56,Z56))))</f>
        <v/>
      </c>
      <c r="AB56" s="32">
        <f>IF(TRIM(A56&amp;"")="","",IF(TRIM(M56&amp;"")&lt;&gt;"",TRIM(M56&amp;""),IFERROR(LEFT(TRIM(A56&amp;""),FIND(" ",TRIM(A56&amp;""))-1),TRIM(A56&amp;""))))</f>
        <v/>
      </c>
      <c r="AC56" s="32">
        <f>SUBSTITUTE(SUBSTITUTE(SUBSTITUTE(SUBSTITUTE(SUBSTITUTE(SUBSTITUTE(SUBSTITUTE(SUBSTITUTE(SUBSTITUTE(SUBSTITUTE(AB56,"%","%25"),"&amp;","%26"),"#","%23"),"+","%2B"),"=","%3D"),"?","%3F"),CHAR(34),"%22"),CHAR(10),"%0A"),CHAR(13),"")," ","+")</f>
        <v/>
      </c>
      <c r="AD56" s="32">
        <f>IF(OR(AA56="",AB56=""),"",'Start Here'!$B$20&amp;"#p="&amp;SUBSTITUTE(AA56,"+","%2B")&amp;"&amp;n="&amp;AC56&amp;"&amp;m="&amp;SUBSTITUTE('Start Here'!$B$24,"{name}",AC56))</f>
        <v/>
      </c>
      <c r="AE56" s="32">
        <f>LEN(AD56)</f>
        <v/>
      </c>
      <c r="AF56" s="32">
        <f>IF(AND(TRIM(A56&amp;"")&lt;&gt;"",OR(B56="Awaiting",B56="Not sure yet")),1,0)</f>
        <v/>
      </c>
      <c r="AG56" s="32">
        <f>N(AG55)+AF56</f>
        <v/>
      </c>
      <c r="AH56" s="32">
        <f>IF(AF56=1,AG56,"")</f>
        <v/>
      </c>
      <c r="AI56" s="32">
        <f>IF(AND(TRIM(A56&amp;"")&lt;&gt;"",L56&amp;""&lt;&gt;"",L56&amp;""=Seating!$I$3&amp;"",B56&lt;&gt;"Declined"),1,0)</f>
        <v/>
      </c>
      <c r="AJ56" s="32">
        <f>N(AJ55)+AI56</f>
        <v/>
      </c>
      <c r="AK56" s="32">
        <f>IF(AI56=1,AJ56,"")</f>
        <v/>
      </c>
    </row>
    <row r="57">
      <c r="A57" s="10" t="n"/>
      <c r="B57" s="47">
        <f>IF(TRIM(A57&amp;"")="","",IF(W57&lt;&gt;"",W57,IF(I57="","Awaiting",I57)))</f>
        <v/>
      </c>
      <c r="C57" s="60">
        <f>IF(OR(B57="Awaiting",B57="Not sure yet"),IF(AD57&lt;&gt;"",HYPERLINK(AD57,"💬 Remind"),"add mobile"),"")</f>
        <v/>
      </c>
      <c r="D57" s="58" t="n"/>
      <c r="E57" s="10" t="n"/>
      <c r="F57" s="10" t="n"/>
      <c r="G57" s="10" t="n"/>
      <c r="H57" s="10" t="n"/>
      <c r="I57" s="10" t="n"/>
      <c r="J57" s="10" t="n"/>
      <c r="K57" s="10" t="n"/>
      <c r="L57" s="56" t="n"/>
      <c r="M57" s="10" t="n"/>
      <c r="N57" s="12" t="n"/>
      <c r="O57" s="10" t="n"/>
      <c r="P57" s="10" t="n"/>
      <c r="Q57" s="61">
        <f>IF(V57="","",IF(T57="","Covered by "&amp;INDEX('Form Calc'!$B:$B,V57)&amp;"'s reply (same party)","Replied "&amp;TEXT(INDEX('Form Calc'!$A:$A,T57),"mm/dd")&amp;" · "&amp;INDEX('Form Calc'!$H:$H,T57)&amp;" adult(s), "&amp;INDEX('Form Calc'!$I:$I,T57)&amp;" child(ren)"&amp;IF(INDEX('Form Calc'!$K:$K,T57)&lt;&gt;""," · "&amp;INDEX('Form Calc'!$K:$K,T57),"")&amp;IF(INDEX('Form Calc'!$M:$M,T57)&lt;&gt;""," · “"&amp;INDEX('Form Calc'!$M:$M,T57)&amp;"”","")))</f>
        <v/>
      </c>
      <c r="R57" s="32">
        <f>SUBSTITUTE(SUBSTITUTE(SUBSTITUTE(SUBSTITUTE(SUBSTITUTE(SUBSTITUTE(SUBSTITUTE(SUBSTITUTE(D57&amp;""," ",""),"-",""),"(",""),")",""),".",""),"+",""),"/",""),CHAR(160),"")</f>
        <v/>
      </c>
      <c r="S57" s="32">
        <f>IF(LEN(R57)&gt;=10,RIGHT(R57,10),R57)</f>
        <v/>
      </c>
      <c r="T57" s="32">
        <f>IF(TRIM(A57&amp;"")="","",IF(S57&lt;&gt;"",IFERROR(MATCH(S57,'Form Calc'!$P:$P,0),IFERROR(MATCH(TRIM(A57&amp;""),'Form Calc'!$Q:$Q,0),"")),IFERROR(MATCH(TRIM(A57&amp;""),'Form Calc'!$Q:$Q,0),"")))</f>
        <v/>
      </c>
      <c r="U57" s="32">
        <f>IF(AND(T57&lt;&gt;"",TRIM(E57&amp;"")&lt;&gt;""),TRIM(E57&amp;""),"")</f>
        <v/>
      </c>
      <c r="V57" s="32">
        <f>IF(TRIM(A57&amp;"")="","",IF(T57&lt;&gt;"",T57,IF(TRIM(E57&amp;"")="","",IFERROR(INDEX($T$6:$T$505,MATCH(TRIM(E57&amp;""),$U$6:$U$505,0)),""))))</f>
        <v/>
      </c>
      <c r="W57" s="32">
        <f>IF(V57="","",INDEX('Form Calc'!$G:$G,V57))</f>
        <v/>
      </c>
      <c r="X57" s="32">
        <f>IF(TRIM(A57&amp;"")="","",IF(T57&lt;&gt;"",IF(INDEX('Form Calc'!$K:$K,T57)&lt;&gt;"",INDEX('Form Calc'!$K:$K,T57),J57&amp;""),J57&amp;""))</f>
        <v/>
      </c>
      <c r="Y57" s="32">
        <f>IF(TRIM(A57&amp;"")="","",IF(TRIM(D57&amp;"")&lt;&gt;"",TRIM(D57&amp;""),IF(T57&lt;&gt;"",INDEX('Form Calc'!$C:$C,T57)&amp;"","")))</f>
        <v/>
      </c>
      <c r="Z57" s="32">
        <f>SUBSTITUTE(SUBSTITUTE(SUBSTITUTE(SUBSTITUTE(SUBSTITUTE(SUBSTITUTE(SUBSTITUTE(SUBSTITUTE(Y57," ",""),"-",""),"(",""),")",""),".",""),"+",""),"/",""),CHAR(160),"")</f>
        <v/>
      </c>
      <c r="AA57" s="32">
        <f>IF(Z57="","",IF(LEN(Z57)=10,"+1"&amp;Z57,IF(AND(LEN(Z57)=11,LEFT(Z57,1)="1"),"+"&amp;Z57,IF(LEFT(Y57,1)="+","+"&amp;Z57,Z57))))</f>
        <v/>
      </c>
      <c r="AB57" s="32">
        <f>IF(TRIM(A57&amp;"")="","",IF(TRIM(M57&amp;"")&lt;&gt;"",TRIM(M57&amp;""),IFERROR(LEFT(TRIM(A57&amp;""),FIND(" ",TRIM(A57&amp;""))-1),TRIM(A57&amp;""))))</f>
        <v/>
      </c>
      <c r="AC57" s="32">
        <f>SUBSTITUTE(SUBSTITUTE(SUBSTITUTE(SUBSTITUTE(SUBSTITUTE(SUBSTITUTE(SUBSTITUTE(SUBSTITUTE(SUBSTITUTE(SUBSTITUTE(AB57,"%","%25"),"&amp;","%26"),"#","%23"),"+","%2B"),"=","%3D"),"?","%3F"),CHAR(34),"%22"),CHAR(10),"%0A"),CHAR(13),"")," ","+")</f>
        <v/>
      </c>
      <c r="AD57" s="32">
        <f>IF(OR(AA57="",AB57=""),"",'Start Here'!$B$20&amp;"#p="&amp;SUBSTITUTE(AA57,"+","%2B")&amp;"&amp;n="&amp;AC57&amp;"&amp;m="&amp;SUBSTITUTE('Start Here'!$B$24,"{name}",AC57))</f>
        <v/>
      </c>
      <c r="AE57" s="32">
        <f>LEN(AD57)</f>
        <v/>
      </c>
      <c r="AF57" s="32">
        <f>IF(AND(TRIM(A57&amp;"")&lt;&gt;"",OR(B57="Awaiting",B57="Not sure yet")),1,0)</f>
        <v/>
      </c>
      <c r="AG57" s="32">
        <f>N(AG56)+AF57</f>
        <v/>
      </c>
      <c r="AH57" s="32">
        <f>IF(AF57=1,AG57,"")</f>
        <v/>
      </c>
      <c r="AI57" s="32">
        <f>IF(AND(TRIM(A57&amp;"")&lt;&gt;"",L57&amp;""&lt;&gt;"",L57&amp;""=Seating!$I$3&amp;"",B57&lt;&gt;"Declined"),1,0)</f>
        <v/>
      </c>
      <c r="AJ57" s="32">
        <f>N(AJ56)+AI57</f>
        <v/>
      </c>
      <c r="AK57" s="32">
        <f>IF(AI57=1,AJ57,"")</f>
        <v/>
      </c>
    </row>
    <row r="58">
      <c r="A58" s="10" t="n"/>
      <c r="B58" s="47">
        <f>IF(TRIM(A58&amp;"")="","",IF(W58&lt;&gt;"",W58,IF(I58="","Awaiting",I58)))</f>
        <v/>
      </c>
      <c r="C58" s="60">
        <f>IF(OR(B58="Awaiting",B58="Not sure yet"),IF(AD58&lt;&gt;"",HYPERLINK(AD58,"💬 Remind"),"add mobile"),"")</f>
        <v/>
      </c>
      <c r="D58" s="58" t="n"/>
      <c r="E58" s="10" t="n"/>
      <c r="F58" s="10" t="n"/>
      <c r="G58" s="10" t="n"/>
      <c r="H58" s="10" t="n"/>
      <c r="I58" s="10" t="n"/>
      <c r="J58" s="10" t="n"/>
      <c r="K58" s="10" t="n"/>
      <c r="L58" s="56" t="n"/>
      <c r="M58" s="10" t="n"/>
      <c r="N58" s="12" t="n"/>
      <c r="O58" s="10" t="n"/>
      <c r="P58" s="10" t="n"/>
      <c r="Q58" s="61">
        <f>IF(V58="","",IF(T58="","Covered by "&amp;INDEX('Form Calc'!$B:$B,V58)&amp;"'s reply (same party)","Replied "&amp;TEXT(INDEX('Form Calc'!$A:$A,T58),"mm/dd")&amp;" · "&amp;INDEX('Form Calc'!$H:$H,T58)&amp;" adult(s), "&amp;INDEX('Form Calc'!$I:$I,T58)&amp;" child(ren)"&amp;IF(INDEX('Form Calc'!$K:$K,T58)&lt;&gt;""," · "&amp;INDEX('Form Calc'!$K:$K,T58),"")&amp;IF(INDEX('Form Calc'!$M:$M,T58)&lt;&gt;""," · “"&amp;INDEX('Form Calc'!$M:$M,T58)&amp;"”","")))</f>
        <v/>
      </c>
      <c r="R58" s="32">
        <f>SUBSTITUTE(SUBSTITUTE(SUBSTITUTE(SUBSTITUTE(SUBSTITUTE(SUBSTITUTE(SUBSTITUTE(SUBSTITUTE(D58&amp;""," ",""),"-",""),"(",""),")",""),".",""),"+",""),"/",""),CHAR(160),"")</f>
        <v/>
      </c>
      <c r="S58" s="32">
        <f>IF(LEN(R58)&gt;=10,RIGHT(R58,10),R58)</f>
        <v/>
      </c>
      <c r="T58" s="32">
        <f>IF(TRIM(A58&amp;"")="","",IF(S58&lt;&gt;"",IFERROR(MATCH(S58,'Form Calc'!$P:$P,0),IFERROR(MATCH(TRIM(A58&amp;""),'Form Calc'!$Q:$Q,0),"")),IFERROR(MATCH(TRIM(A58&amp;""),'Form Calc'!$Q:$Q,0),"")))</f>
        <v/>
      </c>
      <c r="U58" s="32">
        <f>IF(AND(T58&lt;&gt;"",TRIM(E58&amp;"")&lt;&gt;""),TRIM(E58&amp;""),"")</f>
        <v/>
      </c>
      <c r="V58" s="32">
        <f>IF(TRIM(A58&amp;"")="","",IF(T58&lt;&gt;"",T58,IF(TRIM(E58&amp;"")="","",IFERROR(INDEX($T$6:$T$505,MATCH(TRIM(E58&amp;""),$U$6:$U$505,0)),""))))</f>
        <v/>
      </c>
      <c r="W58" s="32">
        <f>IF(V58="","",INDEX('Form Calc'!$G:$G,V58))</f>
        <v/>
      </c>
      <c r="X58" s="32">
        <f>IF(TRIM(A58&amp;"")="","",IF(T58&lt;&gt;"",IF(INDEX('Form Calc'!$K:$K,T58)&lt;&gt;"",INDEX('Form Calc'!$K:$K,T58),J58&amp;""),J58&amp;""))</f>
        <v/>
      </c>
      <c r="Y58" s="32">
        <f>IF(TRIM(A58&amp;"")="","",IF(TRIM(D58&amp;"")&lt;&gt;"",TRIM(D58&amp;""),IF(T58&lt;&gt;"",INDEX('Form Calc'!$C:$C,T58)&amp;"","")))</f>
        <v/>
      </c>
      <c r="Z58" s="32">
        <f>SUBSTITUTE(SUBSTITUTE(SUBSTITUTE(SUBSTITUTE(SUBSTITUTE(SUBSTITUTE(SUBSTITUTE(SUBSTITUTE(Y58," ",""),"-",""),"(",""),")",""),".",""),"+",""),"/",""),CHAR(160),"")</f>
        <v/>
      </c>
      <c r="AA58" s="32">
        <f>IF(Z58="","",IF(LEN(Z58)=10,"+1"&amp;Z58,IF(AND(LEN(Z58)=11,LEFT(Z58,1)="1"),"+"&amp;Z58,IF(LEFT(Y58,1)="+","+"&amp;Z58,Z58))))</f>
        <v/>
      </c>
      <c r="AB58" s="32">
        <f>IF(TRIM(A58&amp;"")="","",IF(TRIM(M58&amp;"")&lt;&gt;"",TRIM(M58&amp;""),IFERROR(LEFT(TRIM(A58&amp;""),FIND(" ",TRIM(A58&amp;""))-1),TRIM(A58&amp;""))))</f>
        <v/>
      </c>
      <c r="AC58" s="32">
        <f>SUBSTITUTE(SUBSTITUTE(SUBSTITUTE(SUBSTITUTE(SUBSTITUTE(SUBSTITUTE(SUBSTITUTE(SUBSTITUTE(SUBSTITUTE(SUBSTITUTE(AB58,"%","%25"),"&amp;","%26"),"#","%23"),"+","%2B"),"=","%3D"),"?","%3F"),CHAR(34),"%22"),CHAR(10),"%0A"),CHAR(13),"")," ","+")</f>
        <v/>
      </c>
      <c r="AD58" s="32">
        <f>IF(OR(AA58="",AB58=""),"",'Start Here'!$B$20&amp;"#p="&amp;SUBSTITUTE(AA58,"+","%2B")&amp;"&amp;n="&amp;AC58&amp;"&amp;m="&amp;SUBSTITUTE('Start Here'!$B$24,"{name}",AC58))</f>
        <v/>
      </c>
      <c r="AE58" s="32">
        <f>LEN(AD58)</f>
        <v/>
      </c>
      <c r="AF58" s="32">
        <f>IF(AND(TRIM(A58&amp;"")&lt;&gt;"",OR(B58="Awaiting",B58="Not sure yet")),1,0)</f>
        <v/>
      </c>
      <c r="AG58" s="32">
        <f>N(AG57)+AF58</f>
        <v/>
      </c>
      <c r="AH58" s="32">
        <f>IF(AF58=1,AG58,"")</f>
        <v/>
      </c>
      <c r="AI58" s="32">
        <f>IF(AND(TRIM(A58&amp;"")&lt;&gt;"",L58&amp;""&lt;&gt;"",L58&amp;""=Seating!$I$3&amp;"",B58&lt;&gt;"Declined"),1,0)</f>
        <v/>
      </c>
      <c r="AJ58" s="32">
        <f>N(AJ57)+AI58</f>
        <v/>
      </c>
      <c r="AK58" s="32">
        <f>IF(AI58=1,AJ58,"")</f>
        <v/>
      </c>
    </row>
    <row r="59">
      <c r="A59" s="10" t="n"/>
      <c r="B59" s="47">
        <f>IF(TRIM(A59&amp;"")="","",IF(W59&lt;&gt;"",W59,IF(I59="","Awaiting",I59)))</f>
        <v/>
      </c>
      <c r="C59" s="60">
        <f>IF(OR(B59="Awaiting",B59="Not sure yet"),IF(AD59&lt;&gt;"",HYPERLINK(AD59,"💬 Remind"),"add mobile"),"")</f>
        <v/>
      </c>
      <c r="D59" s="58" t="n"/>
      <c r="E59" s="10" t="n"/>
      <c r="F59" s="10" t="n"/>
      <c r="G59" s="10" t="n"/>
      <c r="H59" s="10" t="n"/>
      <c r="I59" s="10" t="n"/>
      <c r="J59" s="10" t="n"/>
      <c r="K59" s="10" t="n"/>
      <c r="L59" s="56" t="n"/>
      <c r="M59" s="10" t="n"/>
      <c r="N59" s="12" t="n"/>
      <c r="O59" s="10" t="n"/>
      <c r="P59" s="10" t="n"/>
      <c r="Q59" s="61">
        <f>IF(V59="","",IF(T59="","Covered by "&amp;INDEX('Form Calc'!$B:$B,V59)&amp;"'s reply (same party)","Replied "&amp;TEXT(INDEX('Form Calc'!$A:$A,T59),"mm/dd")&amp;" · "&amp;INDEX('Form Calc'!$H:$H,T59)&amp;" adult(s), "&amp;INDEX('Form Calc'!$I:$I,T59)&amp;" child(ren)"&amp;IF(INDEX('Form Calc'!$K:$K,T59)&lt;&gt;""," · "&amp;INDEX('Form Calc'!$K:$K,T59),"")&amp;IF(INDEX('Form Calc'!$M:$M,T59)&lt;&gt;""," · “"&amp;INDEX('Form Calc'!$M:$M,T59)&amp;"”","")))</f>
        <v/>
      </c>
      <c r="R59" s="32">
        <f>SUBSTITUTE(SUBSTITUTE(SUBSTITUTE(SUBSTITUTE(SUBSTITUTE(SUBSTITUTE(SUBSTITUTE(SUBSTITUTE(D59&amp;""," ",""),"-",""),"(",""),")",""),".",""),"+",""),"/",""),CHAR(160),"")</f>
        <v/>
      </c>
      <c r="S59" s="32">
        <f>IF(LEN(R59)&gt;=10,RIGHT(R59,10),R59)</f>
        <v/>
      </c>
      <c r="T59" s="32">
        <f>IF(TRIM(A59&amp;"")="","",IF(S59&lt;&gt;"",IFERROR(MATCH(S59,'Form Calc'!$P:$P,0),IFERROR(MATCH(TRIM(A59&amp;""),'Form Calc'!$Q:$Q,0),"")),IFERROR(MATCH(TRIM(A59&amp;""),'Form Calc'!$Q:$Q,0),"")))</f>
        <v/>
      </c>
      <c r="U59" s="32">
        <f>IF(AND(T59&lt;&gt;"",TRIM(E59&amp;"")&lt;&gt;""),TRIM(E59&amp;""),"")</f>
        <v/>
      </c>
      <c r="V59" s="32">
        <f>IF(TRIM(A59&amp;"")="","",IF(T59&lt;&gt;"",T59,IF(TRIM(E59&amp;"")="","",IFERROR(INDEX($T$6:$T$505,MATCH(TRIM(E59&amp;""),$U$6:$U$505,0)),""))))</f>
        <v/>
      </c>
      <c r="W59" s="32">
        <f>IF(V59="","",INDEX('Form Calc'!$G:$G,V59))</f>
        <v/>
      </c>
      <c r="X59" s="32">
        <f>IF(TRIM(A59&amp;"")="","",IF(T59&lt;&gt;"",IF(INDEX('Form Calc'!$K:$K,T59)&lt;&gt;"",INDEX('Form Calc'!$K:$K,T59),J59&amp;""),J59&amp;""))</f>
        <v/>
      </c>
      <c r="Y59" s="32">
        <f>IF(TRIM(A59&amp;"")="","",IF(TRIM(D59&amp;"")&lt;&gt;"",TRIM(D59&amp;""),IF(T59&lt;&gt;"",INDEX('Form Calc'!$C:$C,T59)&amp;"","")))</f>
        <v/>
      </c>
      <c r="Z59" s="32">
        <f>SUBSTITUTE(SUBSTITUTE(SUBSTITUTE(SUBSTITUTE(SUBSTITUTE(SUBSTITUTE(SUBSTITUTE(SUBSTITUTE(Y59," ",""),"-",""),"(",""),")",""),".",""),"+",""),"/",""),CHAR(160),"")</f>
        <v/>
      </c>
      <c r="AA59" s="32">
        <f>IF(Z59="","",IF(LEN(Z59)=10,"+1"&amp;Z59,IF(AND(LEN(Z59)=11,LEFT(Z59,1)="1"),"+"&amp;Z59,IF(LEFT(Y59,1)="+","+"&amp;Z59,Z59))))</f>
        <v/>
      </c>
      <c r="AB59" s="32">
        <f>IF(TRIM(A59&amp;"")="","",IF(TRIM(M59&amp;"")&lt;&gt;"",TRIM(M59&amp;""),IFERROR(LEFT(TRIM(A59&amp;""),FIND(" ",TRIM(A59&amp;""))-1),TRIM(A59&amp;""))))</f>
        <v/>
      </c>
      <c r="AC59" s="32">
        <f>SUBSTITUTE(SUBSTITUTE(SUBSTITUTE(SUBSTITUTE(SUBSTITUTE(SUBSTITUTE(SUBSTITUTE(SUBSTITUTE(SUBSTITUTE(SUBSTITUTE(AB59,"%","%25"),"&amp;","%26"),"#","%23"),"+","%2B"),"=","%3D"),"?","%3F"),CHAR(34),"%22"),CHAR(10),"%0A"),CHAR(13),"")," ","+")</f>
        <v/>
      </c>
      <c r="AD59" s="32">
        <f>IF(OR(AA59="",AB59=""),"",'Start Here'!$B$20&amp;"#p="&amp;SUBSTITUTE(AA59,"+","%2B")&amp;"&amp;n="&amp;AC59&amp;"&amp;m="&amp;SUBSTITUTE('Start Here'!$B$24,"{name}",AC59))</f>
        <v/>
      </c>
      <c r="AE59" s="32">
        <f>LEN(AD59)</f>
        <v/>
      </c>
      <c r="AF59" s="32">
        <f>IF(AND(TRIM(A59&amp;"")&lt;&gt;"",OR(B59="Awaiting",B59="Not sure yet")),1,0)</f>
        <v/>
      </c>
      <c r="AG59" s="32">
        <f>N(AG58)+AF59</f>
        <v/>
      </c>
      <c r="AH59" s="32">
        <f>IF(AF59=1,AG59,"")</f>
        <v/>
      </c>
      <c r="AI59" s="32">
        <f>IF(AND(TRIM(A59&amp;"")&lt;&gt;"",L59&amp;""&lt;&gt;"",L59&amp;""=Seating!$I$3&amp;"",B59&lt;&gt;"Declined"),1,0)</f>
        <v/>
      </c>
      <c r="AJ59" s="32">
        <f>N(AJ58)+AI59</f>
        <v/>
      </c>
      <c r="AK59" s="32">
        <f>IF(AI59=1,AJ59,"")</f>
        <v/>
      </c>
    </row>
    <row r="60">
      <c r="A60" s="10" t="n"/>
      <c r="B60" s="47">
        <f>IF(TRIM(A60&amp;"")="","",IF(W60&lt;&gt;"",W60,IF(I60="","Awaiting",I60)))</f>
        <v/>
      </c>
      <c r="C60" s="60">
        <f>IF(OR(B60="Awaiting",B60="Not sure yet"),IF(AD60&lt;&gt;"",HYPERLINK(AD60,"💬 Remind"),"add mobile"),"")</f>
        <v/>
      </c>
      <c r="D60" s="58" t="n"/>
      <c r="E60" s="10" t="n"/>
      <c r="F60" s="10" t="n"/>
      <c r="G60" s="10" t="n"/>
      <c r="H60" s="10" t="n"/>
      <c r="I60" s="10" t="n"/>
      <c r="J60" s="10" t="n"/>
      <c r="K60" s="10" t="n"/>
      <c r="L60" s="56" t="n"/>
      <c r="M60" s="10" t="n"/>
      <c r="N60" s="12" t="n"/>
      <c r="O60" s="10" t="n"/>
      <c r="P60" s="10" t="n"/>
      <c r="Q60" s="61">
        <f>IF(V60="","",IF(T60="","Covered by "&amp;INDEX('Form Calc'!$B:$B,V60)&amp;"'s reply (same party)","Replied "&amp;TEXT(INDEX('Form Calc'!$A:$A,T60),"mm/dd")&amp;" · "&amp;INDEX('Form Calc'!$H:$H,T60)&amp;" adult(s), "&amp;INDEX('Form Calc'!$I:$I,T60)&amp;" child(ren)"&amp;IF(INDEX('Form Calc'!$K:$K,T60)&lt;&gt;""," · "&amp;INDEX('Form Calc'!$K:$K,T60),"")&amp;IF(INDEX('Form Calc'!$M:$M,T60)&lt;&gt;""," · “"&amp;INDEX('Form Calc'!$M:$M,T60)&amp;"”","")))</f>
        <v/>
      </c>
      <c r="R60" s="32">
        <f>SUBSTITUTE(SUBSTITUTE(SUBSTITUTE(SUBSTITUTE(SUBSTITUTE(SUBSTITUTE(SUBSTITUTE(SUBSTITUTE(D60&amp;""," ",""),"-",""),"(",""),")",""),".",""),"+",""),"/",""),CHAR(160),"")</f>
        <v/>
      </c>
      <c r="S60" s="32">
        <f>IF(LEN(R60)&gt;=10,RIGHT(R60,10),R60)</f>
        <v/>
      </c>
      <c r="T60" s="32">
        <f>IF(TRIM(A60&amp;"")="","",IF(S60&lt;&gt;"",IFERROR(MATCH(S60,'Form Calc'!$P:$P,0),IFERROR(MATCH(TRIM(A60&amp;""),'Form Calc'!$Q:$Q,0),"")),IFERROR(MATCH(TRIM(A60&amp;""),'Form Calc'!$Q:$Q,0),"")))</f>
        <v/>
      </c>
      <c r="U60" s="32">
        <f>IF(AND(T60&lt;&gt;"",TRIM(E60&amp;"")&lt;&gt;""),TRIM(E60&amp;""),"")</f>
        <v/>
      </c>
      <c r="V60" s="32">
        <f>IF(TRIM(A60&amp;"")="","",IF(T60&lt;&gt;"",T60,IF(TRIM(E60&amp;"")="","",IFERROR(INDEX($T$6:$T$505,MATCH(TRIM(E60&amp;""),$U$6:$U$505,0)),""))))</f>
        <v/>
      </c>
      <c r="W60" s="32">
        <f>IF(V60="","",INDEX('Form Calc'!$G:$G,V60))</f>
        <v/>
      </c>
      <c r="X60" s="32">
        <f>IF(TRIM(A60&amp;"")="","",IF(T60&lt;&gt;"",IF(INDEX('Form Calc'!$K:$K,T60)&lt;&gt;"",INDEX('Form Calc'!$K:$K,T60),J60&amp;""),J60&amp;""))</f>
        <v/>
      </c>
      <c r="Y60" s="32">
        <f>IF(TRIM(A60&amp;"")="","",IF(TRIM(D60&amp;"")&lt;&gt;"",TRIM(D60&amp;""),IF(T60&lt;&gt;"",INDEX('Form Calc'!$C:$C,T60)&amp;"","")))</f>
        <v/>
      </c>
      <c r="Z60" s="32">
        <f>SUBSTITUTE(SUBSTITUTE(SUBSTITUTE(SUBSTITUTE(SUBSTITUTE(SUBSTITUTE(SUBSTITUTE(SUBSTITUTE(Y60," ",""),"-",""),"(",""),")",""),".",""),"+",""),"/",""),CHAR(160),"")</f>
        <v/>
      </c>
      <c r="AA60" s="32">
        <f>IF(Z60="","",IF(LEN(Z60)=10,"+1"&amp;Z60,IF(AND(LEN(Z60)=11,LEFT(Z60,1)="1"),"+"&amp;Z60,IF(LEFT(Y60,1)="+","+"&amp;Z60,Z60))))</f>
        <v/>
      </c>
      <c r="AB60" s="32">
        <f>IF(TRIM(A60&amp;"")="","",IF(TRIM(M60&amp;"")&lt;&gt;"",TRIM(M60&amp;""),IFERROR(LEFT(TRIM(A60&amp;""),FIND(" ",TRIM(A60&amp;""))-1),TRIM(A60&amp;""))))</f>
        <v/>
      </c>
      <c r="AC60" s="32">
        <f>SUBSTITUTE(SUBSTITUTE(SUBSTITUTE(SUBSTITUTE(SUBSTITUTE(SUBSTITUTE(SUBSTITUTE(SUBSTITUTE(SUBSTITUTE(SUBSTITUTE(AB60,"%","%25"),"&amp;","%26"),"#","%23"),"+","%2B"),"=","%3D"),"?","%3F"),CHAR(34),"%22"),CHAR(10),"%0A"),CHAR(13),"")," ","+")</f>
        <v/>
      </c>
      <c r="AD60" s="32">
        <f>IF(OR(AA60="",AB60=""),"",'Start Here'!$B$20&amp;"#p="&amp;SUBSTITUTE(AA60,"+","%2B")&amp;"&amp;n="&amp;AC60&amp;"&amp;m="&amp;SUBSTITUTE('Start Here'!$B$24,"{name}",AC60))</f>
        <v/>
      </c>
      <c r="AE60" s="32">
        <f>LEN(AD60)</f>
        <v/>
      </c>
      <c r="AF60" s="32">
        <f>IF(AND(TRIM(A60&amp;"")&lt;&gt;"",OR(B60="Awaiting",B60="Not sure yet")),1,0)</f>
        <v/>
      </c>
      <c r="AG60" s="32">
        <f>N(AG59)+AF60</f>
        <v/>
      </c>
      <c r="AH60" s="32">
        <f>IF(AF60=1,AG60,"")</f>
        <v/>
      </c>
      <c r="AI60" s="32">
        <f>IF(AND(TRIM(A60&amp;"")&lt;&gt;"",L60&amp;""&lt;&gt;"",L60&amp;""=Seating!$I$3&amp;"",B60&lt;&gt;"Declined"),1,0)</f>
        <v/>
      </c>
      <c r="AJ60" s="32">
        <f>N(AJ59)+AI60</f>
        <v/>
      </c>
      <c r="AK60" s="32">
        <f>IF(AI60=1,AJ60,"")</f>
        <v/>
      </c>
    </row>
    <row r="61">
      <c r="A61" s="10" t="n"/>
      <c r="B61" s="47">
        <f>IF(TRIM(A61&amp;"")="","",IF(W61&lt;&gt;"",W61,IF(I61="","Awaiting",I61)))</f>
        <v/>
      </c>
      <c r="C61" s="60">
        <f>IF(OR(B61="Awaiting",B61="Not sure yet"),IF(AD61&lt;&gt;"",HYPERLINK(AD61,"💬 Remind"),"add mobile"),"")</f>
        <v/>
      </c>
      <c r="D61" s="58" t="n"/>
      <c r="E61" s="10" t="n"/>
      <c r="F61" s="10" t="n"/>
      <c r="G61" s="10" t="n"/>
      <c r="H61" s="10" t="n"/>
      <c r="I61" s="10" t="n"/>
      <c r="J61" s="10" t="n"/>
      <c r="K61" s="10" t="n"/>
      <c r="L61" s="56" t="n"/>
      <c r="M61" s="10" t="n"/>
      <c r="N61" s="12" t="n"/>
      <c r="O61" s="10" t="n"/>
      <c r="P61" s="10" t="n"/>
      <c r="Q61" s="61">
        <f>IF(V61="","",IF(T61="","Covered by "&amp;INDEX('Form Calc'!$B:$B,V61)&amp;"'s reply (same party)","Replied "&amp;TEXT(INDEX('Form Calc'!$A:$A,T61),"mm/dd")&amp;" · "&amp;INDEX('Form Calc'!$H:$H,T61)&amp;" adult(s), "&amp;INDEX('Form Calc'!$I:$I,T61)&amp;" child(ren)"&amp;IF(INDEX('Form Calc'!$K:$K,T61)&lt;&gt;""," · "&amp;INDEX('Form Calc'!$K:$K,T61),"")&amp;IF(INDEX('Form Calc'!$M:$M,T61)&lt;&gt;""," · “"&amp;INDEX('Form Calc'!$M:$M,T61)&amp;"”","")))</f>
        <v/>
      </c>
      <c r="R61" s="32">
        <f>SUBSTITUTE(SUBSTITUTE(SUBSTITUTE(SUBSTITUTE(SUBSTITUTE(SUBSTITUTE(SUBSTITUTE(SUBSTITUTE(D61&amp;""," ",""),"-",""),"(",""),")",""),".",""),"+",""),"/",""),CHAR(160),"")</f>
        <v/>
      </c>
      <c r="S61" s="32">
        <f>IF(LEN(R61)&gt;=10,RIGHT(R61,10),R61)</f>
        <v/>
      </c>
      <c r="T61" s="32">
        <f>IF(TRIM(A61&amp;"")="","",IF(S61&lt;&gt;"",IFERROR(MATCH(S61,'Form Calc'!$P:$P,0),IFERROR(MATCH(TRIM(A61&amp;""),'Form Calc'!$Q:$Q,0),"")),IFERROR(MATCH(TRIM(A61&amp;""),'Form Calc'!$Q:$Q,0),"")))</f>
        <v/>
      </c>
      <c r="U61" s="32">
        <f>IF(AND(T61&lt;&gt;"",TRIM(E61&amp;"")&lt;&gt;""),TRIM(E61&amp;""),"")</f>
        <v/>
      </c>
      <c r="V61" s="32">
        <f>IF(TRIM(A61&amp;"")="","",IF(T61&lt;&gt;"",T61,IF(TRIM(E61&amp;"")="","",IFERROR(INDEX($T$6:$T$505,MATCH(TRIM(E61&amp;""),$U$6:$U$505,0)),""))))</f>
        <v/>
      </c>
      <c r="W61" s="32">
        <f>IF(V61="","",INDEX('Form Calc'!$G:$G,V61))</f>
        <v/>
      </c>
      <c r="X61" s="32">
        <f>IF(TRIM(A61&amp;"")="","",IF(T61&lt;&gt;"",IF(INDEX('Form Calc'!$K:$K,T61)&lt;&gt;"",INDEX('Form Calc'!$K:$K,T61),J61&amp;""),J61&amp;""))</f>
        <v/>
      </c>
      <c r="Y61" s="32">
        <f>IF(TRIM(A61&amp;"")="","",IF(TRIM(D61&amp;"")&lt;&gt;"",TRIM(D61&amp;""),IF(T61&lt;&gt;"",INDEX('Form Calc'!$C:$C,T61)&amp;"","")))</f>
        <v/>
      </c>
      <c r="Z61" s="32">
        <f>SUBSTITUTE(SUBSTITUTE(SUBSTITUTE(SUBSTITUTE(SUBSTITUTE(SUBSTITUTE(SUBSTITUTE(SUBSTITUTE(Y61," ",""),"-",""),"(",""),")",""),".",""),"+",""),"/",""),CHAR(160),"")</f>
        <v/>
      </c>
      <c r="AA61" s="32">
        <f>IF(Z61="","",IF(LEN(Z61)=10,"+1"&amp;Z61,IF(AND(LEN(Z61)=11,LEFT(Z61,1)="1"),"+"&amp;Z61,IF(LEFT(Y61,1)="+","+"&amp;Z61,Z61))))</f>
        <v/>
      </c>
      <c r="AB61" s="32">
        <f>IF(TRIM(A61&amp;"")="","",IF(TRIM(M61&amp;"")&lt;&gt;"",TRIM(M61&amp;""),IFERROR(LEFT(TRIM(A61&amp;""),FIND(" ",TRIM(A61&amp;""))-1),TRIM(A61&amp;""))))</f>
        <v/>
      </c>
      <c r="AC61" s="32">
        <f>SUBSTITUTE(SUBSTITUTE(SUBSTITUTE(SUBSTITUTE(SUBSTITUTE(SUBSTITUTE(SUBSTITUTE(SUBSTITUTE(SUBSTITUTE(SUBSTITUTE(AB61,"%","%25"),"&amp;","%26"),"#","%23"),"+","%2B"),"=","%3D"),"?","%3F"),CHAR(34),"%22"),CHAR(10),"%0A"),CHAR(13),"")," ","+")</f>
        <v/>
      </c>
      <c r="AD61" s="32">
        <f>IF(OR(AA61="",AB61=""),"",'Start Here'!$B$20&amp;"#p="&amp;SUBSTITUTE(AA61,"+","%2B")&amp;"&amp;n="&amp;AC61&amp;"&amp;m="&amp;SUBSTITUTE('Start Here'!$B$24,"{name}",AC61))</f>
        <v/>
      </c>
      <c r="AE61" s="32">
        <f>LEN(AD61)</f>
        <v/>
      </c>
      <c r="AF61" s="32">
        <f>IF(AND(TRIM(A61&amp;"")&lt;&gt;"",OR(B61="Awaiting",B61="Not sure yet")),1,0)</f>
        <v/>
      </c>
      <c r="AG61" s="32">
        <f>N(AG60)+AF61</f>
        <v/>
      </c>
      <c r="AH61" s="32">
        <f>IF(AF61=1,AG61,"")</f>
        <v/>
      </c>
      <c r="AI61" s="32">
        <f>IF(AND(TRIM(A61&amp;"")&lt;&gt;"",L61&amp;""&lt;&gt;"",L61&amp;""=Seating!$I$3&amp;"",B61&lt;&gt;"Declined"),1,0)</f>
        <v/>
      </c>
      <c r="AJ61" s="32">
        <f>N(AJ60)+AI61</f>
        <v/>
      </c>
      <c r="AK61" s="32">
        <f>IF(AI61=1,AJ61,"")</f>
        <v/>
      </c>
    </row>
    <row r="62">
      <c r="A62" s="10" t="n"/>
      <c r="B62" s="47">
        <f>IF(TRIM(A62&amp;"")="","",IF(W62&lt;&gt;"",W62,IF(I62="","Awaiting",I62)))</f>
        <v/>
      </c>
      <c r="C62" s="60">
        <f>IF(OR(B62="Awaiting",B62="Not sure yet"),IF(AD62&lt;&gt;"",HYPERLINK(AD62,"💬 Remind"),"add mobile"),"")</f>
        <v/>
      </c>
      <c r="D62" s="58" t="n"/>
      <c r="E62" s="10" t="n"/>
      <c r="F62" s="10" t="n"/>
      <c r="G62" s="10" t="n"/>
      <c r="H62" s="10" t="n"/>
      <c r="I62" s="10" t="n"/>
      <c r="J62" s="10" t="n"/>
      <c r="K62" s="10" t="n"/>
      <c r="L62" s="56" t="n"/>
      <c r="M62" s="10" t="n"/>
      <c r="N62" s="12" t="n"/>
      <c r="O62" s="10" t="n"/>
      <c r="P62" s="10" t="n"/>
      <c r="Q62" s="61">
        <f>IF(V62="","",IF(T62="","Covered by "&amp;INDEX('Form Calc'!$B:$B,V62)&amp;"'s reply (same party)","Replied "&amp;TEXT(INDEX('Form Calc'!$A:$A,T62),"mm/dd")&amp;" · "&amp;INDEX('Form Calc'!$H:$H,T62)&amp;" adult(s), "&amp;INDEX('Form Calc'!$I:$I,T62)&amp;" child(ren)"&amp;IF(INDEX('Form Calc'!$K:$K,T62)&lt;&gt;""," · "&amp;INDEX('Form Calc'!$K:$K,T62),"")&amp;IF(INDEX('Form Calc'!$M:$M,T62)&lt;&gt;""," · “"&amp;INDEX('Form Calc'!$M:$M,T62)&amp;"”","")))</f>
        <v/>
      </c>
      <c r="R62" s="32">
        <f>SUBSTITUTE(SUBSTITUTE(SUBSTITUTE(SUBSTITUTE(SUBSTITUTE(SUBSTITUTE(SUBSTITUTE(SUBSTITUTE(D62&amp;""," ",""),"-",""),"(",""),")",""),".",""),"+",""),"/",""),CHAR(160),"")</f>
        <v/>
      </c>
      <c r="S62" s="32">
        <f>IF(LEN(R62)&gt;=10,RIGHT(R62,10),R62)</f>
        <v/>
      </c>
      <c r="T62" s="32">
        <f>IF(TRIM(A62&amp;"")="","",IF(S62&lt;&gt;"",IFERROR(MATCH(S62,'Form Calc'!$P:$P,0),IFERROR(MATCH(TRIM(A62&amp;""),'Form Calc'!$Q:$Q,0),"")),IFERROR(MATCH(TRIM(A62&amp;""),'Form Calc'!$Q:$Q,0),"")))</f>
        <v/>
      </c>
      <c r="U62" s="32">
        <f>IF(AND(T62&lt;&gt;"",TRIM(E62&amp;"")&lt;&gt;""),TRIM(E62&amp;""),"")</f>
        <v/>
      </c>
      <c r="V62" s="32">
        <f>IF(TRIM(A62&amp;"")="","",IF(T62&lt;&gt;"",T62,IF(TRIM(E62&amp;"")="","",IFERROR(INDEX($T$6:$T$505,MATCH(TRIM(E62&amp;""),$U$6:$U$505,0)),""))))</f>
        <v/>
      </c>
      <c r="W62" s="32">
        <f>IF(V62="","",INDEX('Form Calc'!$G:$G,V62))</f>
        <v/>
      </c>
      <c r="X62" s="32">
        <f>IF(TRIM(A62&amp;"")="","",IF(T62&lt;&gt;"",IF(INDEX('Form Calc'!$K:$K,T62)&lt;&gt;"",INDEX('Form Calc'!$K:$K,T62),J62&amp;""),J62&amp;""))</f>
        <v/>
      </c>
      <c r="Y62" s="32">
        <f>IF(TRIM(A62&amp;"")="","",IF(TRIM(D62&amp;"")&lt;&gt;"",TRIM(D62&amp;""),IF(T62&lt;&gt;"",INDEX('Form Calc'!$C:$C,T62)&amp;"","")))</f>
        <v/>
      </c>
      <c r="Z62" s="32">
        <f>SUBSTITUTE(SUBSTITUTE(SUBSTITUTE(SUBSTITUTE(SUBSTITUTE(SUBSTITUTE(SUBSTITUTE(SUBSTITUTE(Y62," ",""),"-",""),"(",""),")",""),".",""),"+",""),"/",""),CHAR(160),"")</f>
        <v/>
      </c>
      <c r="AA62" s="32">
        <f>IF(Z62="","",IF(LEN(Z62)=10,"+1"&amp;Z62,IF(AND(LEN(Z62)=11,LEFT(Z62,1)="1"),"+"&amp;Z62,IF(LEFT(Y62,1)="+","+"&amp;Z62,Z62))))</f>
        <v/>
      </c>
      <c r="AB62" s="32">
        <f>IF(TRIM(A62&amp;"")="","",IF(TRIM(M62&amp;"")&lt;&gt;"",TRIM(M62&amp;""),IFERROR(LEFT(TRIM(A62&amp;""),FIND(" ",TRIM(A62&amp;""))-1),TRIM(A62&amp;""))))</f>
        <v/>
      </c>
      <c r="AC62" s="32">
        <f>SUBSTITUTE(SUBSTITUTE(SUBSTITUTE(SUBSTITUTE(SUBSTITUTE(SUBSTITUTE(SUBSTITUTE(SUBSTITUTE(SUBSTITUTE(SUBSTITUTE(AB62,"%","%25"),"&amp;","%26"),"#","%23"),"+","%2B"),"=","%3D"),"?","%3F"),CHAR(34),"%22"),CHAR(10),"%0A"),CHAR(13),"")," ","+")</f>
        <v/>
      </c>
      <c r="AD62" s="32">
        <f>IF(OR(AA62="",AB62=""),"",'Start Here'!$B$20&amp;"#p="&amp;SUBSTITUTE(AA62,"+","%2B")&amp;"&amp;n="&amp;AC62&amp;"&amp;m="&amp;SUBSTITUTE('Start Here'!$B$24,"{name}",AC62))</f>
        <v/>
      </c>
      <c r="AE62" s="32">
        <f>LEN(AD62)</f>
        <v/>
      </c>
      <c r="AF62" s="32">
        <f>IF(AND(TRIM(A62&amp;"")&lt;&gt;"",OR(B62="Awaiting",B62="Not sure yet")),1,0)</f>
        <v/>
      </c>
      <c r="AG62" s="32">
        <f>N(AG61)+AF62</f>
        <v/>
      </c>
      <c r="AH62" s="32">
        <f>IF(AF62=1,AG62,"")</f>
        <v/>
      </c>
      <c r="AI62" s="32">
        <f>IF(AND(TRIM(A62&amp;"")&lt;&gt;"",L62&amp;""&lt;&gt;"",L62&amp;""=Seating!$I$3&amp;"",B62&lt;&gt;"Declined"),1,0)</f>
        <v/>
      </c>
      <c r="AJ62" s="32">
        <f>N(AJ61)+AI62</f>
        <v/>
      </c>
      <c r="AK62" s="32">
        <f>IF(AI62=1,AJ62,"")</f>
        <v/>
      </c>
    </row>
    <row r="63">
      <c r="A63" s="10" t="n"/>
      <c r="B63" s="47">
        <f>IF(TRIM(A63&amp;"")="","",IF(W63&lt;&gt;"",W63,IF(I63="","Awaiting",I63)))</f>
        <v/>
      </c>
      <c r="C63" s="60">
        <f>IF(OR(B63="Awaiting",B63="Not sure yet"),IF(AD63&lt;&gt;"",HYPERLINK(AD63,"💬 Remind"),"add mobile"),"")</f>
        <v/>
      </c>
      <c r="D63" s="58" t="n"/>
      <c r="E63" s="10" t="n"/>
      <c r="F63" s="10" t="n"/>
      <c r="G63" s="10" t="n"/>
      <c r="H63" s="10" t="n"/>
      <c r="I63" s="10" t="n"/>
      <c r="J63" s="10" t="n"/>
      <c r="K63" s="10" t="n"/>
      <c r="L63" s="56" t="n"/>
      <c r="M63" s="10" t="n"/>
      <c r="N63" s="12" t="n"/>
      <c r="O63" s="10" t="n"/>
      <c r="P63" s="10" t="n"/>
      <c r="Q63" s="61">
        <f>IF(V63="","",IF(T63="","Covered by "&amp;INDEX('Form Calc'!$B:$B,V63)&amp;"'s reply (same party)","Replied "&amp;TEXT(INDEX('Form Calc'!$A:$A,T63),"mm/dd")&amp;" · "&amp;INDEX('Form Calc'!$H:$H,T63)&amp;" adult(s), "&amp;INDEX('Form Calc'!$I:$I,T63)&amp;" child(ren)"&amp;IF(INDEX('Form Calc'!$K:$K,T63)&lt;&gt;""," · "&amp;INDEX('Form Calc'!$K:$K,T63),"")&amp;IF(INDEX('Form Calc'!$M:$M,T63)&lt;&gt;""," · “"&amp;INDEX('Form Calc'!$M:$M,T63)&amp;"”","")))</f>
        <v/>
      </c>
      <c r="R63" s="32">
        <f>SUBSTITUTE(SUBSTITUTE(SUBSTITUTE(SUBSTITUTE(SUBSTITUTE(SUBSTITUTE(SUBSTITUTE(SUBSTITUTE(D63&amp;""," ",""),"-",""),"(",""),")",""),".",""),"+",""),"/",""),CHAR(160),"")</f>
        <v/>
      </c>
      <c r="S63" s="32">
        <f>IF(LEN(R63)&gt;=10,RIGHT(R63,10),R63)</f>
        <v/>
      </c>
      <c r="T63" s="32">
        <f>IF(TRIM(A63&amp;"")="","",IF(S63&lt;&gt;"",IFERROR(MATCH(S63,'Form Calc'!$P:$P,0),IFERROR(MATCH(TRIM(A63&amp;""),'Form Calc'!$Q:$Q,0),"")),IFERROR(MATCH(TRIM(A63&amp;""),'Form Calc'!$Q:$Q,0),"")))</f>
        <v/>
      </c>
      <c r="U63" s="32">
        <f>IF(AND(T63&lt;&gt;"",TRIM(E63&amp;"")&lt;&gt;""),TRIM(E63&amp;""),"")</f>
        <v/>
      </c>
      <c r="V63" s="32">
        <f>IF(TRIM(A63&amp;"")="","",IF(T63&lt;&gt;"",T63,IF(TRIM(E63&amp;"")="","",IFERROR(INDEX($T$6:$T$505,MATCH(TRIM(E63&amp;""),$U$6:$U$505,0)),""))))</f>
        <v/>
      </c>
      <c r="W63" s="32">
        <f>IF(V63="","",INDEX('Form Calc'!$G:$G,V63))</f>
        <v/>
      </c>
      <c r="X63" s="32">
        <f>IF(TRIM(A63&amp;"")="","",IF(T63&lt;&gt;"",IF(INDEX('Form Calc'!$K:$K,T63)&lt;&gt;"",INDEX('Form Calc'!$K:$K,T63),J63&amp;""),J63&amp;""))</f>
        <v/>
      </c>
      <c r="Y63" s="32">
        <f>IF(TRIM(A63&amp;"")="","",IF(TRIM(D63&amp;"")&lt;&gt;"",TRIM(D63&amp;""),IF(T63&lt;&gt;"",INDEX('Form Calc'!$C:$C,T63)&amp;"","")))</f>
        <v/>
      </c>
      <c r="Z63" s="32">
        <f>SUBSTITUTE(SUBSTITUTE(SUBSTITUTE(SUBSTITUTE(SUBSTITUTE(SUBSTITUTE(SUBSTITUTE(SUBSTITUTE(Y63," ",""),"-",""),"(",""),")",""),".",""),"+",""),"/",""),CHAR(160),"")</f>
        <v/>
      </c>
      <c r="AA63" s="32">
        <f>IF(Z63="","",IF(LEN(Z63)=10,"+1"&amp;Z63,IF(AND(LEN(Z63)=11,LEFT(Z63,1)="1"),"+"&amp;Z63,IF(LEFT(Y63,1)="+","+"&amp;Z63,Z63))))</f>
        <v/>
      </c>
      <c r="AB63" s="32">
        <f>IF(TRIM(A63&amp;"")="","",IF(TRIM(M63&amp;"")&lt;&gt;"",TRIM(M63&amp;""),IFERROR(LEFT(TRIM(A63&amp;""),FIND(" ",TRIM(A63&amp;""))-1),TRIM(A63&amp;""))))</f>
        <v/>
      </c>
      <c r="AC63" s="32">
        <f>SUBSTITUTE(SUBSTITUTE(SUBSTITUTE(SUBSTITUTE(SUBSTITUTE(SUBSTITUTE(SUBSTITUTE(SUBSTITUTE(SUBSTITUTE(SUBSTITUTE(AB63,"%","%25"),"&amp;","%26"),"#","%23"),"+","%2B"),"=","%3D"),"?","%3F"),CHAR(34),"%22"),CHAR(10),"%0A"),CHAR(13),"")," ","+")</f>
        <v/>
      </c>
      <c r="AD63" s="32">
        <f>IF(OR(AA63="",AB63=""),"",'Start Here'!$B$20&amp;"#p="&amp;SUBSTITUTE(AA63,"+","%2B")&amp;"&amp;n="&amp;AC63&amp;"&amp;m="&amp;SUBSTITUTE('Start Here'!$B$24,"{name}",AC63))</f>
        <v/>
      </c>
      <c r="AE63" s="32">
        <f>LEN(AD63)</f>
        <v/>
      </c>
      <c r="AF63" s="32">
        <f>IF(AND(TRIM(A63&amp;"")&lt;&gt;"",OR(B63="Awaiting",B63="Not sure yet")),1,0)</f>
        <v/>
      </c>
      <c r="AG63" s="32">
        <f>N(AG62)+AF63</f>
        <v/>
      </c>
      <c r="AH63" s="32">
        <f>IF(AF63=1,AG63,"")</f>
        <v/>
      </c>
      <c r="AI63" s="32">
        <f>IF(AND(TRIM(A63&amp;"")&lt;&gt;"",L63&amp;""&lt;&gt;"",L63&amp;""=Seating!$I$3&amp;"",B63&lt;&gt;"Declined"),1,0)</f>
        <v/>
      </c>
      <c r="AJ63" s="32">
        <f>N(AJ62)+AI63</f>
        <v/>
      </c>
      <c r="AK63" s="32">
        <f>IF(AI63=1,AJ63,"")</f>
        <v/>
      </c>
    </row>
    <row r="64">
      <c r="A64" s="10" t="n"/>
      <c r="B64" s="47">
        <f>IF(TRIM(A64&amp;"")="","",IF(W64&lt;&gt;"",W64,IF(I64="","Awaiting",I64)))</f>
        <v/>
      </c>
      <c r="C64" s="60">
        <f>IF(OR(B64="Awaiting",B64="Not sure yet"),IF(AD64&lt;&gt;"",HYPERLINK(AD64,"💬 Remind"),"add mobile"),"")</f>
        <v/>
      </c>
      <c r="D64" s="58" t="n"/>
      <c r="E64" s="10" t="n"/>
      <c r="F64" s="10" t="n"/>
      <c r="G64" s="10" t="n"/>
      <c r="H64" s="10" t="n"/>
      <c r="I64" s="10" t="n"/>
      <c r="J64" s="10" t="n"/>
      <c r="K64" s="10" t="n"/>
      <c r="L64" s="56" t="n"/>
      <c r="M64" s="10" t="n"/>
      <c r="N64" s="12" t="n"/>
      <c r="O64" s="10" t="n"/>
      <c r="P64" s="10" t="n"/>
      <c r="Q64" s="61">
        <f>IF(V64="","",IF(T64="","Covered by "&amp;INDEX('Form Calc'!$B:$B,V64)&amp;"'s reply (same party)","Replied "&amp;TEXT(INDEX('Form Calc'!$A:$A,T64),"mm/dd")&amp;" · "&amp;INDEX('Form Calc'!$H:$H,T64)&amp;" adult(s), "&amp;INDEX('Form Calc'!$I:$I,T64)&amp;" child(ren)"&amp;IF(INDEX('Form Calc'!$K:$K,T64)&lt;&gt;""," · "&amp;INDEX('Form Calc'!$K:$K,T64),"")&amp;IF(INDEX('Form Calc'!$M:$M,T64)&lt;&gt;""," · “"&amp;INDEX('Form Calc'!$M:$M,T64)&amp;"”","")))</f>
        <v/>
      </c>
      <c r="R64" s="32">
        <f>SUBSTITUTE(SUBSTITUTE(SUBSTITUTE(SUBSTITUTE(SUBSTITUTE(SUBSTITUTE(SUBSTITUTE(SUBSTITUTE(D64&amp;""," ",""),"-",""),"(",""),")",""),".",""),"+",""),"/",""),CHAR(160),"")</f>
        <v/>
      </c>
      <c r="S64" s="32">
        <f>IF(LEN(R64)&gt;=10,RIGHT(R64,10),R64)</f>
        <v/>
      </c>
      <c r="T64" s="32">
        <f>IF(TRIM(A64&amp;"")="","",IF(S64&lt;&gt;"",IFERROR(MATCH(S64,'Form Calc'!$P:$P,0),IFERROR(MATCH(TRIM(A64&amp;""),'Form Calc'!$Q:$Q,0),"")),IFERROR(MATCH(TRIM(A64&amp;""),'Form Calc'!$Q:$Q,0),"")))</f>
        <v/>
      </c>
      <c r="U64" s="32">
        <f>IF(AND(T64&lt;&gt;"",TRIM(E64&amp;"")&lt;&gt;""),TRIM(E64&amp;""),"")</f>
        <v/>
      </c>
      <c r="V64" s="32">
        <f>IF(TRIM(A64&amp;"")="","",IF(T64&lt;&gt;"",T64,IF(TRIM(E64&amp;"")="","",IFERROR(INDEX($T$6:$T$505,MATCH(TRIM(E64&amp;""),$U$6:$U$505,0)),""))))</f>
        <v/>
      </c>
      <c r="W64" s="32">
        <f>IF(V64="","",INDEX('Form Calc'!$G:$G,V64))</f>
        <v/>
      </c>
      <c r="X64" s="32">
        <f>IF(TRIM(A64&amp;"")="","",IF(T64&lt;&gt;"",IF(INDEX('Form Calc'!$K:$K,T64)&lt;&gt;"",INDEX('Form Calc'!$K:$K,T64),J64&amp;""),J64&amp;""))</f>
        <v/>
      </c>
      <c r="Y64" s="32">
        <f>IF(TRIM(A64&amp;"")="","",IF(TRIM(D64&amp;"")&lt;&gt;"",TRIM(D64&amp;""),IF(T64&lt;&gt;"",INDEX('Form Calc'!$C:$C,T64)&amp;"","")))</f>
        <v/>
      </c>
      <c r="Z64" s="32">
        <f>SUBSTITUTE(SUBSTITUTE(SUBSTITUTE(SUBSTITUTE(SUBSTITUTE(SUBSTITUTE(SUBSTITUTE(SUBSTITUTE(Y64," ",""),"-",""),"(",""),")",""),".",""),"+",""),"/",""),CHAR(160),"")</f>
        <v/>
      </c>
      <c r="AA64" s="32">
        <f>IF(Z64="","",IF(LEN(Z64)=10,"+1"&amp;Z64,IF(AND(LEN(Z64)=11,LEFT(Z64,1)="1"),"+"&amp;Z64,IF(LEFT(Y64,1)="+","+"&amp;Z64,Z64))))</f>
        <v/>
      </c>
      <c r="AB64" s="32">
        <f>IF(TRIM(A64&amp;"")="","",IF(TRIM(M64&amp;"")&lt;&gt;"",TRIM(M64&amp;""),IFERROR(LEFT(TRIM(A64&amp;""),FIND(" ",TRIM(A64&amp;""))-1),TRIM(A64&amp;""))))</f>
        <v/>
      </c>
      <c r="AC64" s="32">
        <f>SUBSTITUTE(SUBSTITUTE(SUBSTITUTE(SUBSTITUTE(SUBSTITUTE(SUBSTITUTE(SUBSTITUTE(SUBSTITUTE(SUBSTITUTE(SUBSTITUTE(AB64,"%","%25"),"&amp;","%26"),"#","%23"),"+","%2B"),"=","%3D"),"?","%3F"),CHAR(34),"%22"),CHAR(10),"%0A"),CHAR(13),"")," ","+")</f>
        <v/>
      </c>
      <c r="AD64" s="32">
        <f>IF(OR(AA64="",AB64=""),"",'Start Here'!$B$20&amp;"#p="&amp;SUBSTITUTE(AA64,"+","%2B")&amp;"&amp;n="&amp;AC64&amp;"&amp;m="&amp;SUBSTITUTE('Start Here'!$B$24,"{name}",AC64))</f>
        <v/>
      </c>
      <c r="AE64" s="32">
        <f>LEN(AD64)</f>
        <v/>
      </c>
      <c r="AF64" s="32">
        <f>IF(AND(TRIM(A64&amp;"")&lt;&gt;"",OR(B64="Awaiting",B64="Not sure yet")),1,0)</f>
        <v/>
      </c>
      <c r="AG64" s="32">
        <f>N(AG63)+AF64</f>
        <v/>
      </c>
      <c r="AH64" s="32">
        <f>IF(AF64=1,AG64,"")</f>
        <v/>
      </c>
      <c r="AI64" s="32">
        <f>IF(AND(TRIM(A64&amp;"")&lt;&gt;"",L64&amp;""&lt;&gt;"",L64&amp;""=Seating!$I$3&amp;"",B64&lt;&gt;"Declined"),1,0)</f>
        <v/>
      </c>
      <c r="AJ64" s="32">
        <f>N(AJ63)+AI64</f>
        <v/>
      </c>
      <c r="AK64" s="32">
        <f>IF(AI64=1,AJ64,"")</f>
        <v/>
      </c>
    </row>
    <row r="65">
      <c r="A65" s="10" t="n"/>
      <c r="B65" s="47">
        <f>IF(TRIM(A65&amp;"")="","",IF(W65&lt;&gt;"",W65,IF(I65="","Awaiting",I65)))</f>
        <v/>
      </c>
      <c r="C65" s="60">
        <f>IF(OR(B65="Awaiting",B65="Not sure yet"),IF(AD65&lt;&gt;"",HYPERLINK(AD65,"💬 Remind"),"add mobile"),"")</f>
        <v/>
      </c>
      <c r="D65" s="58" t="n"/>
      <c r="E65" s="10" t="n"/>
      <c r="F65" s="10" t="n"/>
      <c r="G65" s="10" t="n"/>
      <c r="H65" s="10" t="n"/>
      <c r="I65" s="10" t="n"/>
      <c r="J65" s="10" t="n"/>
      <c r="K65" s="10" t="n"/>
      <c r="L65" s="56" t="n"/>
      <c r="M65" s="10" t="n"/>
      <c r="N65" s="12" t="n"/>
      <c r="O65" s="10" t="n"/>
      <c r="P65" s="10" t="n"/>
      <c r="Q65" s="61">
        <f>IF(V65="","",IF(T65="","Covered by "&amp;INDEX('Form Calc'!$B:$B,V65)&amp;"'s reply (same party)","Replied "&amp;TEXT(INDEX('Form Calc'!$A:$A,T65),"mm/dd")&amp;" · "&amp;INDEX('Form Calc'!$H:$H,T65)&amp;" adult(s), "&amp;INDEX('Form Calc'!$I:$I,T65)&amp;" child(ren)"&amp;IF(INDEX('Form Calc'!$K:$K,T65)&lt;&gt;""," · "&amp;INDEX('Form Calc'!$K:$K,T65),"")&amp;IF(INDEX('Form Calc'!$M:$M,T65)&lt;&gt;""," · “"&amp;INDEX('Form Calc'!$M:$M,T65)&amp;"”","")))</f>
        <v/>
      </c>
      <c r="R65" s="32">
        <f>SUBSTITUTE(SUBSTITUTE(SUBSTITUTE(SUBSTITUTE(SUBSTITUTE(SUBSTITUTE(SUBSTITUTE(SUBSTITUTE(D65&amp;""," ",""),"-",""),"(",""),")",""),".",""),"+",""),"/",""),CHAR(160),"")</f>
        <v/>
      </c>
      <c r="S65" s="32">
        <f>IF(LEN(R65)&gt;=10,RIGHT(R65,10),R65)</f>
        <v/>
      </c>
      <c r="T65" s="32">
        <f>IF(TRIM(A65&amp;"")="","",IF(S65&lt;&gt;"",IFERROR(MATCH(S65,'Form Calc'!$P:$P,0),IFERROR(MATCH(TRIM(A65&amp;""),'Form Calc'!$Q:$Q,0),"")),IFERROR(MATCH(TRIM(A65&amp;""),'Form Calc'!$Q:$Q,0),"")))</f>
        <v/>
      </c>
      <c r="U65" s="32">
        <f>IF(AND(T65&lt;&gt;"",TRIM(E65&amp;"")&lt;&gt;""),TRIM(E65&amp;""),"")</f>
        <v/>
      </c>
      <c r="V65" s="32">
        <f>IF(TRIM(A65&amp;"")="","",IF(T65&lt;&gt;"",T65,IF(TRIM(E65&amp;"")="","",IFERROR(INDEX($T$6:$T$505,MATCH(TRIM(E65&amp;""),$U$6:$U$505,0)),""))))</f>
        <v/>
      </c>
      <c r="W65" s="32">
        <f>IF(V65="","",INDEX('Form Calc'!$G:$G,V65))</f>
        <v/>
      </c>
      <c r="X65" s="32">
        <f>IF(TRIM(A65&amp;"")="","",IF(T65&lt;&gt;"",IF(INDEX('Form Calc'!$K:$K,T65)&lt;&gt;"",INDEX('Form Calc'!$K:$K,T65),J65&amp;""),J65&amp;""))</f>
        <v/>
      </c>
      <c r="Y65" s="32">
        <f>IF(TRIM(A65&amp;"")="","",IF(TRIM(D65&amp;"")&lt;&gt;"",TRIM(D65&amp;""),IF(T65&lt;&gt;"",INDEX('Form Calc'!$C:$C,T65)&amp;"","")))</f>
        <v/>
      </c>
      <c r="Z65" s="32">
        <f>SUBSTITUTE(SUBSTITUTE(SUBSTITUTE(SUBSTITUTE(SUBSTITUTE(SUBSTITUTE(SUBSTITUTE(SUBSTITUTE(Y65," ",""),"-",""),"(",""),")",""),".",""),"+",""),"/",""),CHAR(160),"")</f>
        <v/>
      </c>
      <c r="AA65" s="32">
        <f>IF(Z65="","",IF(LEN(Z65)=10,"+1"&amp;Z65,IF(AND(LEN(Z65)=11,LEFT(Z65,1)="1"),"+"&amp;Z65,IF(LEFT(Y65,1)="+","+"&amp;Z65,Z65))))</f>
        <v/>
      </c>
      <c r="AB65" s="32">
        <f>IF(TRIM(A65&amp;"")="","",IF(TRIM(M65&amp;"")&lt;&gt;"",TRIM(M65&amp;""),IFERROR(LEFT(TRIM(A65&amp;""),FIND(" ",TRIM(A65&amp;""))-1),TRIM(A65&amp;""))))</f>
        <v/>
      </c>
      <c r="AC65" s="32">
        <f>SUBSTITUTE(SUBSTITUTE(SUBSTITUTE(SUBSTITUTE(SUBSTITUTE(SUBSTITUTE(SUBSTITUTE(SUBSTITUTE(SUBSTITUTE(SUBSTITUTE(AB65,"%","%25"),"&amp;","%26"),"#","%23"),"+","%2B"),"=","%3D"),"?","%3F"),CHAR(34),"%22"),CHAR(10),"%0A"),CHAR(13),"")," ","+")</f>
        <v/>
      </c>
      <c r="AD65" s="32">
        <f>IF(OR(AA65="",AB65=""),"",'Start Here'!$B$20&amp;"#p="&amp;SUBSTITUTE(AA65,"+","%2B")&amp;"&amp;n="&amp;AC65&amp;"&amp;m="&amp;SUBSTITUTE('Start Here'!$B$24,"{name}",AC65))</f>
        <v/>
      </c>
      <c r="AE65" s="32">
        <f>LEN(AD65)</f>
        <v/>
      </c>
      <c r="AF65" s="32">
        <f>IF(AND(TRIM(A65&amp;"")&lt;&gt;"",OR(B65="Awaiting",B65="Not sure yet")),1,0)</f>
        <v/>
      </c>
      <c r="AG65" s="32">
        <f>N(AG64)+AF65</f>
        <v/>
      </c>
      <c r="AH65" s="32">
        <f>IF(AF65=1,AG65,"")</f>
        <v/>
      </c>
      <c r="AI65" s="32">
        <f>IF(AND(TRIM(A65&amp;"")&lt;&gt;"",L65&amp;""&lt;&gt;"",L65&amp;""=Seating!$I$3&amp;"",B65&lt;&gt;"Declined"),1,0)</f>
        <v/>
      </c>
      <c r="AJ65" s="32">
        <f>N(AJ64)+AI65</f>
        <v/>
      </c>
      <c r="AK65" s="32">
        <f>IF(AI65=1,AJ65,"")</f>
        <v/>
      </c>
    </row>
    <row r="66">
      <c r="A66" s="10" t="n"/>
      <c r="B66" s="47">
        <f>IF(TRIM(A66&amp;"")="","",IF(W66&lt;&gt;"",W66,IF(I66="","Awaiting",I66)))</f>
        <v/>
      </c>
      <c r="C66" s="60">
        <f>IF(OR(B66="Awaiting",B66="Not sure yet"),IF(AD66&lt;&gt;"",HYPERLINK(AD66,"💬 Remind"),"add mobile"),"")</f>
        <v/>
      </c>
      <c r="D66" s="58" t="n"/>
      <c r="E66" s="10" t="n"/>
      <c r="F66" s="10" t="n"/>
      <c r="G66" s="10" t="n"/>
      <c r="H66" s="10" t="n"/>
      <c r="I66" s="10" t="n"/>
      <c r="J66" s="10" t="n"/>
      <c r="K66" s="10" t="n"/>
      <c r="L66" s="56" t="n"/>
      <c r="M66" s="10" t="n"/>
      <c r="N66" s="12" t="n"/>
      <c r="O66" s="10" t="n"/>
      <c r="P66" s="10" t="n"/>
      <c r="Q66" s="61">
        <f>IF(V66="","",IF(T66="","Covered by "&amp;INDEX('Form Calc'!$B:$B,V66)&amp;"'s reply (same party)","Replied "&amp;TEXT(INDEX('Form Calc'!$A:$A,T66),"mm/dd")&amp;" · "&amp;INDEX('Form Calc'!$H:$H,T66)&amp;" adult(s), "&amp;INDEX('Form Calc'!$I:$I,T66)&amp;" child(ren)"&amp;IF(INDEX('Form Calc'!$K:$K,T66)&lt;&gt;""," · "&amp;INDEX('Form Calc'!$K:$K,T66),"")&amp;IF(INDEX('Form Calc'!$M:$M,T66)&lt;&gt;""," · “"&amp;INDEX('Form Calc'!$M:$M,T66)&amp;"”","")))</f>
        <v/>
      </c>
      <c r="R66" s="32">
        <f>SUBSTITUTE(SUBSTITUTE(SUBSTITUTE(SUBSTITUTE(SUBSTITUTE(SUBSTITUTE(SUBSTITUTE(SUBSTITUTE(D66&amp;""," ",""),"-",""),"(",""),")",""),".",""),"+",""),"/",""),CHAR(160),"")</f>
        <v/>
      </c>
      <c r="S66" s="32">
        <f>IF(LEN(R66)&gt;=10,RIGHT(R66,10),R66)</f>
        <v/>
      </c>
      <c r="T66" s="32">
        <f>IF(TRIM(A66&amp;"")="","",IF(S66&lt;&gt;"",IFERROR(MATCH(S66,'Form Calc'!$P:$P,0),IFERROR(MATCH(TRIM(A66&amp;""),'Form Calc'!$Q:$Q,0),"")),IFERROR(MATCH(TRIM(A66&amp;""),'Form Calc'!$Q:$Q,0),"")))</f>
        <v/>
      </c>
      <c r="U66" s="32">
        <f>IF(AND(T66&lt;&gt;"",TRIM(E66&amp;"")&lt;&gt;""),TRIM(E66&amp;""),"")</f>
        <v/>
      </c>
      <c r="V66" s="32">
        <f>IF(TRIM(A66&amp;"")="","",IF(T66&lt;&gt;"",T66,IF(TRIM(E66&amp;"")="","",IFERROR(INDEX($T$6:$T$505,MATCH(TRIM(E66&amp;""),$U$6:$U$505,0)),""))))</f>
        <v/>
      </c>
      <c r="W66" s="32">
        <f>IF(V66="","",INDEX('Form Calc'!$G:$G,V66))</f>
        <v/>
      </c>
      <c r="X66" s="32">
        <f>IF(TRIM(A66&amp;"")="","",IF(T66&lt;&gt;"",IF(INDEX('Form Calc'!$K:$K,T66)&lt;&gt;"",INDEX('Form Calc'!$K:$K,T66),J66&amp;""),J66&amp;""))</f>
        <v/>
      </c>
      <c r="Y66" s="32">
        <f>IF(TRIM(A66&amp;"")="","",IF(TRIM(D66&amp;"")&lt;&gt;"",TRIM(D66&amp;""),IF(T66&lt;&gt;"",INDEX('Form Calc'!$C:$C,T66)&amp;"","")))</f>
        <v/>
      </c>
      <c r="Z66" s="32">
        <f>SUBSTITUTE(SUBSTITUTE(SUBSTITUTE(SUBSTITUTE(SUBSTITUTE(SUBSTITUTE(SUBSTITUTE(SUBSTITUTE(Y66," ",""),"-",""),"(",""),")",""),".",""),"+",""),"/",""),CHAR(160),"")</f>
        <v/>
      </c>
      <c r="AA66" s="32">
        <f>IF(Z66="","",IF(LEN(Z66)=10,"+1"&amp;Z66,IF(AND(LEN(Z66)=11,LEFT(Z66,1)="1"),"+"&amp;Z66,IF(LEFT(Y66,1)="+","+"&amp;Z66,Z66))))</f>
        <v/>
      </c>
      <c r="AB66" s="32">
        <f>IF(TRIM(A66&amp;"")="","",IF(TRIM(M66&amp;"")&lt;&gt;"",TRIM(M66&amp;""),IFERROR(LEFT(TRIM(A66&amp;""),FIND(" ",TRIM(A66&amp;""))-1),TRIM(A66&amp;""))))</f>
        <v/>
      </c>
      <c r="AC66" s="32">
        <f>SUBSTITUTE(SUBSTITUTE(SUBSTITUTE(SUBSTITUTE(SUBSTITUTE(SUBSTITUTE(SUBSTITUTE(SUBSTITUTE(SUBSTITUTE(SUBSTITUTE(AB66,"%","%25"),"&amp;","%26"),"#","%23"),"+","%2B"),"=","%3D"),"?","%3F"),CHAR(34),"%22"),CHAR(10),"%0A"),CHAR(13),"")," ","+")</f>
        <v/>
      </c>
      <c r="AD66" s="32">
        <f>IF(OR(AA66="",AB66=""),"",'Start Here'!$B$20&amp;"#p="&amp;SUBSTITUTE(AA66,"+","%2B")&amp;"&amp;n="&amp;AC66&amp;"&amp;m="&amp;SUBSTITUTE('Start Here'!$B$24,"{name}",AC66))</f>
        <v/>
      </c>
      <c r="AE66" s="32">
        <f>LEN(AD66)</f>
        <v/>
      </c>
      <c r="AF66" s="32">
        <f>IF(AND(TRIM(A66&amp;"")&lt;&gt;"",OR(B66="Awaiting",B66="Not sure yet")),1,0)</f>
        <v/>
      </c>
      <c r="AG66" s="32">
        <f>N(AG65)+AF66</f>
        <v/>
      </c>
      <c r="AH66" s="32">
        <f>IF(AF66=1,AG66,"")</f>
        <v/>
      </c>
      <c r="AI66" s="32">
        <f>IF(AND(TRIM(A66&amp;"")&lt;&gt;"",L66&amp;""&lt;&gt;"",L66&amp;""=Seating!$I$3&amp;"",B66&lt;&gt;"Declined"),1,0)</f>
        <v/>
      </c>
      <c r="AJ66" s="32">
        <f>N(AJ65)+AI66</f>
        <v/>
      </c>
      <c r="AK66" s="32">
        <f>IF(AI66=1,AJ66,"")</f>
        <v/>
      </c>
    </row>
    <row r="67">
      <c r="A67" s="10" t="n"/>
      <c r="B67" s="47">
        <f>IF(TRIM(A67&amp;"")="","",IF(W67&lt;&gt;"",W67,IF(I67="","Awaiting",I67)))</f>
        <v/>
      </c>
      <c r="C67" s="60">
        <f>IF(OR(B67="Awaiting",B67="Not sure yet"),IF(AD67&lt;&gt;"",HYPERLINK(AD67,"💬 Remind"),"add mobile"),"")</f>
        <v/>
      </c>
      <c r="D67" s="58" t="n"/>
      <c r="E67" s="10" t="n"/>
      <c r="F67" s="10" t="n"/>
      <c r="G67" s="10" t="n"/>
      <c r="H67" s="10" t="n"/>
      <c r="I67" s="10" t="n"/>
      <c r="J67" s="10" t="n"/>
      <c r="K67" s="10" t="n"/>
      <c r="L67" s="56" t="n"/>
      <c r="M67" s="10" t="n"/>
      <c r="N67" s="12" t="n"/>
      <c r="O67" s="10" t="n"/>
      <c r="P67" s="10" t="n"/>
      <c r="Q67" s="61">
        <f>IF(V67="","",IF(T67="","Covered by "&amp;INDEX('Form Calc'!$B:$B,V67)&amp;"'s reply (same party)","Replied "&amp;TEXT(INDEX('Form Calc'!$A:$A,T67),"mm/dd")&amp;" · "&amp;INDEX('Form Calc'!$H:$H,T67)&amp;" adult(s), "&amp;INDEX('Form Calc'!$I:$I,T67)&amp;" child(ren)"&amp;IF(INDEX('Form Calc'!$K:$K,T67)&lt;&gt;""," · "&amp;INDEX('Form Calc'!$K:$K,T67),"")&amp;IF(INDEX('Form Calc'!$M:$M,T67)&lt;&gt;""," · “"&amp;INDEX('Form Calc'!$M:$M,T67)&amp;"”","")))</f>
        <v/>
      </c>
      <c r="R67" s="32">
        <f>SUBSTITUTE(SUBSTITUTE(SUBSTITUTE(SUBSTITUTE(SUBSTITUTE(SUBSTITUTE(SUBSTITUTE(SUBSTITUTE(D67&amp;""," ",""),"-",""),"(",""),")",""),".",""),"+",""),"/",""),CHAR(160),"")</f>
        <v/>
      </c>
      <c r="S67" s="32">
        <f>IF(LEN(R67)&gt;=10,RIGHT(R67,10),R67)</f>
        <v/>
      </c>
      <c r="T67" s="32">
        <f>IF(TRIM(A67&amp;"")="","",IF(S67&lt;&gt;"",IFERROR(MATCH(S67,'Form Calc'!$P:$P,0),IFERROR(MATCH(TRIM(A67&amp;""),'Form Calc'!$Q:$Q,0),"")),IFERROR(MATCH(TRIM(A67&amp;""),'Form Calc'!$Q:$Q,0),"")))</f>
        <v/>
      </c>
      <c r="U67" s="32">
        <f>IF(AND(T67&lt;&gt;"",TRIM(E67&amp;"")&lt;&gt;""),TRIM(E67&amp;""),"")</f>
        <v/>
      </c>
      <c r="V67" s="32">
        <f>IF(TRIM(A67&amp;"")="","",IF(T67&lt;&gt;"",T67,IF(TRIM(E67&amp;"")="","",IFERROR(INDEX($T$6:$T$505,MATCH(TRIM(E67&amp;""),$U$6:$U$505,0)),""))))</f>
        <v/>
      </c>
      <c r="W67" s="32">
        <f>IF(V67="","",INDEX('Form Calc'!$G:$G,V67))</f>
        <v/>
      </c>
      <c r="X67" s="32">
        <f>IF(TRIM(A67&amp;"")="","",IF(T67&lt;&gt;"",IF(INDEX('Form Calc'!$K:$K,T67)&lt;&gt;"",INDEX('Form Calc'!$K:$K,T67),J67&amp;""),J67&amp;""))</f>
        <v/>
      </c>
      <c r="Y67" s="32">
        <f>IF(TRIM(A67&amp;"")="","",IF(TRIM(D67&amp;"")&lt;&gt;"",TRIM(D67&amp;""),IF(T67&lt;&gt;"",INDEX('Form Calc'!$C:$C,T67)&amp;"","")))</f>
        <v/>
      </c>
      <c r="Z67" s="32">
        <f>SUBSTITUTE(SUBSTITUTE(SUBSTITUTE(SUBSTITUTE(SUBSTITUTE(SUBSTITUTE(SUBSTITUTE(SUBSTITUTE(Y67," ",""),"-",""),"(",""),")",""),".",""),"+",""),"/",""),CHAR(160),"")</f>
        <v/>
      </c>
      <c r="AA67" s="32">
        <f>IF(Z67="","",IF(LEN(Z67)=10,"+1"&amp;Z67,IF(AND(LEN(Z67)=11,LEFT(Z67,1)="1"),"+"&amp;Z67,IF(LEFT(Y67,1)="+","+"&amp;Z67,Z67))))</f>
        <v/>
      </c>
      <c r="AB67" s="32">
        <f>IF(TRIM(A67&amp;"")="","",IF(TRIM(M67&amp;"")&lt;&gt;"",TRIM(M67&amp;""),IFERROR(LEFT(TRIM(A67&amp;""),FIND(" ",TRIM(A67&amp;""))-1),TRIM(A67&amp;""))))</f>
        <v/>
      </c>
      <c r="AC67" s="32">
        <f>SUBSTITUTE(SUBSTITUTE(SUBSTITUTE(SUBSTITUTE(SUBSTITUTE(SUBSTITUTE(SUBSTITUTE(SUBSTITUTE(SUBSTITUTE(SUBSTITUTE(AB67,"%","%25"),"&amp;","%26"),"#","%23"),"+","%2B"),"=","%3D"),"?","%3F"),CHAR(34),"%22"),CHAR(10),"%0A"),CHAR(13),"")," ","+")</f>
        <v/>
      </c>
      <c r="AD67" s="32">
        <f>IF(OR(AA67="",AB67=""),"",'Start Here'!$B$20&amp;"#p="&amp;SUBSTITUTE(AA67,"+","%2B")&amp;"&amp;n="&amp;AC67&amp;"&amp;m="&amp;SUBSTITUTE('Start Here'!$B$24,"{name}",AC67))</f>
        <v/>
      </c>
      <c r="AE67" s="32">
        <f>LEN(AD67)</f>
        <v/>
      </c>
      <c r="AF67" s="32">
        <f>IF(AND(TRIM(A67&amp;"")&lt;&gt;"",OR(B67="Awaiting",B67="Not sure yet")),1,0)</f>
        <v/>
      </c>
      <c r="AG67" s="32">
        <f>N(AG66)+AF67</f>
        <v/>
      </c>
      <c r="AH67" s="32">
        <f>IF(AF67=1,AG67,"")</f>
        <v/>
      </c>
      <c r="AI67" s="32">
        <f>IF(AND(TRIM(A67&amp;"")&lt;&gt;"",L67&amp;""&lt;&gt;"",L67&amp;""=Seating!$I$3&amp;"",B67&lt;&gt;"Declined"),1,0)</f>
        <v/>
      </c>
      <c r="AJ67" s="32">
        <f>N(AJ66)+AI67</f>
        <v/>
      </c>
      <c r="AK67" s="32">
        <f>IF(AI67=1,AJ67,"")</f>
        <v/>
      </c>
    </row>
    <row r="68">
      <c r="A68" s="10" t="n"/>
      <c r="B68" s="47">
        <f>IF(TRIM(A68&amp;"")="","",IF(W68&lt;&gt;"",W68,IF(I68="","Awaiting",I68)))</f>
        <v/>
      </c>
      <c r="C68" s="60">
        <f>IF(OR(B68="Awaiting",B68="Not sure yet"),IF(AD68&lt;&gt;"",HYPERLINK(AD68,"💬 Remind"),"add mobile"),"")</f>
        <v/>
      </c>
      <c r="D68" s="58" t="n"/>
      <c r="E68" s="10" t="n"/>
      <c r="F68" s="10" t="n"/>
      <c r="G68" s="10" t="n"/>
      <c r="H68" s="10" t="n"/>
      <c r="I68" s="10" t="n"/>
      <c r="J68" s="10" t="n"/>
      <c r="K68" s="10" t="n"/>
      <c r="L68" s="56" t="n"/>
      <c r="M68" s="10" t="n"/>
      <c r="N68" s="12" t="n"/>
      <c r="O68" s="10" t="n"/>
      <c r="P68" s="10" t="n"/>
      <c r="Q68" s="61">
        <f>IF(V68="","",IF(T68="","Covered by "&amp;INDEX('Form Calc'!$B:$B,V68)&amp;"'s reply (same party)","Replied "&amp;TEXT(INDEX('Form Calc'!$A:$A,T68),"mm/dd")&amp;" · "&amp;INDEX('Form Calc'!$H:$H,T68)&amp;" adult(s), "&amp;INDEX('Form Calc'!$I:$I,T68)&amp;" child(ren)"&amp;IF(INDEX('Form Calc'!$K:$K,T68)&lt;&gt;""," · "&amp;INDEX('Form Calc'!$K:$K,T68),"")&amp;IF(INDEX('Form Calc'!$M:$M,T68)&lt;&gt;""," · “"&amp;INDEX('Form Calc'!$M:$M,T68)&amp;"”","")))</f>
        <v/>
      </c>
      <c r="R68" s="32">
        <f>SUBSTITUTE(SUBSTITUTE(SUBSTITUTE(SUBSTITUTE(SUBSTITUTE(SUBSTITUTE(SUBSTITUTE(SUBSTITUTE(D68&amp;""," ",""),"-",""),"(",""),")",""),".",""),"+",""),"/",""),CHAR(160),"")</f>
        <v/>
      </c>
      <c r="S68" s="32">
        <f>IF(LEN(R68)&gt;=10,RIGHT(R68,10),R68)</f>
        <v/>
      </c>
      <c r="T68" s="32">
        <f>IF(TRIM(A68&amp;"")="","",IF(S68&lt;&gt;"",IFERROR(MATCH(S68,'Form Calc'!$P:$P,0),IFERROR(MATCH(TRIM(A68&amp;""),'Form Calc'!$Q:$Q,0),"")),IFERROR(MATCH(TRIM(A68&amp;""),'Form Calc'!$Q:$Q,0),"")))</f>
        <v/>
      </c>
      <c r="U68" s="32">
        <f>IF(AND(T68&lt;&gt;"",TRIM(E68&amp;"")&lt;&gt;""),TRIM(E68&amp;""),"")</f>
        <v/>
      </c>
      <c r="V68" s="32">
        <f>IF(TRIM(A68&amp;"")="","",IF(T68&lt;&gt;"",T68,IF(TRIM(E68&amp;"")="","",IFERROR(INDEX($T$6:$T$505,MATCH(TRIM(E68&amp;""),$U$6:$U$505,0)),""))))</f>
        <v/>
      </c>
      <c r="W68" s="32">
        <f>IF(V68="","",INDEX('Form Calc'!$G:$G,V68))</f>
        <v/>
      </c>
      <c r="X68" s="32">
        <f>IF(TRIM(A68&amp;"")="","",IF(T68&lt;&gt;"",IF(INDEX('Form Calc'!$K:$K,T68)&lt;&gt;"",INDEX('Form Calc'!$K:$K,T68),J68&amp;""),J68&amp;""))</f>
        <v/>
      </c>
      <c r="Y68" s="32">
        <f>IF(TRIM(A68&amp;"")="","",IF(TRIM(D68&amp;"")&lt;&gt;"",TRIM(D68&amp;""),IF(T68&lt;&gt;"",INDEX('Form Calc'!$C:$C,T68)&amp;"","")))</f>
        <v/>
      </c>
      <c r="Z68" s="32">
        <f>SUBSTITUTE(SUBSTITUTE(SUBSTITUTE(SUBSTITUTE(SUBSTITUTE(SUBSTITUTE(SUBSTITUTE(SUBSTITUTE(Y68," ",""),"-",""),"(",""),")",""),".",""),"+",""),"/",""),CHAR(160),"")</f>
        <v/>
      </c>
      <c r="AA68" s="32">
        <f>IF(Z68="","",IF(LEN(Z68)=10,"+1"&amp;Z68,IF(AND(LEN(Z68)=11,LEFT(Z68,1)="1"),"+"&amp;Z68,IF(LEFT(Y68,1)="+","+"&amp;Z68,Z68))))</f>
        <v/>
      </c>
      <c r="AB68" s="32">
        <f>IF(TRIM(A68&amp;"")="","",IF(TRIM(M68&amp;"")&lt;&gt;"",TRIM(M68&amp;""),IFERROR(LEFT(TRIM(A68&amp;""),FIND(" ",TRIM(A68&amp;""))-1),TRIM(A68&amp;""))))</f>
        <v/>
      </c>
      <c r="AC68" s="32">
        <f>SUBSTITUTE(SUBSTITUTE(SUBSTITUTE(SUBSTITUTE(SUBSTITUTE(SUBSTITUTE(SUBSTITUTE(SUBSTITUTE(SUBSTITUTE(SUBSTITUTE(AB68,"%","%25"),"&amp;","%26"),"#","%23"),"+","%2B"),"=","%3D"),"?","%3F"),CHAR(34),"%22"),CHAR(10),"%0A"),CHAR(13),"")," ","+")</f>
        <v/>
      </c>
      <c r="AD68" s="32">
        <f>IF(OR(AA68="",AB68=""),"",'Start Here'!$B$20&amp;"#p="&amp;SUBSTITUTE(AA68,"+","%2B")&amp;"&amp;n="&amp;AC68&amp;"&amp;m="&amp;SUBSTITUTE('Start Here'!$B$24,"{name}",AC68))</f>
        <v/>
      </c>
      <c r="AE68" s="32">
        <f>LEN(AD68)</f>
        <v/>
      </c>
      <c r="AF68" s="32">
        <f>IF(AND(TRIM(A68&amp;"")&lt;&gt;"",OR(B68="Awaiting",B68="Not sure yet")),1,0)</f>
        <v/>
      </c>
      <c r="AG68" s="32">
        <f>N(AG67)+AF68</f>
        <v/>
      </c>
      <c r="AH68" s="32">
        <f>IF(AF68=1,AG68,"")</f>
        <v/>
      </c>
      <c r="AI68" s="32">
        <f>IF(AND(TRIM(A68&amp;"")&lt;&gt;"",L68&amp;""&lt;&gt;"",L68&amp;""=Seating!$I$3&amp;"",B68&lt;&gt;"Declined"),1,0)</f>
        <v/>
      </c>
      <c r="AJ68" s="32">
        <f>N(AJ67)+AI68</f>
        <v/>
      </c>
      <c r="AK68" s="32">
        <f>IF(AI68=1,AJ68,"")</f>
        <v/>
      </c>
    </row>
    <row r="69">
      <c r="A69" s="10" t="n"/>
      <c r="B69" s="47">
        <f>IF(TRIM(A69&amp;"")="","",IF(W69&lt;&gt;"",W69,IF(I69="","Awaiting",I69)))</f>
        <v/>
      </c>
      <c r="C69" s="60">
        <f>IF(OR(B69="Awaiting",B69="Not sure yet"),IF(AD69&lt;&gt;"",HYPERLINK(AD69,"💬 Remind"),"add mobile"),"")</f>
        <v/>
      </c>
      <c r="D69" s="58" t="n"/>
      <c r="E69" s="10" t="n"/>
      <c r="F69" s="10" t="n"/>
      <c r="G69" s="10" t="n"/>
      <c r="H69" s="10" t="n"/>
      <c r="I69" s="10" t="n"/>
      <c r="J69" s="10" t="n"/>
      <c r="K69" s="10" t="n"/>
      <c r="L69" s="56" t="n"/>
      <c r="M69" s="10" t="n"/>
      <c r="N69" s="12" t="n"/>
      <c r="O69" s="10" t="n"/>
      <c r="P69" s="10" t="n"/>
      <c r="Q69" s="61">
        <f>IF(V69="","",IF(T69="","Covered by "&amp;INDEX('Form Calc'!$B:$B,V69)&amp;"'s reply (same party)","Replied "&amp;TEXT(INDEX('Form Calc'!$A:$A,T69),"mm/dd")&amp;" · "&amp;INDEX('Form Calc'!$H:$H,T69)&amp;" adult(s), "&amp;INDEX('Form Calc'!$I:$I,T69)&amp;" child(ren)"&amp;IF(INDEX('Form Calc'!$K:$K,T69)&lt;&gt;""," · "&amp;INDEX('Form Calc'!$K:$K,T69),"")&amp;IF(INDEX('Form Calc'!$M:$M,T69)&lt;&gt;""," · “"&amp;INDEX('Form Calc'!$M:$M,T69)&amp;"”","")))</f>
        <v/>
      </c>
      <c r="R69" s="32">
        <f>SUBSTITUTE(SUBSTITUTE(SUBSTITUTE(SUBSTITUTE(SUBSTITUTE(SUBSTITUTE(SUBSTITUTE(SUBSTITUTE(D69&amp;""," ",""),"-",""),"(",""),")",""),".",""),"+",""),"/",""),CHAR(160),"")</f>
        <v/>
      </c>
      <c r="S69" s="32">
        <f>IF(LEN(R69)&gt;=10,RIGHT(R69,10),R69)</f>
        <v/>
      </c>
      <c r="T69" s="32">
        <f>IF(TRIM(A69&amp;"")="","",IF(S69&lt;&gt;"",IFERROR(MATCH(S69,'Form Calc'!$P:$P,0),IFERROR(MATCH(TRIM(A69&amp;""),'Form Calc'!$Q:$Q,0),"")),IFERROR(MATCH(TRIM(A69&amp;""),'Form Calc'!$Q:$Q,0),"")))</f>
        <v/>
      </c>
      <c r="U69" s="32">
        <f>IF(AND(T69&lt;&gt;"",TRIM(E69&amp;"")&lt;&gt;""),TRIM(E69&amp;""),"")</f>
        <v/>
      </c>
      <c r="V69" s="32">
        <f>IF(TRIM(A69&amp;"")="","",IF(T69&lt;&gt;"",T69,IF(TRIM(E69&amp;"")="","",IFERROR(INDEX($T$6:$T$505,MATCH(TRIM(E69&amp;""),$U$6:$U$505,0)),""))))</f>
        <v/>
      </c>
      <c r="W69" s="32">
        <f>IF(V69="","",INDEX('Form Calc'!$G:$G,V69))</f>
        <v/>
      </c>
      <c r="X69" s="32">
        <f>IF(TRIM(A69&amp;"")="","",IF(T69&lt;&gt;"",IF(INDEX('Form Calc'!$K:$K,T69)&lt;&gt;"",INDEX('Form Calc'!$K:$K,T69),J69&amp;""),J69&amp;""))</f>
        <v/>
      </c>
      <c r="Y69" s="32">
        <f>IF(TRIM(A69&amp;"")="","",IF(TRIM(D69&amp;"")&lt;&gt;"",TRIM(D69&amp;""),IF(T69&lt;&gt;"",INDEX('Form Calc'!$C:$C,T69)&amp;"","")))</f>
        <v/>
      </c>
      <c r="Z69" s="32">
        <f>SUBSTITUTE(SUBSTITUTE(SUBSTITUTE(SUBSTITUTE(SUBSTITUTE(SUBSTITUTE(SUBSTITUTE(SUBSTITUTE(Y69," ",""),"-",""),"(",""),")",""),".",""),"+",""),"/",""),CHAR(160),"")</f>
        <v/>
      </c>
      <c r="AA69" s="32">
        <f>IF(Z69="","",IF(LEN(Z69)=10,"+1"&amp;Z69,IF(AND(LEN(Z69)=11,LEFT(Z69,1)="1"),"+"&amp;Z69,IF(LEFT(Y69,1)="+","+"&amp;Z69,Z69))))</f>
        <v/>
      </c>
      <c r="AB69" s="32">
        <f>IF(TRIM(A69&amp;"")="","",IF(TRIM(M69&amp;"")&lt;&gt;"",TRIM(M69&amp;""),IFERROR(LEFT(TRIM(A69&amp;""),FIND(" ",TRIM(A69&amp;""))-1),TRIM(A69&amp;""))))</f>
        <v/>
      </c>
      <c r="AC69" s="32">
        <f>SUBSTITUTE(SUBSTITUTE(SUBSTITUTE(SUBSTITUTE(SUBSTITUTE(SUBSTITUTE(SUBSTITUTE(SUBSTITUTE(SUBSTITUTE(SUBSTITUTE(AB69,"%","%25"),"&amp;","%26"),"#","%23"),"+","%2B"),"=","%3D"),"?","%3F"),CHAR(34),"%22"),CHAR(10),"%0A"),CHAR(13),"")," ","+")</f>
        <v/>
      </c>
      <c r="AD69" s="32">
        <f>IF(OR(AA69="",AB69=""),"",'Start Here'!$B$20&amp;"#p="&amp;SUBSTITUTE(AA69,"+","%2B")&amp;"&amp;n="&amp;AC69&amp;"&amp;m="&amp;SUBSTITUTE('Start Here'!$B$24,"{name}",AC69))</f>
        <v/>
      </c>
      <c r="AE69" s="32">
        <f>LEN(AD69)</f>
        <v/>
      </c>
      <c r="AF69" s="32">
        <f>IF(AND(TRIM(A69&amp;"")&lt;&gt;"",OR(B69="Awaiting",B69="Not sure yet")),1,0)</f>
        <v/>
      </c>
      <c r="AG69" s="32">
        <f>N(AG68)+AF69</f>
        <v/>
      </c>
      <c r="AH69" s="32">
        <f>IF(AF69=1,AG69,"")</f>
        <v/>
      </c>
      <c r="AI69" s="32">
        <f>IF(AND(TRIM(A69&amp;"")&lt;&gt;"",L69&amp;""&lt;&gt;"",L69&amp;""=Seating!$I$3&amp;"",B69&lt;&gt;"Declined"),1,0)</f>
        <v/>
      </c>
      <c r="AJ69" s="32">
        <f>N(AJ68)+AI69</f>
        <v/>
      </c>
      <c r="AK69" s="32">
        <f>IF(AI69=1,AJ69,"")</f>
        <v/>
      </c>
    </row>
    <row r="70">
      <c r="A70" s="10" t="n"/>
      <c r="B70" s="47">
        <f>IF(TRIM(A70&amp;"")="","",IF(W70&lt;&gt;"",W70,IF(I70="","Awaiting",I70)))</f>
        <v/>
      </c>
      <c r="C70" s="60">
        <f>IF(OR(B70="Awaiting",B70="Not sure yet"),IF(AD70&lt;&gt;"",HYPERLINK(AD70,"💬 Remind"),"add mobile"),"")</f>
        <v/>
      </c>
      <c r="D70" s="58" t="n"/>
      <c r="E70" s="10" t="n"/>
      <c r="F70" s="10" t="n"/>
      <c r="G70" s="10" t="n"/>
      <c r="H70" s="10" t="n"/>
      <c r="I70" s="10" t="n"/>
      <c r="J70" s="10" t="n"/>
      <c r="K70" s="10" t="n"/>
      <c r="L70" s="56" t="n"/>
      <c r="M70" s="10" t="n"/>
      <c r="N70" s="12" t="n"/>
      <c r="O70" s="10" t="n"/>
      <c r="P70" s="10" t="n"/>
      <c r="Q70" s="61">
        <f>IF(V70="","",IF(T70="","Covered by "&amp;INDEX('Form Calc'!$B:$B,V70)&amp;"'s reply (same party)","Replied "&amp;TEXT(INDEX('Form Calc'!$A:$A,T70),"mm/dd")&amp;" · "&amp;INDEX('Form Calc'!$H:$H,T70)&amp;" adult(s), "&amp;INDEX('Form Calc'!$I:$I,T70)&amp;" child(ren)"&amp;IF(INDEX('Form Calc'!$K:$K,T70)&lt;&gt;""," · "&amp;INDEX('Form Calc'!$K:$K,T70),"")&amp;IF(INDEX('Form Calc'!$M:$M,T70)&lt;&gt;""," · “"&amp;INDEX('Form Calc'!$M:$M,T70)&amp;"”","")))</f>
        <v/>
      </c>
      <c r="R70" s="32">
        <f>SUBSTITUTE(SUBSTITUTE(SUBSTITUTE(SUBSTITUTE(SUBSTITUTE(SUBSTITUTE(SUBSTITUTE(SUBSTITUTE(D70&amp;""," ",""),"-",""),"(",""),")",""),".",""),"+",""),"/",""),CHAR(160),"")</f>
        <v/>
      </c>
      <c r="S70" s="32">
        <f>IF(LEN(R70)&gt;=10,RIGHT(R70,10),R70)</f>
        <v/>
      </c>
      <c r="T70" s="32">
        <f>IF(TRIM(A70&amp;"")="","",IF(S70&lt;&gt;"",IFERROR(MATCH(S70,'Form Calc'!$P:$P,0),IFERROR(MATCH(TRIM(A70&amp;""),'Form Calc'!$Q:$Q,0),"")),IFERROR(MATCH(TRIM(A70&amp;""),'Form Calc'!$Q:$Q,0),"")))</f>
        <v/>
      </c>
      <c r="U70" s="32">
        <f>IF(AND(T70&lt;&gt;"",TRIM(E70&amp;"")&lt;&gt;""),TRIM(E70&amp;""),"")</f>
        <v/>
      </c>
      <c r="V70" s="32">
        <f>IF(TRIM(A70&amp;"")="","",IF(T70&lt;&gt;"",T70,IF(TRIM(E70&amp;"")="","",IFERROR(INDEX($T$6:$T$505,MATCH(TRIM(E70&amp;""),$U$6:$U$505,0)),""))))</f>
        <v/>
      </c>
      <c r="W70" s="32">
        <f>IF(V70="","",INDEX('Form Calc'!$G:$G,V70))</f>
        <v/>
      </c>
      <c r="X70" s="32">
        <f>IF(TRIM(A70&amp;"")="","",IF(T70&lt;&gt;"",IF(INDEX('Form Calc'!$K:$K,T70)&lt;&gt;"",INDEX('Form Calc'!$K:$K,T70),J70&amp;""),J70&amp;""))</f>
        <v/>
      </c>
      <c r="Y70" s="32">
        <f>IF(TRIM(A70&amp;"")="","",IF(TRIM(D70&amp;"")&lt;&gt;"",TRIM(D70&amp;""),IF(T70&lt;&gt;"",INDEX('Form Calc'!$C:$C,T70)&amp;"","")))</f>
        <v/>
      </c>
      <c r="Z70" s="32">
        <f>SUBSTITUTE(SUBSTITUTE(SUBSTITUTE(SUBSTITUTE(SUBSTITUTE(SUBSTITUTE(SUBSTITUTE(SUBSTITUTE(Y70," ",""),"-",""),"(",""),")",""),".",""),"+",""),"/",""),CHAR(160),"")</f>
        <v/>
      </c>
      <c r="AA70" s="32">
        <f>IF(Z70="","",IF(LEN(Z70)=10,"+1"&amp;Z70,IF(AND(LEN(Z70)=11,LEFT(Z70,1)="1"),"+"&amp;Z70,IF(LEFT(Y70,1)="+","+"&amp;Z70,Z70))))</f>
        <v/>
      </c>
      <c r="AB70" s="32">
        <f>IF(TRIM(A70&amp;"")="","",IF(TRIM(M70&amp;"")&lt;&gt;"",TRIM(M70&amp;""),IFERROR(LEFT(TRIM(A70&amp;""),FIND(" ",TRIM(A70&amp;""))-1),TRIM(A70&amp;""))))</f>
        <v/>
      </c>
      <c r="AC70" s="32">
        <f>SUBSTITUTE(SUBSTITUTE(SUBSTITUTE(SUBSTITUTE(SUBSTITUTE(SUBSTITUTE(SUBSTITUTE(SUBSTITUTE(SUBSTITUTE(SUBSTITUTE(AB70,"%","%25"),"&amp;","%26"),"#","%23"),"+","%2B"),"=","%3D"),"?","%3F"),CHAR(34),"%22"),CHAR(10),"%0A"),CHAR(13),"")," ","+")</f>
        <v/>
      </c>
      <c r="AD70" s="32">
        <f>IF(OR(AA70="",AB70=""),"",'Start Here'!$B$20&amp;"#p="&amp;SUBSTITUTE(AA70,"+","%2B")&amp;"&amp;n="&amp;AC70&amp;"&amp;m="&amp;SUBSTITUTE('Start Here'!$B$24,"{name}",AC70))</f>
        <v/>
      </c>
      <c r="AE70" s="32">
        <f>LEN(AD70)</f>
        <v/>
      </c>
      <c r="AF70" s="32">
        <f>IF(AND(TRIM(A70&amp;"")&lt;&gt;"",OR(B70="Awaiting",B70="Not sure yet")),1,0)</f>
        <v/>
      </c>
      <c r="AG70" s="32">
        <f>N(AG69)+AF70</f>
        <v/>
      </c>
      <c r="AH70" s="32">
        <f>IF(AF70=1,AG70,"")</f>
        <v/>
      </c>
      <c r="AI70" s="32">
        <f>IF(AND(TRIM(A70&amp;"")&lt;&gt;"",L70&amp;""&lt;&gt;"",L70&amp;""=Seating!$I$3&amp;"",B70&lt;&gt;"Declined"),1,0)</f>
        <v/>
      </c>
      <c r="AJ70" s="32">
        <f>N(AJ69)+AI70</f>
        <v/>
      </c>
      <c r="AK70" s="32">
        <f>IF(AI70=1,AJ70,"")</f>
        <v/>
      </c>
    </row>
    <row r="71">
      <c r="A71" s="10" t="n"/>
      <c r="B71" s="47">
        <f>IF(TRIM(A71&amp;"")="","",IF(W71&lt;&gt;"",W71,IF(I71="","Awaiting",I71)))</f>
        <v/>
      </c>
      <c r="C71" s="60">
        <f>IF(OR(B71="Awaiting",B71="Not sure yet"),IF(AD71&lt;&gt;"",HYPERLINK(AD71,"💬 Remind"),"add mobile"),"")</f>
        <v/>
      </c>
      <c r="D71" s="58" t="n"/>
      <c r="E71" s="10" t="n"/>
      <c r="F71" s="10" t="n"/>
      <c r="G71" s="10" t="n"/>
      <c r="H71" s="10" t="n"/>
      <c r="I71" s="10" t="n"/>
      <c r="J71" s="10" t="n"/>
      <c r="K71" s="10" t="n"/>
      <c r="L71" s="56" t="n"/>
      <c r="M71" s="10" t="n"/>
      <c r="N71" s="12" t="n"/>
      <c r="O71" s="10" t="n"/>
      <c r="P71" s="10" t="n"/>
      <c r="Q71" s="61">
        <f>IF(V71="","",IF(T71="","Covered by "&amp;INDEX('Form Calc'!$B:$B,V71)&amp;"'s reply (same party)","Replied "&amp;TEXT(INDEX('Form Calc'!$A:$A,T71),"mm/dd")&amp;" · "&amp;INDEX('Form Calc'!$H:$H,T71)&amp;" adult(s), "&amp;INDEX('Form Calc'!$I:$I,T71)&amp;" child(ren)"&amp;IF(INDEX('Form Calc'!$K:$K,T71)&lt;&gt;""," · "&amp;INDEX('Form Calc'!$K:$K,T71),"")&amp;IF(INDEX('Form Calc'!$M:$M,T71)&lt;&gt;""," · “"&amp;INDEX('Form Calc'!$M:$M,T71)&amp;"”","")))</f>
        <v/>
      </c>
      <c r="R71" s="32">
        <f>SUBSTITUTE(SUBSTITUTE(SUBSTITUTE(SUBSTITUTE(SUBSTITUTE(SUBSTITUTE(SUBSTITUTE(SUBSTITUTE(D71&amp;""," ",""),"-",""),"(",""),")",""),".",""),"+",""),"/",""),CHAR(160),"")</f>
        <v/>
      </c>
      <c r="S71" s="32">
        <f>IF(LEN(R71)&gt;=10,RIGHT(R71,10),R71)</f>
        <v/>
      </c>
      <c r="T71" s="32">
        <f>IF(TRIM(A71&amp;"")="","",IF(S71&lt;&gt;"",IFERROR(MATCH(S71,'Form Calc'!$P:$P,0),IFERROR(MATCH(TRIM(A71&amp;""),'Form Calc'!$Q:$Q,0),"")),IFERROR(MATCH(TRIM(A71&amp;""),'Form Calc'!$Q:$Q,0),"")))</f>
        <v/>
      </c>
      <c r="U71" s="32">
        <f>IF(AND(T71&lt;&gt;"",TRIM(E71&amp;"")&lt;&gt;""),TRIM(E71&amp;""),"")</f>
        <v/>
      </c>
      <c r="V71" s="32">
        <f>IF(TRIM(A71&amp;"")="","",IF(T71&lt;&gt;"",T71,IF(TRIM(E71&amp;"")="","",IFERROR(INDEX($T$6:$T$505,MATCH(TRIM(E71&amp;""),$U$6:$U$505,0)),""))))</f>
        <v/>
      </c>
      <c r="W71" s="32">
        <f>IF(V71="","",INDEX('Form Calc'!$G:$G,V71))</f>
        <v/>
      </c>
      <c r="X71" s="32">
        <f>IF(TRIM(A71&amp;"")="","",IF(T71&lt;&gt;"",IF(INDEX('Form Calc'!$K:$K,T71)&lt;&gt;"",INDEX('Form Calc'!$K:$K,T71),J71&amp;""),J71&amp;""))</f>
        <v/>
      </c>
      <c r="Y71" s="32">
        <f>IF(TRIM(A71&amp;"")="","",IF(TRIM(D71&amp;"")&lt;&gt;"",TRIM(D71&amp;""),IF(T71&lt;&gt;"",INDEX('Form Calc'!$C:$C,T71)&amp;"","")))</f>
        <v/>
      </c>
      <c r="Z71" s="32">
        <f>SUBSTITUTE(SUBSTITUTE(SUBSTITUTE(SUBSTITUTE(SUBSTITUTE(SUBSTITUTE(SUBSTITUTE(SUBSTITUTE(Y71," ",""),"-",""),"(",""),")",""),".",""),"+",""),"/",""),CHAR(160),"")</f>
        <v/>
      </c>
      <c r="AA71" s="32">
        <f>IF(Z71="","",IF(LEN(Z71)=10,"+1"&amp;Z71,IF(AND(LEN(Z71)=11,LEFT(Z71,1)="1"),"+"&amp;Z71,IF(LEFT(Y71,1)="+","+"&amp;Z71,Z71))))</f>
        <v/>
      </c>
      <c r="AB71" s="32">
        <f>IF(TRIM(A71&amp;"")="","",IF(TRIM(M71&amp;"")&lt;&gt;"",TRIM(M71&amp;""),IFERROR(LEFT(TRIM(A71&amp;""),FIND(" ",TRIM(A71&amp;""))-1),TRIM(A71&amp;""))))</f>
        <v/>
      </c>
      <c r="AC71" s="32">
        <f>SUBSTITUTE(SUBSTITUTE(SUBSTITUTE(SUBSTITUTE(SUBSTITUTE(SUBSTITUTE(SUBSTITUTE(SUBSTITUTE(SUBSTITUTE(SUBSTITUTE(AB71,"%","%25"),"&amp;","%26"),"#","%23"),"+","%2B"),"=","%3D"),"?","%3F"),CHAR(34),"%22"),CHAR(10),"%0A"),CHAR(13),"")," ","+")</f>
        <v/>
      </c>
      <c r="AD71" s="32">
        <f>IF(OR(AA71="",AB71=""),"",'Start Here'!$B$20&amp;"#p="&amp;SUBSTITUTE(AA71,"+","%2B")&amp;"&amp;n="&amp;AC71&amp;"&amp;m="&amp;SUBSTITUTE('Start Here'!$B$24,"{name}",AC71))</f>
        <v/>
      </c>
      <c r="AE71" s="32">
        <f>LEN(AD71)</f>
        <v/>
      </c>
      <c r="AF71" s="32">
        <f>IF(AND(TRIM(A71&amp;"")&lt;&gt;"",OR(B71="Awaiting",B71="Not sure yet")),1,0)</f>
        <v/>
      </c>
      <c r="AG71" s="32">
        <f>N(AG70)+AF71</f>
        <v/>
      </c>
      <c r="AH71" s="32">
        <f>IF(AF71=1,AG71,"")</f>
        <v/>
      </c>
      <c r="AI71" s="32">
        <f>IF(AND(TRIM(A71&amp;"")&lt;&gt;"",L71&amp;""&lt;&gt;"",L71&amp;""=Seating!$I$3&amp;"",B71&lt;&gt;"Declined"),1,0)</f>
        <v/>
      </c>
      <c r="AJ71" s="32">
        <f>N(AJ70)+AI71</f>
        <v/>
      </c>
      <c r="AK71" s="32">
        <f>IF(AI71=1,AJ71,"")</f>
        <v/>
      </c>
    </row>
    <row r="72">
      <c r="A72" s="10" t="n"/>
      <c r="B72" s="47">
        <f>IF(TRIM(A72&amp;"")="","",IF(W72&lt;&gt;"",W72,IF(I72="","Awaiting",I72)))</f>
        <v/>
      </c>
      <c r="C72" s="60">
        <f>IF(OR(B72="Awaiting",B72="Not sure yet"),IF(AD72&lt;&gt;"",HYPERLINK(AD72,"💬 Remind"),"add mobile"),"")</f>
        <v/>
      </c>
      <c r="D72" s="58" t="n"/>
      <c r="E72" s="10" t="n"/>
      <c r="F72" s="10" t="n"/>
      <c r="G72" s="10" t="n"/>
      <c r="H72" s="10" t="n"/>
      <c r="I72" s="10" t="n"/>
      <c r="J72" s="10" t="n"/>
      <c r="K72" s="10" t="n"/>
      <c r="L72" s="56" t="n"/>
      <c r="M72" s="10" t="n"/>
      <c r="N72" s="12" t="n"/>
      <c r="O72" s="10" t="n"/>
      <c r="P72" s="10" t="n"/>
      <c r="Q72" s="61">
        <f>IF(V72="","",IF(T72="","Covered by "&amp;INDEX('Form Calc'!$B:$B,V72)&amp;"'s reply (same party)","Replied "&amp;TEXT(INDEX('Form Calc'!$A:$A,T72),"mm/dd")&amp;" · "&amp;INDEX('Form Calc'!$H:$H,T72)&amp;" adult(s), "&amp;INDEX('Form Calc'!$I:$I,T72)&amp;" child(ren)"&amp;IF(INDEX('Form Calc'!$K:$K,T72)&lt;&gt;""," · "&amp;INDEX('Form Calc'!$K:$K,T72),"")&amp;IF(INDEX('Form Calc'!$M:$M,T72)&lt;&gt;""," · “"&amp;INDEX('Form Calc'!$M:$M,T72)&amp;"”","")))</f>
        <v/>
      </c>
      <c r="R72" s="32">
        <f>SUBSTITUTE(SUBSTITUTE(SUBSTITUTE(SUBSTITUTE(SUBSTITUTE(SUBSTITUTE(SUBSTITUTE(SUBSTITUTE(D72&amp;""," ",""),"-",""),"(",""),")",""),".",""),"+",""),"/",""),CHAR(160),"")</f>
        <v/>
      </c>
      <c r="S72" s="32">
        <f>IF(LEN(R72)&gt;=10,RIGHT(R72,10),R72)</f>
        <v/>
      </c>
      <c r="T72" s="32">
        <f>IF(TRIM(A72&amp;"")="","",IF(S72&lt;&gt;"",IFERROR(MATCH(S72,'Form Calc'!$P:$P,0),IFERROR(MATCH(TRIM(A72&amp;""),'Form Calc'!$Q:$Q,0),"")),IFERROR(MATCH(TRIM(A72&amp;""),'Form Calc'!$Q:$Q,0),"")))</f>
        <v/>
      </c>
      <c r="U72" s="32">
        <f>IF(AND(T72&lt;&gt;"",TRIM(E72&amp;"")&lt;&gt;""),TRIM(E72&amp;""),"")</f>
        <v/>
      </c>
      <c r="V72" s="32">
        <f>IF(TRIM(A72&amp;"")="","",IF(T72&lt;&gt;"",T72,IF(TRIM(E72&amp;"")="","",IFERROR(INDEX($T$6:$T$505,MATCH(TRIM(E72&amp;""),$U$6:$U$505,0)),""))))</f>
        <v/>
      </c>
      <c r="W72" s="32">
        <f>IF(V72="","",INDEX('Form Calc'!$G:$G,V72))</f>
        <v/>
      </c>
      <c r="X72" s="32">
        <f>IF(TRIM(A72&amp;"")="","",IF(T72&lt;&gt;"",IF(INDEX('Form Calc'!$K:$K,T72)&lt;&gt;"",INDEX('Form Calc'!$K:$K,T72),J72&amp;""),J72&amp;""))</f>
        <v/>
      </c>
      <c r="Y72" s="32">
        <f>IF(TRIM(A72&amp;"")="","",IF(TRIM(D72&amp;"")&lt;&gt;"",TRIM(D72&amp;""),IF(T72&lt;&gt;"",INDEX('Form Calc'!$C:$C,T72)&amp;"","")))</f>
        <v/>
      </c>
      <c r="Z72" s="32">
        <f>SUBSTITUTE(SUBSTITUTE(SUBSTITUTE(SUBSTITUTE(SUBSTITUTE(SUBSTITUTE(SUBSTITUTE(SUBSTITUTE(Y72," ",""),"-",""),"(",""),")",""),".",""),"+",""),"/",""),CHAR(160),"")</f>
        <v/>
      </c>
      <c r="AA72" s="32">
        <f>IF(Z72="","",IF(LEN(Z72)=10,"+1"&amp;Z72,IF(AND(LEN(Z72)=11,LEFT(Z72,1)="1"),"+"&amp;Z72,IF(LEFT(Y72,1)="+","+"&amp;Z72,Z72))))</f>
        <v/>
      </c>
      <c r="AB72" s="32">
        <f>IF(TRIM(A72&amp;"")="","",IF(TRIM(M72&amp;"")&lt;&gt;"",TRIM(M72&amp;""),IFERROR(LEFT(TRIM(A72&amp;""),FIND(" ",TRIM(A72&amp;""))-1),TRIM(A72&amp;""))))</f>
        <v/>
      </c>
      <c r="AC72" s="32">
        <f>SUBSTITUTE(SUBSTITUTE(SUBSTITUTE(SUBSTITUTE(SUBSTITUTE(SUBSTITUTE(SUBSTITUTE(SUBSTITUTE(SUBSTITUTE(SUBSTITUTE(AB72,"%","%25"),"&amp;","%26"),"#","%23"),"+","%2B"),"=","%3D"),"?","%3F"),CHAR(34),"%22"),CHAR(10),"%0A"),CHAR(13),"")," ","+")</f>
        <v/>
      </c>
      <c r="AD72" s="32">
        <f>IF(OR(AA72="",AB72=""),"",'Start Here'!$B$20&amp;"#p="&amp;SUBSTITUTE(AA72,"+","%2B")&amp;"&amp;n="&amp;AC72&amp;"&amp;m="&amp;SUBSTITUTE('Start Here'!$B$24,"{name}",AC72))</f>
        <v/>
      </c>
      <c r="AE72" s="32">
        <f>LEN(AD72)</f>
        <v/>
      </c>
      <c r="AF72" s="32">
        <f>IF(AND(TRIM(A72&amp;"")&lt;&gt;"",OR(B72="Awaiting",B72="Not sure yet")),1,0)</f>
        <v/>
      </c>
      <c r="AG72" s="32">
        <f>N(AG71)+AF72</f>
        <v/>
      </c>
      <c r="AH72" s="32">
        <f>IF(AF72=1,AG72,"")</f>
        <v/>
      </c>
      <c r="AI72" s="32">
        <f>IF(AND(TRIM(A72&amp;"")&lt;&gt;"",L72&amp;""&lt;&gt;"",L72&amp;""=Seating!$I$3&amp;"",B72&lt;&gt;"Declined"),1,0)</f>
        <v/>
      </c>
      <c r="AJ72" s="32">
        <f>N(AJ71)+AI72</f>
        <v/>
      </c>
      <c r="AK72" s="32">
        <f>IF(AI72=1,AJ72,"")</f>
        <v/>
      </c>
    </row>
    <row r="73">
      <c r="A73" s="10" t="n"/>
      <c r="B73" s="47">
        <f>IF(TRIM(A73&amp;"")="","",IF(W73&lt;&gt;"",W73,IF(I73="","Awaiting",I73)))</f>
        <v/>
      </c>
      <c r="C73" s="60">
        <f>IF(OR(B73="Awaiting",B73="Not sure yet"),IF(AD73&lt;&gt;"",HYPERLINK(AD73,"💬 Remind"),"add mobile"),"")</f>
        <v/>
      </c>
      <c r="D73" s="58" t="n"/>
      <c r="E73" s="10" t="n"/>
      <c r="F73" s="10" t="n"/>
      <c r="G73" s="10" t="n"/>
      <c r="H73" s="10" t="n"/>
      <c r="I73" s="10" t="n"/>
      <c r="J73" s="10" t="n"/>
      <c r="K73" s="10" t="n"/>
      <c r="L73" s="56" t="n"/>
      <c r="M73" s="10" t="n"/>
      <c r="N73" s="12" t="n"/>
      <c r="O73" s="10" t="n"/>
      <c r="P73" s="10" t="n"/>
      <c r="Q73" s="61">
        <f>IF(V73="","",IF(T73="","Covered by "&amp;INDEX('Form Calc'!$B:$B,V73)&amp;"'s reply (same party)","Replied "&amp;TEXT(INDEX('Form Calc'!$A:$A,T73),"mm/dd")&amp;" · "&amp;INDEX('Form Calc'!$H:$H,T73)&amp;" adult(s), "&amp;INDEX('Form Calc'!$I:$I,T73)&amp;" child(ren)"&amp;IF(INDEX('Form Calc'!$K:$K,T73)&lt;&gt;""," · "&amp;INDEX('Form Calc'!$K:$K,T73),"")&amp;IF(INDEX('Form Calc'!$M:$M,T73)&lt;&gt;""," · “"&amp;INDEX('Form Calc'!$M:$M,T73)&amp;"”","")))</f>
        <v/>
      </c>
      <c r="R73" s="32">
        <f>SUBSTITUTE(SUBSTITUTE(SUBSTITUTE(SUBSTITUTE(SUBSTITUTE(SUBSTITUTE(SUBSTITUTE(SUBSTITUTE(D73&amp;""," ",""),"-",""),"(",""),")",""),".",""),"+",""),"/",""),CHAR(160),"")</f>
        <v/>
      </c>
      <c r="S73" s="32">
        <f>IF(LEN(R73)&gt;=10,RIGHT(R73,10),R73)</f>
        <v/>
      </c>
      <c r="T73" s="32">
        <f>IF(TRIM(A73&amp;"")="","",IF(S73&lt;&gt;"",IFERROR(MATCH(S73,'Form Calc'!$P:$P,0),IFERROR(MATCH(TRIM(A73&amp;""),'Form Calc'!$Q:$Q,0),"")),IFERROR(MATCH(TRIM(A73&amp;""),'Form Calc'!$Q:$Q,0),"")))</f>
        <v/>
      </c>
      <c r="U73" s="32">
        <f>IF(AND(T73&lt;&gt;"",TRIM(E73&amp;"")&lt;&gt;""),TRIM(E73&amp;""),"")</f>
        <v/>
      </c>
      <c r="V73" s="32">
        <f>IF(TRIM(A73&amp;"")="","",IF(T73&lt;&gt;"",T73,IF(TRIM(E73&amp;"")="","",IFERROR(INDEX($T$6:$T$505,MATCH(TRIM(E73&amp;""),$U$6:$U$505,0)),""))))</f>
        <v/>
      </c>
      <c r="W73" s="32">
        <f>IF(V73="","",INDEX('Form Calc'!$G:$G,V73))</f>
        <v/>
      </c>
      <c r="X73" s="32">
        <f>IF(TRIM(A73&amp;"")="","",IF(T73&lt;&gt;"",IF(INDEX('Form Calc'!$K:$K,T73)&lt;&gt;"",INDEX('Form Calc'!$K:$K,T73),J73&amp;""),J73&amp;""))</f>
        <v/>
      </c>
      <c r="Y73" s="32">
        <f>IF(TRIM(A73&amp;"")="","",IF(TRIM(D73&amp;"")&lt;&gt;"",TRIM(D73&amp;""),IF(T73&lt;&gt;"",INDEX('Form Calc'!$C:$C,T73)&amp;"","")))</f>
        <v/>
      </c>
      <c r="Z73" s="32">
        <f>SUBSTITUTE(SUBSTITUTE(SUBSTITUTE(SUBSTITUTE(SUBSTITUTE(SUBSTITUTE(SUBSTITUTE(SUBSTITUTE(Y73," ",""),"-",""),"(",""),")",""),".",""),"+",""),"/",""),CHAR(160),"")</f>
        <v/>
      </c>
      <c r="AA73" s="32">
        <f>IF(Z73="","",IF(LEN(Z73)=10,"+1"&amp;Z73,IF(AND(LEN(Z73)=11,LEFT(Z73,1)="1"),"+"&amp;Z73,IF(LEFT(Y73,1)="+","+"&amp;Z73,Z73))))</f>
        <v/>
      </c>
      <c r="AB73" s="32">
        <f>IF(TRIM(A73&amp;"")="","",IF(TRIM(M73&amp;"")&lt;&gt;"",TRIM(M73&amp;""),IFERROR(LEFT(TRIM(A73&amp;""),FIND(" ",TRIM(A73&amp;""))-1),TRIM(A73&amp;""))))</f>
        <v/>
      </c>
      <c r="AC73" s="32">
        <f>SUBSTITUTE(SUBSTITUTE(SUBSTITUTE(SUBSTITUTE(SUBSTITUTE(SUBSTITUTE(SUBSTITUTE(SUBSTITUTE(SUBSTITUTE(SUBSTITUTE(AB73,"%","%25"),"&amp;","%26"),"#","%23"),"+","%2B"),"=","%3D"),"?","%3F"),CHAR(34),"%22"),CHAR(10),"%0A"),CHAR(13),"")," ","+")</f>
        <v/>
      </c>
      <c r="AD73" s="32">
        <f>IF(OR(AA73="",AB73=""),"",'Start Here'!$B$20&amp;"#p="&amp;SUBSTITUTE(AA73,"+","%2B")&amp;"&amp;n="&amp;AC73&amp;"&amp;m="&amp;SUBSTITUTE('Start Here'!$B$24,"{name}",AC73))</f>
        <v/>
      </c>
      <c r="AE73" s="32">
        <f>LEN(AD73)</f>
        <v/>
      </c>
      <c r="AF73" s="32">
        <f>IF(AND(TRIM(A73&amp;"")&lt;&gt;"",OR(B73="Awaiting",B73="Not sure yet")),1,0)</f>
        <v/>
      </c>
      <c r="AG73" s="32">
        <f>N(AG72)+AF73</f>
        <v/>
      </c>
      <c r="AH73" s="32">
        <f>IF(AF73=1,AG73,"")</f>
        <v/>
      </c>
      <c r="AI73" s="32">
        <f>IF(AND(TRIM(A73&amp;"")&lt;&gt;"",L73&amp;""&lt;&gt;"",L73&amp;""=Seating!$I$3&amp;"",B73&lt;&gt;"Declined"),1,0)</f>
        <v/>
      </c>
      <c r="AJ73" s="32">
        <f>N(AJ72)+AI73</f>
        <v/>
      </c>
      <c r="AK73" s="32">
        <f>IF(AI73=1,AJ73,"")</f>
        <v/>
      </c>
    </row>
    <row r="74">
      <c r="A74" s="10" t="n"/>
      <c r="B74" s="47">
        <f>IF(TRIM(A74&amp;"")="","",IF(W74&lt;&gt;"",W74,IF(I74="","Awaiting",I74)))</f>
        <v/>
      </c>
      <c r="C74" s="60">
        <f>IF(OR(B74="Awaiting",B74="Not sure yet"),IF(AD74&lt;&gt;"",HYPERLINK(AD74,"💬 Remind"),"add mobile"),"")</f>
        <v/>
      </c>
      <c r="D74" s="58" t="n"/>
      <c r="E74" s="10" t="n"/>
      <c r="F74" s="10" t="n"/>
      <c r="G74" s="10" t="n"/>
      <c r="H74" s="10" t="n"/>
      <c r="I74" s="10" t="n"/>
      <c r="J74" s="10" t="n"/>
      <c r="K74" s="10" t="n"/>
      <c r="L74" s="56" t="n"/>
      <c r="M74" s="10" t="n"/>
      <c r="N74" s="12" t="n"/>
      <c r="O74" s="10" t="n"/>
      <c r="P74" s="10" t="n"/>
      <c r="Q74" s="61">
        <f>IF(V74="","",IF(T74="","Covered by "&amp;INDEX('Form Calc'!$B:$B,V74)&amp;"'s reply (same party)","Replied "&amp;TEXT(INDEX('Form Calc'!$A:$A,T74),"mm/dd")&amp;" · "&amp;INDEX('Form Calc'!$H:$H,T74)&amp;" adult(s), "&amp;INDEX('Form Calc'!$I:$I,T74)&amp;" child(ren)"&amp;IF(INDEX('Form Calc'!$K:$K,T74)&lt;&gt;""," · "&amp;INDEX('Form Calc'!$K:$K,T74),"")&amp;IF(INDEX('Form Calc'!$M:$M,T74)&lt;&gt;""," · “"&amp;INDEX('Form Calc'!$M:$M,T74)&amp;"”","")))</f>
        <v/>
      </c>
      <c r="R74" s="32">
        <f>SUBSTITUTE(SUBSTITUTE(SUBSTITUTE(SUBSTITUTE(SUBSTITUTE(SUBSTITUTE(SUBSTITUTE(SUBSTITUTE(D74&amp;""," ",""),"-",""),"(",""),")",""),".",""),"+",""),"/",""),CHAR(160),"")</f>
        <v/>
      </c>
      <c r="S74" s="32">
        <f>IF(LEN(R74)&gt;=10,RIGHT(R74,10),R74)</f>
        <v/>
      </c>
      <c r="T74" s="32">
        <f>IF(TRIM(A74&amp;"")="","",IF(S74&lt;&gt;"",IFERROR(MATCH(S74,'Form Calc'!$P:$P,0),IFERROR(MATCH(TRIM(A74&amp;""),'Form Calc'!$Q:$Q,0),"")),IFERROR(MATCH(TRIM(A74&amp;""),'Form Calc'!$Q:$Q,0),"")))</f>
        <v/>
      </c>
      <c r="U74" s="32">
        <f>IF(AND(T74&lt;&gt;"",TRIM(E74&amp;"")&lt;&gt;""),TRIM(E74&amp;""),"")</f>
        <v/>
      </c>
      <c r="V74" s="32">
        <f>IF(TRIM(A74&amp;"")="","",IF(T74&lt;&gt;"",T74,IF(TRIM(E74&amp;"")="","",IFERROR(INDEX($T$6:$T$505,MATCH(TRIM(E74&amp;""),$U$6:$U$505,0)),""))))</f>
        <v/>
      </c>
      <c r="W74" s="32">
        <f>IF(V74="","",INDEX('Form Calc'!$G:$G,V74))</f>
        <v/>
      </c>
      <c r="X74" s="32">
        <f>IF(TRIM(A74&amp;"")="","",IF(T74&lt;&gt;"",IF(INDEX('Form Calc'!$K:$K,T74)&lt;&gt;"",INDEX('Form Calc'!$K:$K,T74),J74&amp;""),J74&amp;""))</f>
        <v/>
      </c>
      <c r="Y74" s="32">
        <f>IF(TRIM(A74&amp;"")="","",IF(TRIM(D74&amp;"")&lt;&gt;"",TRIM(D74&amp;""),IF(T74&lt;&gt;"",INDEX('Form Calc'!$C:$C,T74)&amp;"","")))</f>
        <v/>
      </c>
      <c r="Z74" s="32">
        <f>SUBSTITUTE(SUBSTITUTE(SUBSTITUTE(SUBSTITUTE(SUBSTITUTE(SUBSTITUTE(SUBSTITUTE(SUBSTITUTE(Y74," ",""),"-",""),"(",""),")",""),".",""),"+",""),"/",""),CHAR(160),"")</f>
        <v/>
      </c>
      <c r="AA74" s="32">
        <f>IF(Z74="","",IF(LEN(Z74)=10,"+1"&amp;Z74,IF(AND(LEN(Z74)=11,LEFT(Z74,1)="1"),"+"&amp;Z74,IF(LEFT(Y74,1)="+","+"&amp;Z74,Z74))))</f>
        <v/>
      </c>
      <c r="AB74" s="32">
        <f>IF(TRIM(A74&amp;"")="","",IF(TRIM(M74&amp;"")&lt;&gt;"",TRIM(M74&amp;""),IFERROR(LEFT(TRIM(A74&amp;""),FIND(" ",TRIM(A74&amp;""))-1),TRIM(A74&amp;""))))</f>
        <v/>
      </c>
      <c r="AC74" s="32">
        <f>SUBSTITUTE(SUBSTITUTE(SUBSTITUTE(SUBSTITUTE(SUBSTITUTE(SUBSTITUTE(SUBSTITUTE(SUBSTITUTE(SUBSTITUTE(SUBSTITUTE(AB74,"%","%25"),"&amp;","%26"),"#","%23"),"+","%2B"),"=","%3D"),"?","%3F"),CHAR(34),"%22"),CHAR(10),"%0A"),CHAR(13),"")," ","+")</f>
        <v/>
      </c>
      <c r="AD74" s="32">
        <f>IF(OR(AA74="",AB74=""),"",'Start Here'!$B$20&amp;"#p="&amp;SUBSTITUTE(AA74,"+","%2B")&amp;"&amp;n="&amp;AC74&amp;"&amp;m="&amp;SUBSTITUTE('Start Here'!$B$24,"{name}",AC74))</f>
        <v/>
      </c>
      <c r="AE74" s="32">
        <f>LEN(AD74)</f>
        <v/>
      </c>
      <c r="AF74" s="32">
        <f>IF(AND(TRIM(A74&amp;"")&lt;&gt;"",OR(B74="Awaiting",B74="Not sure yet")),1,0)</f>
        <v/>
      </c>
      <c r="AG74" s="32">
        <f>N(AG73)+AF74</f>
        <v/>
      </c>
      <c r="AH74" s="32">
        <f>IF(AF74=1,AG74,"")</f>
        <v/>
      </c>
      <c r="AI74" s="32">
        <f>IF(AND(TRIM(A74&amp;"")&lt;&gt;"",L74&amp;""&lt;&gt;"",L74&amp;""=Seating!$I$3&amp;"",B74&lt;&gt;"Declined"),1,0)</f>
        <v/>
      </c>
      <c r="AJ74" s="32">
        <f>N(AJ73)+AI74</f>
        <v/>
      </c>
      <c r="AK74" s="32">
        <f>IF(AI74=1,AJ74,"")</f>
        <v/>
      </c>
    </row>
    <row r="75">
      <c r="A75" s="10" t="n"/>
      <c r="B75" s="47">
        <f>IF(TRIM(A75&amp;"")="","",IF(W75&lt;&gt;"",W75,IF(I75="","Awaiting",I75)))</f>
        <v/>
      </c>
      <c r="C75" s="60">
        <f>IF(OR(B75="Awaiting",B75="Not sure yet"),IF(AD75&lt;&gt;"",HYPERLINK(AD75,"💬 Remind"),"add mobile"),"")</f>
        <v/>
      </c>
      <c r="D75" s="58" t="n"/>
      <c r="E75" s="10" t="n"/>
      <c r="F75" s="10" t="n"/>
      <c r="G75" s="10" t="n"/>
      <c r="H75" s="10" t="n"/>
      <c r="I75" s="10" t="n"/>
      <c r="J75" s="10" t="n"/>
      <c r="K75" s="10" t="n"/>
      <c r="L75" s="56" t="n"/>
      <c r="M75" s="10" t="n"/>
      <c r="N75" s="12" t="n"/>
      <c r="O75" s="10" t="n"/>
      <c r="P75" s="10" t="n"/>
      <c r="Q75" s="61">
        <f>IF(V75="","",IF(T75="","Covered by "&amp;INDEX('Form Calc'!$B:$B,V75)&amp;"'s reply (same party)","Replied "&amp;TEXT(INDEX('Form Calc'!$A:$A,T75),"mm/dd")&amp;" · "&amp;INDEX('Form Calc'!$H:$H,T75)&amp;" adult(s), "&amp;INDEX('Form Calc'!$I:$I,T75)&amp;" child(ren)"&amp;IF(INDEX('Form Calc'!$K:$K,T75)&lt;&gt;""," · "&amp;INDEX('Form Calc'!$K:$K,T75),"")&amp;IF(INDEX('Form Calc'!$M:$M,T75)&lt;&gt;""," · “"&amp;INDEX('Form Calc'!$M:$M,T75)&amp;"”","")))</f>
        <v/>
      </c>
      <c r="R75" s="32">
        <f>SUBSTITUTE(SUBSTITUTE(SUBSTITUTE(SUBSTITUTE(SUBSTITUTE(SUBSTITUTE(SUBSTITUTE(SUBSTITUTE(D75&amp;""," ",""),"-",""),"(",""),")",""),".",""),"+",""),"/",""),CHAR(160),"")</f>
        <v/>
      </c>
      <c r="S75" s="32">
        <f>IF(LEN(R75)&gt;=10,RIGHT(R75,10),R75)</f>
        <v/>
      </c>
      <c r="T75" s="32">
        <f>IF(TRIM(A75&amp;"")="","",IF(S75&lt;&gt;"",IFERROR(MATCH(S75,'Form Calc'!$P:$P,0),IFERROR(MATCH(TRIM(A75&amp;""),'Form Calc'!$Q:$Q,0),"")),IFERROR(MATCH(TRIM(A75&amp;""),'Form Calc'!$Q:$Q,0),"")))</f>
        <v/>
      </c>
      <c r="U75" s="32">
        <f>IF(AND(T75&lt;&gt;"",TRIM(E75&amp;"")&lt;&gt;""),TRIM(E75&amp;""),"")</f>
        <v/>
      </c>
      <c r="V75" s="32">
        <f>IF(TRIM(A75&amp;"")="","",IF(T75&lt;&gt;"",T75,IF(TRIM(E75&amp;"")="","",IFERROR(INDEX($T$6:$T$505,MATCH(TRIM(E75&amp;""),$U$6:$U$505,0)),""))))</f>
        <v/>
      </c>
      <c r="W75" s="32">
        <f>IF(V75="","",INDEX('Form Calc'!$G:$G,V75))</f>
        <v/>
      </c>
      <c r="X75" s="32">
        <f>IF(TRIM(A75&amp;"")="","",IF(T75&lt;&gt;"",IF(INDEX('Form Calc'!$K:$K,T75)&lt;&gt;"",INDEX('Form Calc'!$K:$K,T75),J75&amp;""),J75&amp;""))</f>
        <v/>
      </c>
      <c r="Y75" s="32">
        <f>IF(TRIM(A75&amp;"")="","",IF(TRIM(D75&amp;"")&lt;&gt;"",TRIM(D75&amp;""),IF(T75&lt;&gt;"",INDEX('Form Calc'!$C:$C,T75)&amp;"","")))</f>
        <v/>
      </c>
      <c r="Z75" s="32">
        <f>SUBSTITUTE(SUBSTITUTE(SUBSTITUTE(SUBSTITUTE(SUBSTITUTE(SUBSTITUTE(SUBSTITUTE(SUBSTITUTE(Y75," ",""),"-",""),"(",""),")",""),".",""),"+",""),"/",""),CHAR(160),"")</f>
        <v/>
      </c>
      <c r="AA75" s="32">
        <f>IF(Z75="","",IF(LEN(Z75)=10,"+1"&amp;Z75,IF(AND(LEN(Z75)=11,LEFT(Z75,1)="1"),"+"&amp;Z75,IF(LEFT(Y75,1)="+","+"&amp;Z75,Z75))))</f>
        <v/>
      </c>
      <c r="AB75" s="32">
        <f>IF(TRIM(A75&amp;"")="","",IF(TRIM(M75&amp;"")&lt;&gt;"",TRIM(M75&amp;""),IFERROR(LEFT(TRIM(A75&amp;""),FIND(" ",TRIM(A75&amp;""))-1),TRIM(A75&amp;""))))</f>
        <v/>
      </c>
      <c r="AC75" s="32">
        <f>SUBSTITUTE(SUBSTITUTE(SUBSTITUTE(SUBSTITUTE(SUBSTITUTE(SUBSTITUTE(SUBSTITUTE(SUBSTITUTE(SUBSTITUTE(SUBSTITUTE(AB75,"%","%25"),"&amp;","%26"),"#","%23"),"+","%2B"),"=","%3D"),"?","%3F"),CHAR(34),"%22"),CHAR(10),"%0A"),CHAR(13),"")," ","+")</f>
        <v/>
      </c>
      <c r="AD75" s="32">
        <f>IF(OR(AA75="",AB75=""),"",'Start Here'!$B$20&amp;"#p="&amp;SUBSTITUTE(AA75,"+","%2B")&amp;"&amp;n="&amp;AC75&amp;"&amp;m="&amp;SUBSTITUTE('Start Here'!$B$24,"{name}",AC75))</f>
        <v/>
      </c>
      <c r="AE75" s="32">
        <f>LEN(AD75)</f>
        <v/>
      </c>
      <c r="AF75" s="32">
        <f>IF(AND(TRIM(A75&amp;"")&lt;&gt;"",OR(B75="Awaiting",B75="Not sure yet")),1,0)</f>
        <v/>
      </c>
      <c r="AG75" s="32">
        <f>N(AG74)+AF75</f>
        <v/>
      </c>
      <c r="AH75" s="32">
        <f>IF(AF75=1,AG75,"")</f>
        <v/>
      </c>
      <c r="AI75" s="32">
        <f>IF(AND(TRIM(A75&amp;"")&lt;&gt;"",L75&amp;""&lt;&gt;"",L75&amp;""=Seating!$I$3&amp;"",B75&lt;&gt;"Declined"),1,0)</f>
        <v/>
      </c>
      <c r="AJ75" s="32">
        <f>N(AJ74)+AI75</f>
        <v/>
      </c>
      <c r="AK75" s="32">
        <f>IF(AI75=1,AJ75,"")</f>
        <v/>
      </c>
    </row>
    <row r="76">
      <c r="A76" s="10" t="n"/>
      <c r="B76" s="47">
        <f>IF(TRIM(A76&amp;"")="","",IF(W76&lt;&gt;"",W76,IF(I76="","Awaiting",I76)))</f>
        <v/>
      </c>
      <c r="C76" s="60">
        <f>IF(OR(B76="Awaiting",B76="Not sure yet"),IF(AD76&lt;&gt;"",HYPERLINK(AD76,"💬 Remind"),"add mobile"),"")</f>
        <v/>
      </c>
      <c r="D76" s="58" t="n"/>
      <c r="E76" s="10" t="n"/>
      <c r="F76" s="10" t="n"/>
      <c r="G76" s="10" t="n"/>
      <c r="H76" s="10" t="n"/>
      <c r="I76" s="10" t="n"/>
      <c r="J76" s="10" t="n"/>
      <c r="K76" s="10" t="n"/>
      <c r="L76" s="56" t="n"/>
      <c r="M76" s="10" t="n"/>
      <c r="N76" s="12" t="n"/>
      <c r="O76" s="10" t="n"/>
      <c r="P76" s="10" t="n"/>
      <c r="Q76" s="61">
        <f>IF(V76="","",IF(T76="","Covered by "&amp;INDEX('Form Calc'!$B:$B,V76)&amp;"'s reply (same party)","Replied "&amp;TEXT(INDEX('Form Calc'!$A:$A,T76),"mm/dd")&amp;" · "&amp;INDEX('Form Calc'!$H:$H,T76)&amp;" adult(s), "&amp;INDEX('Form Calc'!$I:$I,T76)&amp;" child(ren)"&amp;IF(INDEX('Form Calc'!$K:$K,T76)&lt;&gt;""," · "&amp;INDEX('Form Calc'!$K:$K,T76),"")&amp;IF(INDEX('Form Calc'!$M:$M,T76)&lt;&gt;""," · “"&amp;INDEX('Form Calc'!$M:$M,T76)&amp;"”","")))</f>
        <v/>
      </c>
      <c r="R76" s="32">
        <f>SUBSTITUTE(SUBSTITUTE(SUBSTITUTE(SUBSTITUTE(SUBSTITUTE(SUBSTITUTE(SUBSTITUTE(SUBSTITUTE(D76&amp;""," ",""),"-",""),"(",""),")",""),".",""),"+",""),"/",""),CHAR(160),"")</f>
        <v/>
      </c>
      <c r="S76" s="32">
        <f>IF(LEN(R76)&gt;=10,RIGHT(R76,10),R76)</f>
        <v/>
      </c>
      <c r="T76" s="32">
        <f>IF(TRIM(A76&amp;"")="","",IF(S76&lt;&gt;"",IFERROR(MATCH(S76,'Form Calc'!$P:$P,0),IFERROR(MATCH(TRIM(A76&amp;""),'Form Calc'!$Q:$Q,0),"")),IFERROR(MATCH(TRIM(A76&amp;""),'Form Calc'!$Q:$Q,0),"")))</f>
        <v/>
      </c>
      <c r="U76" s="32">
        <f>IF(AND(T76&lt;&gt;"",TRIM(E76&amp;"")&lt;&gt;""),TRIM(E76&amp;""),"")</f>
        <v/>
      </c>
      <c r="V76" s="32">
        <f>IF(TRIM(A76&amp;"")="","",IF(T76&lt;&gt;"",T76,IF(TRIM(E76&amp;"")="","",IFERROR(INDEX($T$6:$T$505,MATCH(TRIM(E76&amp;""),$U$6:$U$505,0)),""))))</f>
        <v/>
      </c>
      <c r="W76" s="32">
        <f>IF(V76="","",INDEX('Form Calc'!$G:$G,V76))</f>
        <v/>
      </c>
      <c r="X76" s="32">
        <f>IF(TRIM(A76&amp;"")="","",IF(T76&lt;&gt;"",IF(INDEX('Form Calc'!$K:$K,T76)&lt;&gt;"",INDEX('Form Calc'!$K:$K,T76),J76&amp;""),J76&amp;""))</f>
        <v/>
      </c>
      <c r="Y76" s="32">
        <f>IF(TRIM(A76&amp;"")="","",IF(TRIM(D76&amp;"")&lt;&gt;"",TRIM(D76&amp;""),IF(T76&lt;&gt;"",INDEX('Form Calc'!$C:$C,T76)&amp;"","")))</f>
        <v/>
      </c>
      <c r="Z76" s="32">
        <f>SUBSTITUTE(SUBSTITUTE(SUBSTITUTE(SUBSTITUTE(SUBSTITUTE(SUBSTITUTE(SUBSTITUTE(SUBSTITUTE(Y76," ",""),"-",""),"(",""),")",""),".",""),"+",""),"/",""),CHAR(160),"")</f>
        <v/>
      </c>
      <c r="AA76" s="32">
        <f>IF(Z76="","",IF(LEN(Z76)=10,"+1"&amp;Z76,IF(AND(LEN(Z76)=11,LEFT(Z76,1)="1"),"+"&amp;Z76,IF(LEFT(Y76,1)="+","+"&amp;Z76,Z76))))</f>
        <v/>
      </c>
      <c r="AB76" s="32">
        <f>IF(TRIM(A76&amp;"")="","",IF(TRIM(M76&amp;"")&lt;&gt;"",TRIM(M76&amp;""),IFERROR(LEFT(TRIM(A76&amp;""),FIND(" ",TRIM(A76&amp;""))-1),TRIM(A76&amp;""))))</f>
        <v/>
      </c>
      <c r="AC76" s="32">
        <f>SUBSTITUTE(SUBSTITUTE(SUBSTITUTE(SUBSTITUTE(SUBSTITUTE(SUBSTITUTE(SUBSTITUTE(SUBSTITUTE(SUBSTITUTE(SUBSTITUTE(AB76,"%","%25"),"&amp;","%26"),"#","%23"),"+","%2B"),"=","%3D"),"?","%3F"),CHAR(34),"%22"),CHAR(10),"%0A"),CHAR(13),"")," ","+")</f>
        <v/>
      </c>
      <c r="AD76" s="32">
        <f>IF(OR(AA76="",AB76=""),"",'Start Here'!$B$20&amp;"#p="&amp;SUBSTITUTE(AA76,"+","%2B")&amp;"&amp;n="&amp;AC76&amp;"&amp;m="&amp;SUBSTITUTE('Start Here'!$B$24,"{name}",AC76))</f>
        <v/>
      </c>
      <c r="AE76" s="32">
        <f>LEN(AD76)</f>
        <v/>
      </c>
      <c r="AF76" s="32">
        <f>IF(AND(TRIM(A76&amp;"")&lt;&gt;"",OR(B76="Awaiting",B76="Not sure yet")),1,0)</f>
        <v/>
      </c>
      <c r="AG76" s="32">
        <f>N(AG75)+AF76</f>
        <v/>
      </c>
      <c r="AH76" s="32">
        <f>IF(AF76=1,AG76,"")</f>
        <v/>
      </c>
      <c r="AI76" s="32">
        <f>IF(AND(TRIM(A76&amp;"")&lt;&gt;"",L76&amp;""&lt;&gt;"",L76&amp;""=Seating!$I$3&amp;"",B76&lt;&gt;"Declined"),1,0)</f>
        <v/>
      </c>
      <c r="AJ76" s="32">
        <f>N(AJ75)+AI76</f>
        <v/>
      </c>
      <c r="AK76" s="32">
        <f>IF(AI76=1,AJ76,"")</f>
        <v/>
      </c>
    </row>
    <row r="77">
      <c r="A77" s="10" t="n"/>
      <c r="B77" s="47">
        <f>IF(TRIM(A77&amp;"")="","",IF(W77&lt;&gt;"",W77,IF(I77="","Awaiting",I77)))</f>
        <v/>
      </c>
      <c r="C77" s="60">
        <f>IF(OR(B77="Awaiting",B77="Not sure yet"),IF(AD77&lt;&gt;"",HYPERLINK(AD77,"💬 Remind"),"add mobile"),"")</f>
        <v/>
      </c>
      <c r="D77" s="58" t="n"/>
      <c r="E77" s="10" t="n"/>
      <c r="F77" s="10" t="n"/>
      <c r="G77" s="10" t="n"/>
      <c r="H77" s="10" t="n"/>
      <c r="I77" s="10" t="n"/>
      <c r="J77" s="10" t="n"/>
      <c r="K77" s="10" t="n"/>
      <c r="L77" s="56" t="n"/>
      <c r="M77" s="10" t="n"/>
      <c r="N77" s="12" t="n"/>
      <c r="O77" s="10" t="n"/>
      <c r="P77" s="10" t="n"/>
      <c r="Q77" s="61">
        <f>IF(V77="","",IF(T77="","Covered by "&amp;INDEX('Form Calc'!$B:$B,V77)&amp;"'s reply (same party)","Replied "&amp;TEXT(INDEX('Form Calc'!$A:$A,T77),"mm/dd")&amp;" · "&amp;INDEX('Form Calc'!$H:$H,T77)&amp;" adult(s), "&amp;INDEX('Form Calc'!$I:$I,T77)&amp;" child(ren)"&amp;IF(INDEX('Form Calc'!$K:$K,T77)&lt;&gt;""," · "&amp;INDEX('Form Calc'!$K:$K,T77),"")&amp;IF(INDEX('Form Calc'!$M:$M,T77)&lt;&gt;""," · “"&amp;INDEX('Form Calc'!$M:$M,T77)&amp;"”","")))</f>
        <v/>
      </c>
      <c r="R77" s="32">
        <f>SUBSTITUTE(SUBSTITUTE(SUBSTITUTE(SUBSTITUTE(SUBSTITUTE(SUBSTITUTE(SUBSTITUTE(SUBSTITUTE(D77&amp;""," ",""),"-",""),"(",""),")",""),".",""),"+",""),"/",""),CHAR(160),"")</f>
        <v/>
      </c>
      <c r="S77" s="32">
        <f>IF(LEN(R77)&gt;=10,RIGHT(R77,10),R77)</f>
        <v/>
      </c>
      <c r="T77" s="32">
        <f>IF(TRIM(A77&amp;"")="","",IF(S77&lt;&gt;"",IFERROR(MATCH(S77,'Form Calc'!$P:$P,0),IFERROR(MATCH(TRIM(A77&amp;""),'Form Calc'!$Q:$Q,0),"")),IFERROR(MATCH(TRIM(A77&amp;""),'Form Calc'!$Q:$Q,0),"")))</f>
        <v/>
      </c>
      <c r="U77" s="32">
        <f>IF(AND(T77&lt;&gt;"",TRIM(E77&amp;"")&lt;&gt;""),TRIM(E77&amp;""),"")</f>
        <v/>
      </c>
      <c r="V77" s="32">
        <f>IF(TRIM(A77&amp;"")="","",IF(T77&lt;&gt;"",T77,IF(TRIM(E77&amp;"")="","",IFERROR(INDEX($T$6:$T$505,MATCH(TRIM(E77&amp;""),$U$6:$U$505,0)),""))))</f>
        <v/>
      </c>
      <c r="W77" s="32">
        <f>IF(V77="","",INDEX('Form Calc'!$G:$G,V77))</f>
        <v/>
      </c>
      <c r="X77" s="32">
        <f>IF(TRIM(A77&amp;"")="","",IF(T77&lt;&gt;"",IF(INDEX('Form Calc'!$K:$K,T77)&lt;&gt;"",INDEX('Form Calc'!$K:$K,T77),J77&amp;""),J77&amp;""))</f>
        <v/>
      </c>
      <c r="Y77" s="32">
        <f>IF(TRIM(A77&amp;"")="","",IF(TRIM(D77&amp;"")&lt;&gt;"",TRIM(D77&amp;""),IF(T77&lt;&gt;"",INDEX('Form Calc'!$C:$C,T77)&amp;"","")))</f>
        <v/>
      </c>
      <c r="Z77" s="32">
        <f>SUBSTITUTE(SUBSTITUTE(SUBSTITUTE(SUBSTITUTE(SUBSTITUTE(SUBSTITUTE(SUBSTITUTE(SUBSTITUTE(Y77," ",""),"-",""),"(",""),")",""),".",""),"+",""),"/",""),CHAR(160),"")</f>
        <v/>
      </c>
      <c r="AA77" s="32">
        <f>IF(Z77="","",IF(LEN(Z77)=10,"+1"&amp;Z77,IF(AND(LEN(Z77)=11,LEFT(Z77,1)="1"),"+"&amp;Z77,IF(LEFT(Y77,1)="+","+"&amp;Z77,Z77))))</f>
        <v/>
      </c>
      <c r="AB77" s="32">
        <f>IF(TRIM(A77&amp;"")="","",IF(TRIM(M77&amp;"")&lt;&gt;"",TRIM(M77&amp;""),IFERROR(LEFT(TRIM(A77&amp;""),FIND(" ",TRIM(A77&amp;""))-1),TRIM(A77&amp;""))))</f>
        <v/>
      </c>
      <c r="AC77" s="32">
        <f>SUBSTITUTE(SUBSTITUTE(SUBSTITUTE(SUBSTITUTE(SUBSTITUTE(SUBSTITUTE(SUBSTITUTE(SUBSTITUTE(SUBSTITUTE(SUBSTITUTE(AB77,"%","%25"),"&amp;","%26"),"#","%23"),"+","%2B"),"=","%3D"),"?","%3F"),CHAR(34),"%22"),CHAR(10),"%0A"),CHAR(13),"")," ","+")</f>
        <v/>
      </c>
      <c r="AD77" s="32">
        <f>IF(OR(AA77="",AB77=""),"",'Start Here'!$B$20&amp;"#p="&amp;SUBSTITUTE(AA77,"+","%2B")&amp;"&amp;n="&amp;AC77&amp;"&amp;m="&amp;SUBSTITUTE('Start Here'!$B$24,"{name}",AC77))</f>
        <v/>
      </c>
      <c r="AE77" s="32">
        <f>LEN(AD77)</f>
        <v/>
      </c>
      <c r="AF77" s="32">
        <f>IF(AND(TRIM(A77&amp;"")&lt;&gt;"",OR(B77="Awaiting",B77="Not sure yet")),1,0)</f>
        <v/>
      </c>
      <c r="AG77" s="32">
        <f>N(AG76)+AF77</f>
        <v/>
      </c>
      <c r="AH77" s="32">
        <f>IF(AF77=1,AG77,"")</f>
        <v/>
      </c>
      <c r="AI77" s="32">
        <f>IF(AND(TRIM(A77&amp;"")&lt;&gt;"",L77&amp;""&lt;&gt;"",L77&amp;""=Seating!$I$3&amp;"",B77&lt;&gt;"Declined"),1,0)</f>
        <v/>
      </c>
      <c r="AJ77" s="32">
        <f>N(AJ76)+AI77</f>
        <v/>
      </c>
      <c r="AK77" s="32">
        <f>IF(AI77=1,AJ77,"")</f>
        <v/>
      </c>
    </row>
    <row r="78">
      <c r="A78" s="10" t="n"/>
      <c r="B78" s="47">
        <f>IF(TRIM(A78&amp;"")="","",IF(W78&lt;&gt;"",W78,IF(I78="","Awaiting",I78)))</f>
        <v/>
      </c>
      <c r="C78" s="60">
        <f>IF(OR(B78="Awaiting",B78="Not sure yet"),IF(AD78&lt;&gt;"",HYPERLINK(AD78,"💬 Remind"),"add mobile"),"")</f>
        <v/>
      </c>
      <c r="D78" s="58" t="n"/>
      <c r="E78" s="10" t="n"/>
      <c r="F78" s="10" t="n"/>
      <c r="G78" s="10" t="n"/>
      <c r="H78" s="10" t="n"/>
      <c r="I78" s="10" t="n"/>
      <c r="J78" s="10" t="n"/>
      <c r="K78" s="10" t="n"/>
      <c r="L78" s="56" t="n"/>
      <c r="M78" s="10" t="n"/>
      <c r="N78" s="12" t="n"/>
      <c r="O78" s="10" t="n"/>
      <c r="P78" s="10" t="n"/>
      <c r="Q78" s="61">
        <f>IF(V78="","",IF(T78="","Covered by "&amp;INDEX('Form Calc'!$B:$B,V78)&amp;"'s reply (same party)","Replied "&amp;TEXT(INDEX('Form Calc'!$A:$A,T78),"mm/dd")&amp;" · "&amp;INDEX('Form Calc'!$H:$H,T78)&amp;" adult(s), "&amp;INDEX('Form Calc'!$I:$I,T78)&amp;" child(ren)"&amp;IF(INDEX('Form Calc'!$K:$K,T78)&lt;&gt;""," · "&amp;INDEX('Form Calc'!$K:$K,T78),"")&amp;IF(INDEX('Form Calc'!$M:$M,T78)&lt;&gt;""," · “"&amp;INDEX('Form Calc'!$M:$M,T78)&amp;"”","")))</f>
        <v/>
      </c>
      <c r="R78" s="32">
        <f>SUBSTITUTE(SUBSTITUTE(SUBSTITUTE(SUBSTITUTE(SUBSTITUTE(SUBSTITUTE(SUBSTITUTE(SUBSTITUTE(D78&amp;""," ",""),"-",""),"(",""),")",""),".",""),"+",""),"/",""),CHAR(160),"")</f>
        <v/>
      </c>
      <c r="S78" s="32">
        <f>IF(LEN(R78)&gt;=10,RIGHT(R78,10),R78)</f>
        <v/>
      </c>
      <c r="T78" s="32">
        <f>IF(TRIM(A78&amp;"")="","",IF(S78&lt;&gt;"",IFERROR(MATCH(S78,'Form Calc'!$P:$P,0),IFERROR(MATCH(TRIM(A78&amp;""),'Form Calc'!$Q:$Q,0),"")),IFERROR(MATCH(TRIM(A78&amp;""),'Form Calc'!$Q:$Q,0),"")))</f>
        <v/>
      </c>
      <c r="U78" s="32">
        <f>IF(AND(T78&lt;&gt;"",TRIM(E78&amp;"")&lt;&gt;""),TRIM(E78&amp;""),"")</f>
        <v/>
      </c>
      <c r="V78" s="32">
        <f>IF(TRIM(A78&amp;"")="","",IF(T78&lt;&gt;"",T78,IF(TRIM(E78&amp;"")="","",IFERROR(INDEX($T$6:$T$505,MATCH(TRIM(E78&amp;""),$U$6:$U$505,0)),""))))</f>
        <v/>
      </c>
      <c r="W78" s="32">
        <f>IF(V78="","",INDEX('Form Calc'!$G:$G,V78))</f>
        <v/>
      </c>
      <c r="X78" s="32">
        <f>IF(TRIM(A78&amp;"")="","",IF(T78&lt;&gt;"",IF(INDEX('Form Calc'!$K:$K,T78)&lt;&gt;"",INDEX('Form Calc'!$K:$K,T78),J78&amp;""),J78&amp;""))</f>
        <v/>
      </c>
      <c r="Y78" s="32">
        <f>IF(TRIM(A78&amp;"")="","",IF(TRIM(D78&amp;"")&lt;&gt;"",TRIM(D78&amp;""),IF(T78&lt;&gt;"",INDEX('Form Calc'!$C:$C,T78)&amp;"","")))</f>
        <v/>
      </c>
      <c r="Z78" s="32">
        <f>SUBSTITUTE(SUBSTITUTE(SUBSTITUTE(SUBSTITUTE(SUBSTITUTE(SUBSTITUTE(SUBSTITUTE(SUBSTITUTE(Y78," ",""),"-",""),"(",""),")",""),".",""),"+",""),"/",""),CHAR(160),"")</f>
        <v/>
      </c>
      <c r="AA78" s="32">
        <f>IF(Z78="","",IF(LEN(Z78)=10,"+1"&amp;Z78,IF(AND(LEN(Z78)=11,LEFT(Z78,1)="1"),"+"&amp;Z78,IF(LEFT(Y78,1)="+","+"&amp;Z78,Z78))))</f>
        <v/>
      </c>
      <c r="AB78" s="32">
        <f>IF(TRIM(A78&amp;"")="","",IF(TRIM(M78&amp;"")&lt;&gt;"",TRIM(M78&amp;""),IFERROR(LEFT(TRIM(A78&amp;""),FIND(" ",TRIM(A78&amp;""))-1),TRIM(A78&amp;""))))</f>
        <v/>
      </c>
      <c r="AC78" s="32">
        <f>SUBSTITUTE(SUBSTITUTE(SUBSTITUTE(SUBSTITUTE(SUBSTITUTE(SUBSTITUTE(SUBSTITUTE(SUBSTITUTE(SUBSTITUTE(SUBSTITUTE(AB78,"%","%25"),"&amp;","%26"),"#","%23"),"+","%2B"),"=","%3D"),"?","%3F"),CHAR(34),"%22"),CHAR(10),"%0A"),CHAR(13),"")," ","+")</f>
        <v/>
      </c>
      <c r="AD78" s="32">
        <f>IF(OR(AA78="",AB78=""),"",'Start Here'!$B$20&amp;"#p="&amp;SUBSTITUTE(AA78,"+","%2B")&amp;"&amp;n="&amp;AC78&amp;"&amp;m="&amp;SUBSTITUTE('Start Here'!$B$24,"{name}",AC78))</f>
        <v/>
      </c>
      <c r="AE78" s="32">
        <f>LEN(AD78)</f>
        <v/>
      </c>
      <c r="AF78" s="32">
        <f>IF(AND(TRIM(A78&amp;"")&lt;&gt;"",OR(B78="Awaiting",B78="Not sure yet")),1,0)</f>
        <v/>
      </c>
      <c r="AG78" s="32">
        <f>N(AG77)+AF78</f>
        <v/>
      </c>
      <c r="AH78" s="32">
        <f>IF(AF78=1,AG78,"")</f>
        <v/>
      </c>
      <c r="AI78" s="32">
        <f>IF(AND(TRIM(A78&amp;"")&lt;&gt;"",L78&amp;""&lt;&gt;"",L78&amp;""=Seating!$I$3&amp;"",B78&lt;&gt;"Declined"),1,0)</f>
        <v/>
      </c>
      <c r="AJ78" s="32">
        <f>N(AJ77)+AI78</f>
        <v/>
      </c>
      <c r="AK78" s="32">
        <f>IF(AI78=1,AJ78,"")</f>
        <v/>
      </c>
    </row>
    <row r="79">
      <c r="A79" s="10" t="n"/>
      <c r="B79" s="47">
        <f>IF(TRIM(A79&amp;"")="","",IF(W79&lt;&gt;"",W79,IF(I79="","Awaiting",I79)))</f>
        <v/>
      </c>
      <c r="C79" s="60">
        <f>IF(OR(B79="Awaiting",B79="Not sure yet"),IF(AD79&lt;&gt;"",HYPERLINK(AD79,"💬 Remind"),"add mobile"),"")</f>
        <v/>
      </c>
      <c r="D79" s="58" t="n"/>
      <c r="E79" s="10" t="n"/>
      <c r="F79" s="10" t="n"/>
      <c r="G79" s="10" t="n"/>
      <c r="H79" s="10" t="n"/>
      <c r="I79" s="10" t="n"/>
      <c r="J79" s="10" t="n"/>
      <c r="K79" s="10" t="n"/>
      <c r="L79" s="56" t="n"/>
      <c r="M79" s="10" t="n"/>
      <c r="N79" s="12" t="n"/>
      <c r="O79" s="10" t="n"/>
      <c r="P79" s="10" t="n"/>
      <c r="Q79" s="61">
        <f>IF(V79="","",IF(T79="","Covered by "&amp;INDEX('Form Calc'!$B:$B,V79)&amp;"'s reply (same party)","Replied "&amp;TEXT(INDEX('Form Calc'!$A:$A,T79),"mm/dd")&amp;" · "&amp;INDEX('Form Calc'!$H:$H,T79)&amp;" adult(s), "&amp;INDEX('Form Calc'!$I:$I,T79)&amp;" child(ren)"&amp;IF(INDEX('Form Calc'!$K:$K,T79)&lt;&gt;""," · "&amp;INDEX('Form Calc'!$K:$K,T79),"")&amp;IF(INDEX('Form Calc'!$M:$M,T79)&lt;&gt;""," · “"&amp;INDEX('Form Calc'!$M:$M,T79)&amp;"”","")))</f>
        <v/>
      </c>
      <c r="R79" s="32">
        <f>SUBSTITUTE(SUBSTITUTE(SUBSTITUTE(SUBSTITUTE(SUBSTITUTE(SUBSTITUTE(SUBSTITUTE(SUBSTITUTE(D79&amp;""," ",""),"-",""),"(",""),")",""),".",""),"+",""),"/",""),CHAR(160),"")</f>
        <v/>
      </c>
      <c r="S79" s="32">
        <f>IF(LEN(R79)&gt;=10,RIGHT(R79,10),R79)</f>
        <v/>
      </c>
      <c r="T79" s="32">
        <f>IF(TRIM(A79&amp;"")="","",IF(S79&lt;&gt;"",IFERROR(MATCH(S79,'Form Calc'!$P:$P,0),IFERROR(MATCH(TRIM(A79&amp;""),'Form Calc'!$Q:$Q,0),"")),IFERROR(MATCH(TRIM(A79&amp;""),'Form Calc'!$Q:$Q,0),"")))</f>
        <v/>
      </c>
      <c r="U79" s="32">
        <f>IF(AND(T79&lt;&gt;"",TRIM(E79&amp;"")&lt;&gt;""),TRIM(E79&amp;""),"")</f>
        <v/>
      </c>
      <c r="V79" s="32">
        <f>IF(TRIM(A79&amp;"")="","",IF(T79&lt;&gt;"",T79,IF(TRIM(E79&amp;"")="","",IFERROR(INDEX($T$6:$T$505,MATCH(TRIM(E79&amp;""),$U$6:$U$505,0)),""))))</f>
        <v/>
      </c>
      <c r="W79" s="32">
        <f>IF(V79="","",INDEX('Form Calc'!$G:$G,V79))</f>
        <v/>
      </c>
      <c r="X79" s="32">
        <f>IF(TRIM(A79&amp;"")="","",IF(T79&lt;&gt;"",IF(INDEX('Form Calc'!$K:$K,T79)&lt;&gt;"",INDEX('Form Calc'!$K:$K,T79),J79&amp;""),J79&amp;""))</f>
        <v/>
      </c>
      <c r="Y79" s="32">
        <f>IF(TRIM(A79&amp;"")="","",IF(TRIM(D79&amp;"")&lt;&gt;"",TRIM(D79&amp;""),IF(T79&lt;&gt;"",INDEX('Form Calc'!$C:$C,T79)&amp;"","")))</f>
        <v/>
      </c>
      <c r="Z79" s="32">
        <f>SUBSTITUTE(SUBSTITUTE(SUBSTITUTE(SUBSTITUTE(SUBSTITUTE(SUBSTITUTE(SUBSTITUTE(SUBSTITUTE(Y79," ",""),"-",""),"(",""),")",""),".",""),"+",""),"/",""),CHAR(160),"")</f>
        <v/>
      </c>
      <c r="AA79" s="32">
        <f>IF(Z79="","",IF(LEN(Z79)=10,"+1"&amp;Z79,IF(AND(LEN(Z79)=11,LEFT(Z79,1)="1"),"+"&amp;Z79,IF(LEFT(Y79,1)="+","+"&amp;Z79,Z79))))</f>
        <v/>
      </c>
      <c r="AB79" s="32">
        <f>IF(TRIM(A79&amp;"")="","",IF(TRIM(M79&amp;"")&lt;&gt;"",TRIM(M79&amp;""),IFERROR(LEFT(TRIM(A79&amp;""),FIND(" ",TRIM(A79&amp;""))-1),TRIM(A79&amp;""))))</f>
        <v/>
      </c>
      <c r="AC79" s="32">
        <f>SUBSTITUTE(SUBSTITUTE(SUBSTITUTE(SUBSTITUTE(SUBSTITUTE(SUBSTITUTE(SUBSTITUTE(SUBSTITUTE(SUBSTITUTE(SUBSTITUTE(AB79,"%","%25"),"&amp;","%26"),"#","%23"),"+","%2B"),"=","%3D"),"?","%3F"),CHAR(34),"%22"),CHAR(10),"%0A"),CHAR(13),"")," ","+")</f>
        <v/>
      </c>
      <c r="AD79" s="32">
        <f>IF(OR(AA79="",AB79=""),"",'Start Here'!$B$20&amp;"#p="&amp;SUBSTITUTE(AA79,"+","%2B")&amp;"&amp;n="&amp;AC79&amp;"&amp;m="&amp;SUBSTITUTE('Start Here'!$B$24,"{name}",AC79))</f>
        <v/>
      </c>
      <c r="AE79" s="32">
        <f>LEN(AD79)</f>
        <v/>
      </c>
      <c r="AF79" s="32">
        <f>IF(AND(TRIM(A79&amp;"")&lt;&gt;"",OR(B79="Awaiting",B79="Not sure yet")),1,0)</f>
        <v/>
      </c>
      <c r="AG79" s="32">
        <f>N(AG78)+AF79</f>
        <v/>
      </c>
      <c r="AH79" s="32">
        <f>IF(AF79=1,AG79,"")</f>
        <v/>
      </c>
      <c r="AI79" s="32">
        <f>IF(AND(TRIM(A79&amp;"")&lt;&gt;"",L79&amp;""&lt;&gt;"",L79&amp;""=Seating!$I$3&amp;"",B79&lt;&gt;"Declined"),1,0)</f>
        <v/>
      </c>
      <c r="AJ79" s="32">
        <f>N(AJ78)+AI79</f>
        <v/>
      </c>
      <c r="AK79" s="32">
        <f>IF(AI79=1,AJ79,"")</f>
        <v/>
      </c>
    </row>
    <row r="80">
      <c r="A80" s="10" t="n"/>
      <c r="B80" s="47">
        <f>IF(TRIM(A80&amp;"")="","",IF(W80&lt;&gt;"",W80,IF(I80="","Awaiting",I80)))</f>
        <v/>
      </c>
      <c r="C80" s="60">
        <f>IF(OR(B80="Awaiting",B80="Not sure yet"),IF(AD80&lt;&gt;"",HYPERLINK(AD80,"💬 Remind"),"add mobile"),"")</f>
        <v/>
      </c>
      <c r="D80" s="58" t="n"/>
      <c r="E80" s="10" t="n"/>
      <c r="F80" s="10" t="n"/>
      <c r="G80" s="10" t="n"/>
      <c r="H80" s="10" t="n"/>
      <c r="I80" s="10" t="n"/>
      <c r="J80" s="10" t="n"/>
      <c r="K80" s="10" t="n"/>
      <c r="L80" s="56" t="n"/>
      <c r="M80" s="10" t="n"/>
      <c r="N80" s="12" t="n"/>
      <c r="O80" s="10" t="n"/>
      <c r="P80" s="10" t="n"/>
      <c r="Q80" s="61">
        <f>IF(V80="","",IF(T80="","Covered by "&amp;INDEX('Form Calc'!$B:$B,V80)&amp;"'s reply (same party)","Replied "&amp;TEXT(INDEX('Form Calc'!$A:$A,T80),"mm/dd")&amp;" · "&amp;INDEX('Form Calc'!$H:$H,T80)&amp;" adult(s), "&amp;INDEX('Form Calc'!$I:$I,T80)&amp;" child(ren)"&amp;IF(INDEX('Form Calc'!$K:$K,T80)&lt;&gt;""," · "&amp;INDEX('Form Calc'!$K:$K,T80),"")&amp;IF(INDEX('Form Calc'!$M:$M,T80)&lt;&gt;""," · “"&amp;INDEX('Form Calc'!$M:$M,T80)&amp;"”","")))</f>
        <v/>
      </c>
      <c r="R80" s="32">
        <f>SUBSTITUTE(SUBSTITUTE(SUBSTITUTE(SUBSTITUTE(SUBSTITUTE(SUBSTITUTE(SUBSTITUTE(SUBSTITUTE(D80&amp;""," ",""),"-",""),"(",""),")",""),".",""),"+",""),"/",""),CHAR(160),"")</f>
        <v/>
      </c>
      <c r="S80" s="32">
        <f>IF(LEN(R80)&gt;=10,RIGHT(R80,10),R80)</f>
        <v/>
      </c>
      <c r="T80" s="32">
        <f>IF(TRIM(A80&amp;"")="","",IF(S80&lt;&gt;"",IFERROR(MATCH(S80,'Form Calc'!$P:$P,0),IFERROR(MATCH(TRIM(A80&amp;""),'Form Calc'!$Q:$Q,0),"")),IFERROR(MATCH(TRIM(A80&amp;""),'Form Calc'!$Q:$Q,0),"")))</f>
        <v/>
      </c>
      <c r="U80" s="32">
        <f>IF(AND(T80&lt;&gt;"",TRIM(E80&amp;"")&lt;&gt;""),TRIM(E80&amp;""),"")</f>
        <v/>
      </c>
      <c r="V80" s="32">
        <f>IF(TRIM(A80&amp;"")="","",IF(T80&lt;&gt;"",T80,IF(TRIM(E80&amp;"")="","",IFERROR(INDEX($T$6:$T$505,MATCH(TRIM(E80&amp;""),$U$6:$U$505,0)),""))))</f>
        <v/>
      </c>
      <c r="W80" s="32">
        <f>IF(V80="","",INDEX('Form Calc'!$G:$G,V80))</f>
        <v/>
      </c>
      <c r="X80" s="32">
        <f>IF(TRIM(A80&amp;"")="","",IF(T80&lt;&gt;"",IF(INDEX('Form Calc'!$K:$K,T80)&lt;&gt;"",INDEX('Form Calc'!$K:$K,T80),J80&amp;""),J80&amp;""))</f>
        <v/>
      </c>
      <c r="Y80" s="32">
        <f>IF(TRIM(A80&amp;"")="","",IF(TRIM(D80&amp;"")&lt;&gt;"",TRIM(D80&amp;""),IF(T80&lt;&gt;"",INDEX('Form Calc'!$C:$C,T80)&amp;"","")))</f>
        <v/>
      </c>
      <c r="Z80" s="32">
        <f>SUBSTITUTE(SUBSTITUTE(SUBSTITUTE(SUBSTITUTE(SUBSTITUTE(SUBSTITUTE(SUBSTITUTE(SUBSTITUTE(Y80," ",""),"-",""),"(",""),")",""),".",""),"+",""),"/",""),CHAR(160),"")</f>
        <v/>
      </c>
      <c r="AA80" s="32">
        <f>IF(Z80="","",IF(LEN(Z80)=10,"+1"&amp;Z80,IF(AND(LEN(Z80)=11,LEFT(Z80,1)="1"),"+"&amp;Z80,IF(LEFT(Y80,1)="+","+"&amp;Z80,Z80))))</f>
        <v/>
      </c>
      <c r="AB80" s="32">
        <f>IF(TRIM(A80&amp;"")="","",IF(TRIM(M80&amp;"")&lt;&gt;"",TRIM(M80&amp;""),IFERROR(LEFT(TRIM(A80&amp;""),FIND(" ",TRIM(A80&amp;""))-1),TRIM(A80&amp;""))))</f>
        <v/>
      </c>
      <c r="AC80" s="32">
        <f>SUBSTITUTE(SUBSTITUTE(SUBSTITUTE(SUBSTITUTE(SUBSTITUTE(SUBSTITUTE(SUBSTITUTE(SUBSTITUTE(SUBSTITUTE(SUBSTITUTE(AB80,"%","%25"),"&amp;","%26"),"#","%23"),"+","%2B"),"=","%3D"),"?","%3F"),CHAR(34),"%22"),CHAR(10),"%0A"),CHAR(13),"")," ","+")</f>
        <v/>
      </c>
      <c r="AD80" s="32">
        <f>IF(OR(AA80="",AB80=""),"",'Start Here'!$B$20&amp;"#p="&amp;SUBSTITUTE(AA80,"+","%2B")&amp;"&amp;n="&amp;AC80&amp;"&amp;m="&amp;SUBSTITUTE('Start Here'!$B$24,"{name}",AC80))</f>
        <v/>
      </c>
      <c r="AE80" s="32">
        <f>LEN(AD80)</f>
        <v/>
      </c>
      <c r="AF80" s="32">
        <f>IF(AND(TRIM(A80&amp;"")&lt;&gt;"",OR(B80="Awaiting",B80="Not sure yet")),1,0)</f>
        <v/>
      </c>
      <c r="AG80" s="32">
        <f>N(AG79)+AF80</f>
        <v/>
      </c>
      <c r="AH80" s="32">
        <f>IF(AF80=1,AG80,"")</f>
        <v/>
      </c>
      <c r="AI80" s="32">
        <f>IF(AND(TRIM(A80&amp;"")&lt;&gt;"",L80&amp;""&lt;&gt;"",L80&amp;""=Seating!$I$3&amp;"",B80&lt;&gt;"Declined"),1,0)</f>
        <v/>
      </c>
      <c r="AJ80" s="32">
        <f>N(AJ79)+AI80</f>
        <v/>
      </c>
      <c r="AK80" s="32">
        <f>IF(AI80=1,AJ80,"")</f>
        <v/>
      </c>
    </row>
    <row r="81">
      <c r="A81" s="10" t="n"/>
      <c r="B81" s="47">
        <f>IF(TRIM(A81&amp;"")="","",IF(W81&lt;&gt;"",W81,IF(I81="","Awaiting",I81)))</f>
        <v/>
      </c>
      <c r="C81" s="60">
        <f>IF(OR(B81="Awaiting",B81="Not sure yet"),IF(AD81&lt;&gt;"",HYPERLINK(AD81,"💬 Remind"),"add mobile"),"")</f>
        <v/>
      </c>
      <c r="D81" s="58" t="n"/>
      <c r="E81" s="10" t="n"/>
      <c r="F81" s="10" t="n"/>
      <c r="G81" s="10" t="n"/>
      <c r="H81" s="10" t="n"/>
      <c r="I81" s="10" t="n"/>
      <c r="J81" s="10" t="n"/>
      <c r="K81" s="10" t="n"/>
      <c r="L81" s="56" t="n"/>
      <c r="M81" s="10" t="n"/>
      <c r="N81" s="12" t="n"/>
      <c r="O81" s="10" t="n"/>
      <c r="P81" s="10" t="n"/>
      <c r="Q81" s="61">
        <f>IF(V81="","",IF(T81="","Covered by "&amp;INDEX('Form Calc'!$B:$B,V81)&amp;"'s reply (same party)","Replied "&amp;TEXT(INDEX('Form Calc'!$A:$A,T81),"mm/dd")&amp;" · "&amp;INDEX('Form Calc'!$H:$H,T81)&amp;" adult(s), "&amp;INDEX('Form Calc'!$I:$I,T81)&amp;" child(ren)"&amp;IF(INDEX('Form Calc'!$K:$K,T81)&lt;&gt;""," · "&amp;INDEX('Form Calc'!$K:$K,T81),"")&amp;IF(INDEX('Form Calc'!$M:$M,T81)&lt;&gt;""," · “"&amp;INDEX('Form Calc'!$M:$M,T81)&amp;"”","")))</f>
        <v/>
      </c>
      <c r="R81" s="32">
        <f>SUBSTITUTE(SUBSTITUTE(SUBSTITUTE(SUBSTITUTE(SUBSTITUTE(SUBSTITUTE(SUBSTITUTE(SUBSTITUTE(D81&amp;""," ",""),"-",""),"(",""),")",""),".",""),"+",""),"/",""),CHAR(160),"")</f>
        <v/>
      </c>
      <c r="S81" s="32">
        <f>IF(LEN(R81)&gt;=10,RIGHT(R81,10),R81)</f>
        <v/>
      </c>
      <c r="T81" s="32">
        <f>IF(TRIM(A81&amp;"")="","",IF(S81&lt;&gt;"",IFERROR(MATCH(S81,'Form Calc'!$P:$P,0),IFERROR(MATCH(TRIM(A81&amp;""),'Form Calc'!$Q:$Q,0),"")),IFERROR(MATCH(TRIM(A81&amp;""),'Form Calc'!$Q:$Q,0),"")))</f>
        <v/>
      </c>
      <c r="U81" s="32">
        <f>IF(AND(T81&lt;&gt;"",TRIM(E81&amp;"")&lt;&gt;""),TRIM(E81&amp;""),"")</f>
        <v/>
      </c>
      <c r="V81" s="32">
        <f>IF(TRIM(A81&amp;"")="","",IF(T81&lt;&gt;"",T81,IF(TRIM(E81&amp;"")="","",IFERROR(INDEX($T$6:$T$505,MATCH(TRIM(E81&amp;""),$U$6:$U$505,0)),""))))</f>
        <v/>
      </c>
      <c r="W81" s="32">
        <f>IF(V81="","",INDEX('Form Calc'!$G:$G,V81))</f>
        <v/>
      </c>
      <c r="X81" s="32">
        <f>IF(TRIM(A81&amp;"")="","",IF(T81&lt;&gt;"",IF(INDEX('Form Calc'!$K:$K,T81)&lt;&gt;"",INDEX('Form Calc'!$K:$K,T81),J81&amp;""),J81&amp;""))</f>
        <v/>
      </c>
      <c r="Y81" s="32">
        <f>IF(TRIM(A81&amp;"")="","",IF(TRIM(D81&amp;"")&lt;&gt;"",TRIM(D81&amp;""),IF(T81&lt;&gt;"",INDEX('Form Calc'!$C:$C,T81)&amp;"","")))</f>
        <v/>
      </c>
      <c r="Z81" s="32">
        <f>SUBSTITUTE(SUBSTITUTE(SUBSTITUTE(SUBSTITUTE(SUBSTITUTE(SUBSTITUTE(SUBSTITUTE(SUBSTITUTE(Y81," ",""),"-",""),"(",""),")",""),".",""),"+",""),"/",""),CHAR(160),"")</f>
        <v/>
      </c>
      <c r="AA81" s="32">
        <f>IF(Z81="","",IF(LEN(Z81)=10,"+1"&amp;Z81,IF(AND(LEN(Z81)=11,LEFT(Z81,1)="1"),"+"&amp;Z81,IF(LEFT(Y81,1)="+","+"&amp;Z81,Z81))))</f>
        <v/>
      </c>
      <c r="AB81" s="32">
        <f>IF(TRIM(A81&amp;"")="","",IF(TRIM(M81&amp;"")&lt;&gt;"",TRIM(M81&amp;""),IFERROR(LEFT(TRIM(A81&amp;""),FIND(" ",TRIM(A81&amp;""))-1),TRIM(A81&amp;""))))</f>
        <v/>
      </c>
      <c r="AC81" s="32">
        <f>SUBSTITUTE(SUBSTITUTE(SUBSTITUTE(SUBSTITUTE(SUBSTITUTE(SUBSTITUTE(SUBSTITUTE(SUBSTITUTE(SUBSTITUTE(SUBSTITUTE(AB81,"%","%25"),"&amp;","%26"),"#","%23"),"+","%2B"),"=","%3D"),"?","%3F"),CHAR(34),"%22"),CHAR(10),"%0A"),CHAR(13),"")," ","+")</f>
        <v/>
      </c>
      <c r="AD81" s="32">
        <f>IF(OR(AA81="",AB81=""),"",'Start Here'!$B$20&amp;"#p="&amp;SUBSTITUTE(AA81,"+","%2B")&amp;"&amp;n="&amp;AC81&amp;"&amp;m="&amp;SUBSTITUTE('Start Here'!$B$24,"{name}",AC81))</f>
        <v/>
      </c>
      <c r="AE81" s="32">
        <f>LEN(AD81)</f>
        <v/>
      </c>
      <c r="AF81" s="32">
        <f>IF(AND(TRIM(A81&amp;"")&lt;&gt;"",OR(B81="Awaiting",B81="Not sure yet")),1,0)</f>
        <v/>
      </c>
      <c r="AG81" s="32">
        <f>N(AG80)+AF81</f>
        <v/>
      </c>
      <c r="AH81" s="32">
        <f>IF(AF81=1,AG81,"")</f>
        <v/>
      </c>
      <c r="AI81" s="32">
        <f>IF(AND(TRIM(A81&amp;"")&lt;&gt;"",L81&amp;""&lt;&gt;"",L81&amp;""=Seating!$I$3&amp;"",B81&lt;&gt;"Declined"),1,0)</f>
        <v/>
      </c>
      <c r="AJ81" s="32">
        <f>N(AJ80)+AI81</f>
        <v/>
      </c>
      <c r="AK81" s="32">
        <f>IF(AI81=1,AJ81,"")</f>
        <v/>
      </c>
    </row>
    <row r="82">
      <c r="A82" s="10" t="n"/>
      <c r="B82" s="47">
        <f>IF(TRIM(A82&amp;"")="","",IF(W82&lt;&gt;"",W82,IF(I82="","Awaiting",I82)))</f>
        <v/>
      </c>
      <c r="C82" s="60">
        <f>IF(OR(B82="Awaiting",B82="Not sure yet"),IF(AD82&lt;&gt;"",HYPERLINK(AD82,"💬 Remind"),"add mobile"),"")</f>
        <v/>
      </c>
      <c r="D82" s="58" t="n"/>
      <c r="E82" s="10" t="n"/>
      <c r="F82" s="10" t="n"/>
      <c r="G82" s="10" t="n"/>
      <c r="H82" s="10" t="n"/>
      <c r="I82" s="10" t="n"/>
      <c r="J82" s="10" t="n"/>
      <c r="K82" s="10" t="n"/>
      <c r="L82" s="56" t="n"/>
      <c r="M82" s="10" t="n"/>
      <c r="N82" s="12" t="n"/>
      <c r="O82" s="10" t="n"/>
      <c r="P82" s="10" t="n"/>
      <c r="Q82" s="61">
        <f>IF(V82="","",IF(T82="","Covered by "&amp;INDEX('Form Calc'!$B:$B,V82)&amp;"'s reply (same party)","Replied "&amp;TEXT(INDEX('Form Calc'!$A:$A,T82),"mm/dd")&amp;" · "&amp;INDEX('Form Calc'!$H:$H,T82)&amp;" adult(s), "&amp;INDEX('Form Calc'!$I:$I,T82)&amp;" child(ren)"&amp;IF(INDEX('Form Calc'!$K:$K,T82)&lt;&gt;""," · "&amp;INDEX('Form Calc'!$K:$K,T82),"")&amp;IF(INDEX('Form Calc'!$M:$M,T82)&lt;&gt;""," · “"&amp;INDEX('Form Calc'!$M:$M,T82)&amp;"”","")))</f>
        <v/>
      </c>
      <c r="R82" s="32">
        <f>SUBSTITUTE(SUBSTITUTE(SUBSTITUTE(SUBSTITUTE(SUBSTITUTE(SUBSTITUTE(SUBSTITUTE(SUBSTITUTE(D82&amp;""," ",""),"-",""),"(",""),")",""),".",""),"+",""),"/",""),CHAR(160),"")</f>
        <v/>
      </c>
      <c r="S82" s="32">
        <f>IF(LEN(R82)&gt;=10,RIGHT(R82,10),R82)</f>
        <v/>
      </c>
      <c r="T82" s="32">
        <f>IF(TRIM(A82&amp;"")="","",IF(S82&lt;&gt;"",IFERROR(MATCH(S82,'Form Calc'!$P:$P,0),IFERROR(MATCH(TRIM(A82&amp;""),'Form Calc'!$Q:$Q,0),"")),IFERROR(MATCH(TRIM(A82&amp;""),'Form Calc'!$Q:$Q,0),"")))</f>
        <v/>
      </c>
      <c r="U82" s="32">
        <f>IF(AND(T82&lt;&gt;"",TRIM(E82&amp;"")&lt;&gt;""),TRIM(E82&amp;""),"")</f>
        <v/>
      </c>
      <c r="V82" s="32">
        <f>IF(TRIM(A82&amp;"")="","",IF(T82&lt;&gt;"",T82,IF(TRIM(E82&amp;"")="","",IFERROR(INDEX($T$6:$T$505,MATCH(TRIM(E82&amp;""),$U$6:$U$505,0)),""))))</f>
        <v/>
      </c>
      <c r="W82" s="32">
        <f>IF(V82="","",INDEX('Form Calc'!$G:$G,V82))</f>
        <v/>
      </c>
      <c r="X82" s="32">
        <f>IF(TRIM(A82&amp;"")="","",IF(T82&lt;&gt;"",IF(INDEX('Form Calc'!$K:$K,T82)&lt;&gt;"",INDEX('Form Calc'!$K:$K,T82),J82&amp;""),J82&amp;""))</f>
        <v/>
      </c>
      <c r="Y82" s="32">
        <f>IF(TRIM(A82&amp;"")="","",IF(TRIM(D82&amp;"")&lt;&gt;"",TRIM(D82&amp;""),IF(T82&lt;&gt;"",INDEX('Form Calc'!$C:$C,T82)&amp;"","")))</f>
        <v/>
      </c>
      <c r="Z82" s="32">
        <f>SUBSTITUTE(SUBSTITUTE(SUBSTITUTE(SUBSTITUTE(SUBSTITUTE(SUBSTITUTE(SUBSTITUTE(SUBSTITUTE(Y82," ",""),"-",""),"(",""),")",""),".",""),"+",""),"/",""),CHAR(160),"")</f>
        <v/>
      </c>
      <c r="AA82" s="32">
        <f>IF(Z82="","",IF(LEN(Z82)=10,"+1"&amp;Z82,IF(AND(LEN(Z82)=11,LEFT(Z82,1)="1"),"+"&amp;Z82,IF(LEFT(Y82,1)="+","+"&amp;Z82,Z82))))</f>
        <v/>
      </c>
      <c r="AB82" s="32">
        <f>IF(TRIM(A82&amp;"")="","",IF(TRIM(M82&amp;"")&lt;&gt;"",TRIM(M82&amp;""),IFERROR(LEFT(TRIM(A82&amp;""),FIND(" ",TRIM(A82&amp;""))-1),TRIM(A82&amp;""))))</f>
        <v/>
      </c>
      <c r="AC82" s="32">
        <f>SUBSTITUTE(SUBSTITUTE(SUBSTITUTE(SUBSTITUTE(SUBSTITUTE(SUBSTITUTE(SUBSTITUTE(SUBSTITUTE(SUBSTITUTE(SUBSTITUTE(AB82,"%","%25"),"&amp;","%26"),"#","%23"),"+","%2B"),"=","%3D"),"?","%3F"),CHAR(34),"%22"),CHAR(10),"%0A"),CHAR(13),"")," ","+")</f>
        <v/>
      </c>
      <c r="AD82" s="32">
        <f>IF(OR(AA82="",AB82=""),"",'Start Here'!$B$20&amp;"#p="&amp;SUBSTITUTE(AA82,"+","%2B")&amp;"&amp;n="&amp;AC82&amp;"&amp;m="&amp;SUBSTITUTE('Start Here'!$B$24,"{name}",AC82))</f>
        <v/>
      </c>
      <c r="AE82" s="32">
        <f>LEN(AD82)</f>
        <v/>
      </c>
      <c r="AF82" s="32">
        <f>IF(AND(TRIM(A82&amp;"")&lt;&gt;"",OR(B82="Awaiting",B82="Not sure yet")),1,0)</f>
        <v/>
      </c>
      <c r="AG82" s="32">
        <f>N(AG81)+AF82</f>
        <v/>
      </c>
      <c r="AH82" s="32">
        <f>IF(AF82=1,AG82,"")</f>
        <v/>
      </c>
      <c r="AI82" s="32">
        <f>IF(AND(TRIM(A82&amp;"")&lt;&gt;"",L82&amp;""&lt;&gt;"",L82&amp;""=Seating!$I$3&amp;"",B82&lt;&gt;"Declined"),1,0)</f>
        <v/>
      </c>
      <c r="AJ82" s="32">
        <f>N(AJ81)+AI82</f>
        <v/>
      </c>
      <c r="AK82" s="32">
        <f>IF(AI82=1,AJ82,"")</f>
        <v/>
      </c>
    </row>
    <row r="83">
      <c r="A83" s="10" t="n"/>
      <c r="B83" s="47">
        <f>IF(TRIM(A83&amp;"")="","",IF(W83&lt;&gt;"",W83,IF(I83="","Awaiting",I83)))</f>
        <v/>
      </c>
      <c r="C83" s="60">
        <f>IF(OR(B83="Awaiting",B83="Not sure yet"),IF(AD83&lt;&gt;"",HYPERLINK(AD83,"💬 Remind"),"add mobile"),"")</f>
        <v/>
      </c>
      <c r="D83" s="58" t="n"/>
      <c r="E83" s="10" t="n"/>
      <c r="F83" s="10" t="n"/>
      <c r="G83" s="10" t="n"/>
      <c r="H83" s="10" t="n"/>
      <c r="I83" s="10" t="n"/>
      <c r="J83" s="10" t="n"/>
      <c r="K83" s="10" t="n"/>
      <c r="L83" s="56" t="n"/>
      <c r="M83" s="10" t="n"/>
      <c r="N83" s="12" t="n"/>
      <c r="O83" s="10" t="n"/>
      <c r="P83" s="10" t="n"/>
      <c r="Q83" s="61">
        <f>IF(V83="","",IF(T83="","Covered by "&amp;INDEX('Form Calc'!$B:$B,V83)&amp;"'s reply (same party)","Replied "&amp;TEXT(INDEX('Form Calc'!$A:$A,T83),"mm/dd")&amp;" · "&amp;INDEX('Form Calc'!$H:$H,T83)&amp;" adult(s), "&amp;INDEX('Form Calc'!$I:$I,T83)&amp;" child(ren)"&amp;IF(INDEX('Form Calc'!$K:$K,T83)&lt;&gt;""," · "&amp;INDEX('Form Calc'!$K:$K,T83),"")&amp;IF(INDEX('Form Calc'!$M:$M,T83)&lt;&gt;""," · “"&amp;INDEX('Form Calc'!$M:$M,T83)&amp;"”","")))</f>
        <v/>
      </c>
      <c r="R83" s="32">
        <f>SUBSTITUTE(SUBSTITUTE(SUBSTITUTE(SUBSTITUTE(SUBSTITUTE(SUBSTITUTE(SUBSTITUTE(SUBSTITUTE(D83&amp;""," ",""),"-",""),"(",""),")",""),".",""),"+",""),"/",""),CHAR(160),"")</f>
        <v/>
      </c>
      <c r="S83" s="32">
        <f>IF(LEN(R83)&gt;=10,RIGHT(R83,10),R83)</f>
        <v/>
      </c>
      <c r="T83" s="32">
        <f>IF(TRIM(A83&amp;"")="","",IF(S83&lt;&gt;"",IFERROR(MATCH(S83,'Form Calc'!$P:$P,0),IFERROR(MATCH(TRIM(A83&amp;""),'Form Calc'!$Q:$Q,0),"")),IFERROR(MATCH(TRIM(A83&amp;""),'Form Calc'!$Q:$Q,0),"")))</f>
        <v/>
      </c>
      <c r="U83" s="32">
        <f>IF(AND(T83&lt;&gt;"",TRIM(E83&amp;"")&lt;&gt;""),TRIM(E83&amp;""),"")</f>
        <v/>
      </c>
      <c r="V83" s="32">
        <f>IF(TRIM(A83&amp;"")="","",IF(T83&lt;&gt;"",T83,IF(TRIM(E83&amp;"")="","",IFERROR(INDEX($T$6:$T$505,MATCH(TRIM(E83&amp;""),$U$6:$U$505,0)),""))))</f>
        <v/>
      </c>
      <c r="W83" s="32">
        <f>IF(V83="","",INDEX('Form Calc'!$G:$G,V83))</f>
        <v/>
      </c>
      <c r="X83" s="32">
        <f>IF(TRIM(A83&amp;"")="","",IF(T83&lt;&gt;"",IF(INDEX('Form Calc'!$K:$K,T83)&lt;&gt;"",INDEX('Form Calc'!$K:$K,T83),J83&amp;""),J83&amp;""))</f>
        <v/>
      </c>
      <c r="Y83" s="32">
        <f>IF(TRIM(A83&amp;"")="","",IF(TRIM(D83&amp;"")&lt;&gt;"",TRIM(D83&amp;""),IF(T83&lt;&gt;"",INDEX('Form Calc'!$C:$C,T83)&amp;"","")))</f>
        <v/>
      </c>
      <c r="Z83" s="32">
        <f>SUBSTITUTE(SUBSTITUTE(SUBSTITUTE(SUBSTITUTE(SUBSTITUTE(SUBSTITUTE(SUBSTITUTE(SUBSTITUTE(Y83," ",""),"-",""),"(",""),")",""),".",""),"+",""),"/",""),CHAR(160),"")</f>
        <v/>
      </c>
      <c r="AA83" s="32">
        <f>IF(Z83="","",IF(LEN(Z83)=10,"+1"&amp;Z83,IF(AND(LEN(Z83)=11,LEFT(Z83,1)="1"),"+"&amp;Z83,IF(LEFT(Y83,1)="+","+"&amp;Z83,Z83))))</f>
        <v/>
      </c>
      <c r="AB83" s="32">
        <f>IF(TRIM(A83&amp;"")="","",IF(TRIM(M83&amp;"")&lt;&gt;"",TRIM(M83&amp;""),IFERROR(LEFT(TRIM(A83&amp;""),FIND(" ",TRIM(A83&amp;""))-1),TRIM(A83&amp;""))))</f>
        <v/>
      </c>
      <c r="AC83" s="32">
        <f>SUBSTITUTE(SUBSTITUTE(SUBSTITUTE(SUBSTITUTE(SUBSTITUTE(SUBSTITUTE(SUBSTITUTE(SUBSTITUTE(SUBSTITUTE(SUBSTITUTE(AB83,"%","%25"),"&amp;","%26"),"#","%23"),"+","%2B"),"=","%3D"),"?","%3F"),CHAR(34),"%22"),CHAR(10),"%0A"),CHAR(13),"")," ","+")</f>
        <v/>
      </c>
      <c r="AD83" s="32">
        <f>IF(OR(AA83="",AB83=""),"",'Start Here'!$B$20&amp;"#p="&amp;SUBSTITUTE(AA83,"+","%2B")&amp;"&amp;n="&amp;AC83&amp;"&amp;m="&amp;SUBSTITUTE('Start Here'!$B$24,"{name}",AC83))</f>
        <v/>
      </c>
      <c r="AE83" s="32">
        <f>LEN(AD83)</f>
        <v/>
      </c>
      <c r="AF83" s="32">
        <f>IF(AND(TRIM(A83&amp;"")&lt;&gt;"",OR(B83="Awaiting",B83="Not sure yet")),1,0)</f>
        <v/>
      </c>
      <c r="AG83" s="32">
        <f>N(AG82)+AF83</f>
        <v/>
      </c>
      <c r="AH83" s="32">
        <f>IF(AF83=1,AG83,"")</f>
        <v/>
      </c>
      <c r="AI83" s="32">
        <f>IF(AND(TRIM(A83&amp;"")&lt;&gt;"",L83&amp;""&lt;&gt;"",L83&amp;""=Seating!$I$3&amp;"",B83&lt;&gt;"Declined"),1,0)</f>
        <v/>
      </c>
      <c r="AJ83" s="32">
        <f>N(AJ82)+AI83</f>
        <v/>
      </c>
      <c r="AK83" s="32">
        <f>IF(AI83=1,AJ83,"")</f>
        <v/>
      </c>
    </row>
    <row r="84">
      <c r="A84" s="10" t="n"/>
      <c r="B84" s="47">
        <f>IF(TRIM(A84&amp;"")="","",IF(W84&lt;&gt;"",W84,IF(I84="","Awaiting",I84)))</f>
        <v/>
      </c>
      <c r="C84" s="60">
        <f>IF(OR(B84="Awaiting",B84="Not sure yet"),IF(AD84&lt;&gt;"",HYPERLINK(AD84,"💬 Remind"),"add mobile"),"")</f>
        <v/>
      </c>
      <c r="D84" s="58" t="n"/>
      <c r="E84" s="10" t="n"/>
      <c r="F84" s="10" t="n"/>
      <c r="G84" s="10" t="n"/>
      <c r="H84" s="10" t="n"/>
      <c r="I84" s="10" t="n"/>
      <c r="J84" s="10" t="n"/>
      <c r="K84" s="10" t="n"/>
      <c r="L84" s="56" t="n"/>
      <c r="M84" s="10" t="n"/>
      <c r="N84" s="12" t="n"/>
      <c r="O84" s="10" t="n"/>
      <c r="P84" s="10" t="n"/>
      <c r="Q84" s="61">
        <f>IF(V84="","",IF(T84="","Covered by "&amp;INDEX('Form Calc'!$B:$B,V84)&amp;"'s reply (same party)","Replied "&amp;TEXT(INDEX('Form Calc'!$A:$A,T84),"mm/dd")&amp;" · "&amp;INDEX('Form Calc'!$H:$H,T84)&amp;" adult(s), "&amp;INDEX('Form Calc'!$I:$I,T84)&amp;" child(ren)"&amp;IF(INDEX('Form Calc'!$K:$K,T84)&lt;&gt;""," · "&amp;INDEX('Form Calc'!$K:$K,T84),"")&amp;IF(INDEX('Form Calc'!$M:$M,T84)&lt;&gt;""," · “"&amp;INDEX('Form Calc'!$M:$M,T84)&amp;"”","")))</f>
        <v/>
      </c>
      <c r="R84" s="32">
        <f>SUBSTITUTE(SUBSTITUTE(SUBSTITUTE(SUBSTITUTE(SUBSTITUTE(SUBSTITUTE(SUBSTITUTE(SUBSTITUTE(D84&amp;""," ",""),"-",""),"(",""),")",""),".",""),"+",""),"/",""),CHAR(160),"")</f>
        <v/>
      </c>
      <c r="S84" s="32">
        <f>IF(LEN(R84)&gt;=10,RIGHT(R84,10),R84)</f>
        <v/>
      </c>
      <c r="T84" s="32">
        <f>IF(TRIM(A84&amp;"")="","",IF(S84&lt;&gt;"",IFERROR(MATCH(S84,'Form Calc'!$P:$P,0),IFERROR(MATCH(TRIM(A84&amp;""),'Form Calc'!$Q:$Q,0),"")),IFERROR(MATCH(TRIM(A84&amp;""),'Form Calc'!$Q:$Q,0),"")))</f>
        <v/>
      </c>
      <c r="U84" s="32">
        <f>IF(AND(T84&lt;&gt;"",TRIM(E84&amp;"")&lt;&gt;""),TRIM(E84&amp;""),"")</f>
        <v/>
      </c>
      <c r="V84" s="32">
        <f>IF(TRIM(A84&amp;"")="","",IF(T84&lt;&gt;"",T84,IF(TRIM(E84&amp;"")="","",IFERROR(INDEX($T$6:$T$505,MATCH(TRIM(E84&amp;""),$U$6:$U$505,0)),""))))</f>
        <v/>
      </c>
      <c r="W84" s="32">
        <f>IF(V84="","",INDEX('Form Calc'!$G:$G,V84))</f>
        <v/>
      </c>
      <c r="X84" s="32">
        <f>IF(TRIM(A84&amp;"")="","",IF(T84&lt;&gt;"",IF(INDEX('Form Calc'!$K:$K,T84)&lt;&gt;"",INDEX('Form Calc'!$K:$K,T84),J84&amp;""),J84&amp;""))</f>
        <v/>
      </c>
      <c r="Y84" s="32">
        <f>IF(TRIM(A84&amp;"")="","",IF(TRIM(D84&amp;"")&lt;&gt;"",TRIM(D84&amp;""),IF(T84&lt;&gt;"",INDEX('Form Calc'!$C:$C,T84)&amp;"","")))</f>
        <v/>
      </c>
      <c r="Z84" s="32">
        <f>SUBSTITUTE(SUBSTITUTE(SUBSTITUTE(SUBSTITUTE(SUBSTITUTE(SUBSTITUTE(SUBSTITUTE(SUBSTITUTE(Y84," ",""),"-",""),"(",""),")",""),".",""),"+",""),"/",""),CHAR(160),"")</f>
        <v/>
      </c>
      <c r="AA84" s="32">
        <f>IF(Z84="","",IF(LEN(Z84)=10,"+1"&amp;Z84,IF(AND(LEN(Z84)=11,LEFT(Z84,1)="1"),"+"&amp;Z84,IF(LEFT(Y84,1)="+","+"&amp;Z84,Z84))))</f>
        <v/>
      </c>
      <c r="AB84" s="32">
        <f>IF(TRIM(A84&amp;"")="","",IF(TRIM(M84&amp;"")&lt;&gt;"",TRIM(M84&amp;""),IFERROR(LEFT(TRIM(A84&amp;""),FIND(" ",TRIM(A84&amp;""))-1),TRIM(A84&amp;""))))</f>
        <v/>
      </c>
      <c r="AC84" s="32">
        <f>SUBSTITUTE(SUBSTITUTE(SUBSTITUTE(SUBSTITUTE(SUBSTITUTE(SUBSTITUTE(SUBSTITUTE(SUBSTITUTE(SUBSTITUTE(SUBSTITUTE(AB84,"%","%25"),"&amp;","%26"),"#","%23"),"+","%2B"),"=","%3D"),"?","%3F"),CHAR(34),"%22"),CHAR(10),"%0A"),CHAR(13),"")," ","+")</f>
        <v/>
      </c>
      <c r="AD84" s="32">
        <f>IF(OR(AA84="",AB84=""),"",'Start Here'!$B$20&amp;"#p="&amp;SUBSTITUTE(AA84,"+","%2B")&amp;"&amp;n="&amp;AC84&amp;"&amp;m="&amp;SUBSTITUTE('Start Here'!$B$24,"{name}",AC84))</f>
        <v/>
      </c>
      <c r="AE84" s="32">
        <f>LEN(AD84)</f>
        <v/>
      </c>
      <c r="AF84" s="32">
        <f>IF(AND(TRIM(A84&amp;"")&lt;&gt;"",OR(B84="Awaiting",B84="Not sure yet")),1,0)</f>
        <v/>
      </c>
      <c r="AG84" s="32">
        <f>N(AG83)+AF84</f>
        <v/>
      </c>
      <c r="AH84" s="32">
        <f>IF(AF84=1,AG84,"")</f>
        <v/>
      </c>
      <c r="AI84" s="32">
        <f>IF(AND(TRIM(A84&amp;"")&lt;&gt;"",L84&amp;""&lt;&gt;"",L84&amp;""=Seating!$I$3&amp;"",B84&lt;&gt;"Declined"),1,0)</f>
        <v/>
      </c>
      <c r="AJ84" s="32">
        <f>N(AJ83)+AI84</f>
        <v/>
      </c>
      <c r="AK84" s="32">
        <f>IF(AI84=1,AJ84,"")</f>
        <v/>
      </c>
    </row>
    <row r="85">
      <c r="A85" s="10" t="n"/>
      <c r="B85" s="47">
        <f>IF(TRIM(A85&amp;"")="","",IF(W85&lt;&gt;"",W85,IF(I85="","Awaiting",I85)))</f>
        <v/>
      </c>
      <c r="C85" s="60">
        <f>IF(OR(B85="Awaiting",B85="Not sure yet"),IF(AD85&lt;&gt;"",HYPERLINK(AD85,"💬 Remind"),"add mobile"),"")</f>
        <v/>
      </c>
      <c r="D85" s="58" t="n"/>
      <c r="E85" s="10" t="n"/>
      <c r="F85" s="10" t="n"/>
      <c r="G85" s="10" t="n"/>
      <c r="H85" s="10" t="n"/>
      <c r="I85" s="10" t="n"/>
      <c r="J85" s="10" t="n"/>
      <c r="K85" s="10" t="n"/>
      <c r="L85" s="56" t="n"/>
      <c r="M85" s="10" t="n"/>
      <c r="N85" s="12" t="n"/>
      <c r="O85" s="10" t="n"/>
      <c r="P85" s="10" t="n"/>
      <c r="Q85" s="61">
        <f>IF(V85="","",IF(T85="","Covered by "&amp;INDEX('Form Calc'!$B:$B,V85)&amp;"'s reply (same party)","Replied "&amp;TEXT(INDEX('Form Calc'!$A:$A,T85),"mm/dd")&amp;" · "&amp;INDEX('Form Calc'!$H:$H,T85)&amp;" adult(s), "&amp;INDEX('Form Calc'!$I:$I,T85)&amp;" child(ren)"&amp;IF(INDEX('Form Calc'!$K:$K,T85)&lt;&gt;""," · "&amp;INDEX('Form Calc'!$K:$K,T85),"")&amp;IF(INDEX('Form Calc'!$M:$M,T85)&lt;&gt;""," · “"&amp;INDEX('Form Calc'!$M:$M,T85)&amp;"”","")))</f>
        <v/>
      </c>
      <c r="R85" s="32">
        <f>SUBSTITUTE(SUBSTITUTE(SUBSTITUTE(SUBSTITUTE(SUBSTITUTE(SUBSTITUTE(SUBSTITUTE(SUBSTITUTE(D85&amp;""," ",""),"-",""),"(",""),")",""),".",""),"+",""),"/",""),CHAR(160),"")</f>
        <v/>
      </c>
      <c r="S85" s="32">
        <f>IF(LEN(R85)&gt;=10,RIGHT(R85,10),R85)</f>
        <v/>
      </c>
      <c r="T85" s="32">
        <f>IF(TRIM(A85&amp;"")="","",IF(S85&lt;&gt;"",IFERROR(MATCH(S85,'Form Calc'!$P:$P,0),IFERROR(MATCH(TRIM(A85&amp;""),'Form Calc'!$Q:$Q,0),"")),IFERROR(MATCH(TRIM(A85&amp;""),'Form Calc'!$Q:$Q,0),"")))</f>
        <v/>
      </c>
      <c r="U85" s="32">
        <f>IF(AND(T85&lt;&gt;"",TRIM(E85&amp;"")&lt;&gt;""),TRIM(E85&amp;""),"")</f>
        <v/>
      </c>
      <c r="V85" s="32">
        <f>IF(TRIM(A85&amp;"")="","",IF(T85&lt;&gt;"",T85,IF(TRIM(E85&amp;"")="","",IFERROR(INDEX($T$6:$T$505,MATCH(TRIM(E85&amp;""),$U$6:$U$505,0)),""))))</f>
        <v/>
      </c>
      <c r="W85" s="32">
        <f>IF(V85="","",INDEX('Form Calc'!$G:$G,V85))</f>
        <v/>
      </c>
      <c r="X85" s="32">
        <f>IF(TRIM(A85&amp;"")="","",IF(T85&lt;&gt;"",IF(INDEX('Form Calc'!$K:$K,T85)&lt;&gt;"",INDEX('Form Calc'!$K:$K,T85),J85&amp;""),J85&amp;""))</f>
        <v/>
      </c>
      <c r="Y85" s="32">
        <f>IF(TRIM(A85&amp;"")="","",IF(TRIM(D85&amp;"")&lt;&gt;"",TRIM(D85&amp;""),IF(T85&lt;&gt;"",INDEX('Form Calc'!$C:$C,T85)&amp;"","")))</f>
        <v/>
      </c>
      <c r="Z85" s="32">
        <f>SUBSTITUTE(SUBSTITUTE(SUBSTITUTE(SUBSTITUTE(SUBSTITUTE(SUBSTITUTE(SUBSTITUTE(SUBSTITUTE(Y85," ",""),"-",""),"(",""),")",""),".",""),"+",""),"/",""),CHAR(160),"")</f>
        <v/>
      </c>
      <c r="AA85" s="32">
        <f>IF(Z85="","",IF(LEN(Z85)=10,"+1"&amp;Z85,IF(AND(LEN(Z85)=11,LEFT(Z85,1)="1"),"+"&amp;Z85,IF(LEFT(Y85,1)="+","+"&amp;Z85,Z85))))</f>
        <v/>
      </c>
      <c r="AB85" s="32">
        <f>IF(TRIM(A85&amp;"")="","",IF(TRIM(M85&amp;"")&lt;&gt;"",TRIM(M85&amp;""),IFERROR(LEFT(TRIM(A85&amp;""),FIND(" ",TRIM(A85&amp;""))-1),TRIM(A85&amp;""))))</f>
        <v/>
      </c>
      <c r="AC85" s="32">
        <f>SUBSTITUTE(SUBSTITUTE(SUBSTITUTE(SUBSTITUTE(SUBSTITUTE(SUBSTITUTE(SUBSTITUTE(SUBSTITUTE(SUBSTITUTE(SUBSTITUTE(AB85,"%","%25"),"&amp;","%26"),"#","%23"),"+","%2B"),"=","%3D"),"?","%3F"),CHAR(34),"%22"),CHAR(10),"%0A"),CHAR(13),"")," ","+")</f>
        <v/>
      </c>
      <c r="AD85" s="32">
        <f>IF(OR(AA85="",AB85=""),"",'Start Here'!$B$20&amp;"#p="&amp;SUBSTITUTE(AA85,"+","%2B")&amp;"&amp;n="&amp;AC85&amp;"&amp;m="&amp;SUBSTITUTE('Start Here'!$B$24,"{name}",AC85))</f>
        <v/>
      </c>
      <c r="AE85" s="32">
        <f>LEN(AD85)</f>
        <v/>
      </c>
      <c r="AF85" s="32">
        <f>IF(AND(TRIM(A85&amp;"")&lt;&gt;"",OR(B85="Awaiting",B85="Not sure yet")),1,0)</f>
        <v/>
      </c>
      <c r="AG85" s="32">
        <f>N(AG84)+AF85</f>
        <v/>
      </c>
      <c r="AH85" s="32">
        <f>IF(AF85=1,AG85,"")</f>
        <v/>
      </c>
      <c r="AI85" s="32">
        <f>IF(AND(TRIM(A85&amp;"")&lt;&gt;"",L85&amp;""&lt;&gt;"",L85&amp;""=Seating!$I$3&amp;"",B85&lt;&gt;"Declined"),1,0)</f>
        <v/>
      </c>
      <c r="AJ85" s="32">
        <f>N(AJ84)+AI85</f>
        <v/>
      </c>
      <c r="AK85" s="32">
        <f>IF(AI85=1,AJ85,"")</f>
        <v/>
      </c>
    </row>
    <row r="86">
      <c r="A86" s="10" t="n"/>
      <c r="B86" s="47">
        <f>IF(TRIM(A86&amp;"")="","",IF(W86&lt;&gt;"",W86,IF(I86="","Awaiting",I86)))</f>
        <v/>
      </c>
      <c r="C86" s="60">
        <f>IF(OR(B86="Awaiting",B86="Not sure yet"),IF(AD86&lt;&gt;"",HYPERLINK(AD86,"💬 Remind"),"add mobile"),"")</f>
        <v/>
      </c>
      <c r="D86" s="58" t="n"/>
      <c r="E86" s="10" t="n"/>
      <c r="F86" s="10" t="n"/>
      <c r="G86" s="10" t="n"/>
      <c r="H86" s="10" t="n"/>
      <c r="I86" s="10" t="n"/>
      <c r="J86" s="10" t="n"/>
      <c r="K86" s="10" t="n"/>
      <c r="L86" s="56" t="n"/>
      <c r="M86" s="10" t="n"/>
      <c r="N86" s="12" t="n"/>
      <c r="O86" s="10" t="n"/>
      <c r="P86" s="10" t="n"/>
      <c r="Q86" s="61">
        <f>IF(V86="","",IF(T86="","Covered by "&amp;INDEX('Form Calc'!$B:$B,V86)&amp;"'s reply (same party)","Replied "&amp;TEXT(INDEX('Form Calc'!$A:$A,T86),"mm/dd")&amp;" · "&amp;INDEX('Form Calc'!$H:$H,T86)&amp;" adult(s), "&amp;INDEX('Form Calc'!$I:$I,T86)&amp;" child(ren)"&amp;IF(INDEX('Form Calc'!$K:$K,T86)&lt;&gt;""," · "&amp;INDEX('Form Calc'!$K:$K,T86),"")&amp;IF(INDEX('Form Calc'!$M:$M,T86)&lt;&gt;""," · “"&amp;INDEX('Form Calc'!$M:$M,T86)&amp;"”","")))</f>
        <v/>
      </c>
      <c r="R86" s="32">
        <f>SUBSTITUTE(SUBSTITUTE(SUBSTITUTE(SUBSTITUTE(SUBSTITUTE(SUBSTITUTE(SUBSTITUTE(SUBSTITUTE(D86&amp;""," ",""),"-",""),"(",""),")",""),".",""),"+",""),"/",""),CHAR(160),"")</f>
        <v/>
      </c>
      <c r="S86" s="32">
        <f>IF(LEN(R86)&gt;=10,RIGHT(R86,10),R86)</f>
        <v/>
      </c>
      <c r="T86" s="32">
        <f>IF(TRIM(A86&amp;"")="","",IF(S86&lt;&gt;"",IFERROR(MATCH(S86,'Form Calc'!$P:$P,0),IFERROR(MATCH(TRIM(A86&amp;""),'Form Calc'!$Q:$Q,0),"")),IFERROR(MATCH(TRIM(A86&amp;""),'Form Calc'!$Q:$Q,0),"")))</f>
        <v/>
      </c>
      <c r="U86" s="32">
        <f>IF(AND(T86&lt;&gt;"",TRIM(E86&amp;"")&lt;&gt;""),TRIM(E86&amp;""),"")</f>
        <v/>
      </c>
      <c r="V86" s="32">
        <f>IF(TRIM(A86&amp;"")="","",IF(T86&lt;&gt;"",T86,IF(TRIM(E86&amp;"")="","",IFERROR(INDEX($T$6:$T$505,MATCH(TRIM(E86&amp;""),$U$6:$U$505,0)),""))))</f>
        <v/>
      </c>
      <c r="W86" s="32">
        <f>IF(V86="","",INDEX('Form Calc'!$G:$G,V86))</f>
        <v/>
      </c>
      <c r="X86" s="32">
        <f>IF(TRIM(A86&amp;"")="","",IF(T86&lt;&gt;"",IF(INDEX('Form Calc'!$K:$K,T86)&lt;&gt;"",INDEX('Form Calc'!$K:$K,T86),J86&amp;""),J86&amp;""))</f>
        <v/>
      </c>
      <c r="Y86" s="32">
        <f>IF(TRIM(A86&amp;"")="","",IF(TRIM(D86&amp;"")&lt;&gt;"",TRIM(D86&amp;""),IF(T86&lt;&gt;"",INDEX('Form Calc'!$C:$C,T86)&amp;"","")))</f>
        <v/>
      </c>
      <c r="Z86" s="32">
        <f>SUBSTITUTE(SUBSTITUTE(SUBSTITUTE(SUBSTITUTE(SUBSTITUTE(SUBSTITUTE(SUBSTITUTE(SUBSTITUTE(Y86," ",""),"-",""),"(",""),")",""),".",""),"+",""),"/",""),CHAR(160),"")</f>
        <v/>
      </c>
      <c r="AA86" s="32">
        <f>IF(Z86="","",IF(LEN(Z86)=10,"+1"&amp;Z86,IF(AND(LEN(Z86)=11,LEFT(Z86,1)="1"),"+"&amp;Z86,IF(LEFT(Y86,1)="+","+"&amp;Z86,Z86))))</f>
        <v/>
      </c>
      <c r="AB86" s="32">
        <f>IF(TRIM(A86&amp;"")="","",IF(TRIM(M86&amp;"")&lt;&gt;"",TRIM(M86&amp;""),IFERROR(LEFT(TRIM(A86&amp;""),FIND(" ",TRIM(A86&amp;""))-1),TRIM(A86&amp;""))))</f>
        <v/>
      </c>
      <c r="AC86" s="32">
        <f>SUBSTITUTE(SUBSTITUTE(SUBSTITUTE(SUBSTITUTE(SUBSTITUTE(SUBSTITUTE(SUBSTITUTE(SUBSTITUTE(SUBSTITUTE(SUBSTITUTE(AB86,"%","%25"),"&amp;","%26"),"#","%23"),"+","%2B"),"=","%3D"),"?","%3F"),CHAR(34),"%22"),CHAR(10),"%0A"),CHAR(13),"")," ","+")</f>
        <v/>
      </c>
      <c r="AD86" s="32">
        <f>IF(OR(AA86="",AB86=""),"",'Start Here'!$B$20&amp;"#p="&amp;SUBSTITUTE(AA86,"+","%2B")&amp;"&amp;n="&amp;AC86&amp;"&amp;m="&amp;SUBSTITUTE('Start Here'!$B$24,"{name}",AC86))</f>
        <v/>
      </c>
      <c r="AE86" s="32">
        <f>LEN(AD86)</f>
        <v/>
      </c>
      <c r="AF86" s="32">
        <f>IF(AND(TRIM(A86&amp;"")&lt;&gt;"",OR(B86="Awaiting",B86="Not sure yet")),1,0)</f>
        <v/>
      </c>
      <c r="AG86" s="32">
        <f>N(AG85)+AF86</f>
        <v/>
      </c>
      <c r="AH86" s="32">
        <f>IF(AF86=1,AG86,"")</f>
        <v/>
      </c>
      <c r="AI86" s="32">
        <f>IF(AND(TRIM(A86&amp;"")&lt;&gt;"",L86&amp;""&lt;&gt;"",L86&amp;""=Seating!$I$3&amp;"",B86&lt;&gt;"Declined"),1,0)</f>
        <v/>
      </c>
      <c r="AJ86" s="32">
        <f>N(AJ85)+AI86</f>
        <v/>
      </c>
      <c r="AK86" s="32">
        <f>IF(AI86=1,AJ86,"")</f>
        <v/>
      </c>
    </row>
    <row r="87">
      <c r="A87" s="10" t="n"/>
      <c r="B87" s="47">
        <f>IF(TRIM(A87&amp;"")="","",IF(W87&lt;&gt;"",W87,IF(I87="","Awaiting",I87)))</f>
        <v/>
      </c>
      <c r="C87" s="60">
        <f>IF(OR(B87="Awaiting",B87="Not sure yet"),IF(AD87&lt;&gt;"",HYPERLINK(AD87,"💬 Remind"),"add mobile"),"")</f>
        <v/>
      </c>
      <c r="D87" s="58" t="n"/>
      <c r="E87" s="10" t="n"/>
      <c r="F87" s="10" t="n"/>
      <c r="G87" s="10" t="n"/>
      <c r="H87" s="10" t="n"/>
      <c r="I87" s="10" t="n"/>
      <c r="J87" s="10" t="n"/>
      <c r="K87" s="10" t="n"/>
      <c r="L87" s="56" t="n"/>
      <c r="M87" s="10" t="n"/>
      <c r="N87" s="12" t="n"/>
      <c r="O87" s="10" t="n"/>
      <c r="P87" s="10" t="n"/>
      <c r="Q87" s="61">
        <f>IF(V87="","",IF(T87="","Covered by "&amp;INDEX('Form Calc'!$B:$B,V87)&amp;"'s reply (same party)","Replied "&amp;TEXT(INDEX('Form Calc'!$A:$A,T87),"mm/dd")&amp;" · "&amp;INDEX('Form Calc'!$H:$H,T87)&amp;" adult(s), "&amp;INDEX('Form Calc'!$I:$I,T87)&amp;" child(ren)"&amp;IF(INDEX('Form Calc'!$K:$K,T87)&lt;&gt;""," · "&amp;INDEX('Form Calc'!$K:$K,T87),"")&amp;IF(INDEX('Form Calc'!$M:$M,T87)&lt;&gt;""," · “"&amp;INDEX('Form Calc'!$M:$M,T87)&amp;"”","")))</f>
        <v/>
      </c>
      <c r="R87" s="32">
        <f>SUBSTITUTE(SUBSTITUTE(SUBSTITUTE(SUBSTITUTE(SUBSTITUTE(SUBSTITUTE(SUBSTITUTE(SUBSTITUTE(D87&amp;""," ",""),"-",""),"(",""),")",""),".",""),"+",""),"/",""),CHAR(160),"")</f>
        <v/>
      </c>
      <c r="S87" s="32">
        <f>IF(LEN(R87)&gt;=10,RIGHT(R87,10),R87)</f>
        <v/>
      </c>
      <c r="T87" s="32">
        <f>IF(TRIM(A87&amp;"")="","",IF(S87&lt;&gt;"",IFERROR(MATCH(S87,'Form Calc'!$P:$P,0),IFERROR(MATCH(TRIM(A87&amp;""),'Form Calc'!$Q:$Q,0),"")),IFERROR(MATCH(TRIM(A87&amp;""),'Form Calc'!$Q:$Q,0),"")))</f>
        <v/>
      </c>
      <c r="U87" s="32">
        <f>IF(AND(T87&lt;&gt;"",TRIM(E87&amp;"")&lt;&gt;""),TRIM(E87&amp;""),"")</f>
        <v/>
      </c>
      <c r="V87" s="32">
        <f>IF(TRIM(A87&amp;"")="","",IF(T87&lt;&gt;"",T87,IF(TRIM(E87&amp;"")="","",IFERROR(INDEX($T$6:$T$505,MATCH(TRIM(E87&amp;""),$U$6:$U$505,0)),""))))</f>
        <v/>
      </c>
      <c r="W87" s="32">
        <f>IF(V87="","",INDEX('Form Calc'!$G:$G,V87))</f>
        <v/>
      </c>
      <c r="X87" s="32">
        <f>IF(TRIM(A87&amp;"")="","",IF(T87&lt;&gt;"",IF(INDEX('Form Calc'!$K:$K,T87)&lt;&gt;"",INDEX('Form Calc'!$K:$K,T87),J87&amp;""),J87&amp;""))</f>
        <v/>
      </c>
      <c r="Y87" s="32">
        <f>IF(TRIM(A87&amp;"")="","",IF(TRIM(D87&amp;"")&lt;&gt;"",TRIM(D87&amp;""),IF(T87&lt;&gt;"",INDEX('Form Calc'!$C:$C,T87)&amp;"","")))</f>
        <v/>
      </c>
      <c r="Z87" s="32">
        <f>SUBSTITUTE(SUBSTITUTE(SUBSTITUTE(SUBSTITUTE(SUBSTITUTE(SUBSTITUTE(SUBSTITUTE(SUBSTITUTE(Y87," ",""),"-",""),"(",""),")",""),".",""),"+",""),"/",""),CHAR(160),"")</f>
        <v/>
      </c>
      <c r="AA87" s="32">
        <f>IF(Z87="","",IF(LEN(Z87)=10,"+1"&amp;Z87,IF(AND(LEN(Z87)=11,LEFT(Z87,1)="1"),"+"&amp;Z87,IF(LEFT(Y87,1)="+","+"&amp;Z87,Z87))))</f>
        <v/>
      </c>
      <c r="AB87" s="32">
        <f>IF(TRIM(A87&amp;"")="","",IF(TRIM(M87&amp;"")&lt;&gt;"",TRIM(M87&amp;""),IFERROR(LEFT(TRIM(A87&amp;""),FIND(" ",TRIM(A87&amp;""))-1),TRIM(A87&amp;""))))</f>
        <v/>
      </c>
      <c r="AC87" s="32">
        <f>SUBSTITUTE(SUBSTITUTE(SUBSTITUTE(SUBSTITUTE(SUBSTITUTE(SUBSTITUTE(SUBSTITUTE(SUBSTITUTE(SUBSTITUTE(SUBSTITUTE(AB87,"%","%25"),"&amp;","%26"),"#","%23"),"+","%2B"),"=","%3D"),"?","%3F"),CHAR(34),"%22"),CHAR(10),"%0A"),CHAR(13),"")," ","+")</f>
        <v/>
      </c>
      <c r="AD87" s="32">
        <f>IF(OR(AA87="",AB87=""),"",'Start Here'!$B$20&amp;"#p="&amp;SUBSTITUTE(AA87,"+","%2B")&amp;"&amp;n="&amp;AC87&amp;"&amp;m="&amp;SUBSTITUTE('Start Here'!$B$24,"{name}",AC87))</f>
        <v/>
      </c>
      <c r="AE87" s="32">
        <f>LEN(AD87)</f>
        <v/>
      </c>
      <c r="AF87" s="32">
        <f>IF(AND(TRIM(A87&amp;"")&lt;&gt;"",OR(B87="Awaiting",B87="Not sure yet")),1,0)</f>
        <v/>
      </c>
      <c r="AG87" s="32">
        <f>N(AG86)+AF87</f>
        <v/>
      </c>
      <c r="AH87" s="32">
        <f>IF(AF87=1,AG87,"")</f>
        <v/>
      </c>
      <c r="AI87" s="32">
        <f>IF(AND(TRIM(A87&amp;"")&lt;&gt;"",L87&amp;""&lt;&gt;"",L87&amp;""=Seating!$I$3&amp;"",B87&lt;&gt;"Declined"),1,0)</f>
        <v/>
      </c>
      <c r="AJ87" s="32">
        <f>N(AJ86)+AI87</f>
        <v/>
      </c>
      <c r="AK87" s="32">
        <f>IF(AI87=1,AJ87,"")</f>
        <v/>
      </c>
    </row>
    <row r="88">
      <c r="A88" s="10" t="n"/>
      <c r="B88" s="47">
        <f>IF(TRIM(A88&amp;"")="","",IF(W88&lt;&gt;"",W88,IF(I88="","Awaiting",I88)))</f>
        <v/>
      </c>
      <c r="C88" s="60">
        <f>IF(OR(B88="Awaiting",B88="Not sure yet"),IF(AD88&lt;&gt;"",HYPERLINK(AD88,"💬 Remind"),"add mobile"),"")</f>
        <v/>
      </c>
      <c r="D88" s="58" t="n"/>
      <c r="E88" s="10" t="n"/>
      <c r="F88" s="10" t="n"/>
      <c r="G88" s="10" t="n"/>
      <c r="H88" s="10" t="n"/>
      <c r="I88" s="10" t="n"/>
      <c r="J88" s="10" t="n"/>
      <c r="K88" s="10" t="n"/>
      <c r="L88" s="56" t="n"/>
      <c r="M88" s="10" t="n"/>
      <c r="N88" s="12" t="n"/>
      <c r="O88" s="10" t="n"/>
      <c r="P88" s="10" t="n"/>
      <c r="Q88" s="61">
        <f>IF(V88="","",IF(T88="","Covered by "&amp;INDEX('Form Calc'!$B:$B,V88)&amp;"'s reply (same party)","Replied "&amp;TEXT(INDEX('Form Calc'!$A:$A,T88),"mm/dd")&amp;" · "&amp;INDEX('Form Calc'!$H:$H,T88)&amp;" adult(s), "&amp;INDEX('Form Calc'!$I:$I,T88)&amp;" child(ren)"&amp;IF(INDEX('Form Calc'!$K:$K,T88)&lt;&gt;""," · "&amp;INDEX('Form Calc'!$K:$K,T88),"")&amp;IF(INDEX('Form Calc'!$M:$M,T88)&lt;&gt;""," · “"&amp;INDEX('Form Calc'!$M:$M,T88)&amp;"”","")))</f>
        <v/>
      </c>
      <c r="R88" s="32">
        <f>SUBSTITUTE(SUBSTITUTE(SUBSTITUTE(SUBSTITUTE(SUBSTITUTE(SUBSTITUTE(SUBSTITUTE(SUBSTITUTE(D88&amp;""," ",""),"-",""),"(",""),")",""),".",""),"+",""),"/",""),CHAR(160),"")</f>
        <v/>
      </c>
      <c r="S88" s="32">
        <f>IF(LEN(R88)&gt;=10,RIGHT(R88,10),R88)</f>
        <v/>
      </c>
      <c r="T88" s="32">
        <f>IF(TRIM(A88&amp;"")="","",IF(S88&lt;&gt;"",IFERROR(MATCH(S88,'Form Calc'!$P:$P,0),IFERROR(MATCH(TRIM(A88&amp;""),'Form Calc'!$Q:$Q,0),"")),IFERROR(MATCH(TRIM(A88&amp;""),'Form Calc'!$Q:$Q,0),"")))</f>
        <v/>
      </c>
      <c r="U88" s="32">
        <f>IF(AND(T88&lt;&gt;"",TRIM(E88&amp;"")&lt;&gt;""),TRIM(E88&amp;""),"")</f>
        <v/>
      </c>
      <c r="V88" s="32">
        <f>IF(TRIM(A88&amp;"")="","",IF(T88&lt;&gt;"",T88,IF(TRIM(E88&amp;"")="","",IFERROR(INDEX($T$6:$T$505,MATCH(TRIM(E88&amp;""),$U$6:$U$505,0)),""))))</f>
        <v/>
      </c>
      <c r="W88" s="32">
        <f>IF(V88="","",INDEX('Form Calc'!$G:$G,V88))</f>
        <v/>
      </c>
      <c r="X88" s="32">
        <f>IF(TRIM(A88&amp;"")="","",IF(T88&lt;&gt;"",IF(INDEX('Form Calc'!$K:$K,T88)&lt;&gt;"",INDEX('Form Calc'!$K:$K,T88),J88&amp;""),J88&amp;""))</f>
        <v/>
      </c>
      <c r="Y88" s="32">
        <f>IF(TRIM(A88&amp;"")="","",IF(TRIM(D88&amp;"")&lt;&gt;"",TRIM(D88&amp;""),IF(T88&lt;&gt;"",INDEX('Form Calc'!$C:$C,T88)&amp;"","")))</f>
        <v/>
      </c>
      <c r="Z88" s="32">
        <f>SUBSTITUTE(SUBSTITUTE(SUBSTITUTE(SUBSTITUTE(SUBSTITUTE(SUBSTITUTE(SUBSTITUTE(SUBSTITUTE(Y88," ",""),"-",""),"(",""),")",""),".",""),"+",""),"/",""),CHAR(160),"")</f>
        <v/>
      </c>
      <c r="AA88" s="32">
        <f>IF(Z88="","",IF(LEN(Z88)=10,"+1"&amp;Z88,IF(AND(LEN(Z88)=11,LEFT(Z88,1)="1"),"+"&amp;Z88,IF(LEFT(Y88,1)="+","+"&amp;Z88,Z88))))</f>
        <v/>
      </c>
      <c r="AB88" s="32">
        <f>IF(TRIM(A88&amp;"")="","",IF(TRIM(M88&amp;"")&lt;&gt;"",TRIM(M88&amp;""),IFERROR(LEFT(TRIM(A88&amp;""),FIND(" ",TRIM(A88&amp;""))-1),TRIM(A88&amp;""))))</f>
        <v/>
      </c>
      <c r="AC88" s="32">
        <f>SUBSTITUTE(SUBSTITUTE(SUBSTITUTE(SUBSTITUTE(SUBSTITUTE(SUBSTITUTE(SUBSTITUTE(SUBSTITUTE(SUBSTITUTE(SUBSTITUTE(AB88,"%","%25"),"&amp;","%26"),"#","%23"),"+","%2B"),"=","%3D"),"?","%3F"),CHAR(34),"%22"),CHAR(10),"%0A"),CHAR(13),"")," ","+")</f>
        <v/>
      </c>
      <c r="AD88" s="32">
        <f>IF(OR(AA88="",AB88=""),"",'Start Here'!$B$20&amp;"#p="&amp;SUBSTITUTE(AA88,"+","%2B")&amp;"&amp;n="&amp;AC88&amp;"&amp;m="&amp;SUBSTITUTE('Start Here'!$B$24,"{name}",AC88))</f>
        <v/>
      </c>
      <c r="AE88" s="32">
        <f>LEN(AD88)</f>
        <v/>
      </c>
      <c r="AF88" s="32">
        <f>IF(AND(TRIM(A88&amp;"")&lt;&gt;"",OR(B88="Awaiting",B88="Not sure yet")),1,0)</f>
        <v/>
      </c>
      <c r="AG88" s="32">
        <f>N(AG87)+AF88</f>
        <v/>
      </c>
      <c r="AH88" s="32">
        <f>IF(AF88=1,AG88,"")</f>
        <v/>
      </c>
      <c r="AI88" s="32">
        <f>IF(AND(TRIM(A88&amp;"")&lt;&gt;"",L88&amp;""&lt;&gt;"",L88&amp;""=Seating!$I$3&amp;"",B88&lt;&gt;"Declined"),1,0)</f>
        <v/>
      </c>
      <c r="AJ88" s="32">
        <f>N(AJ87)+AI88</f>
        <v/>
      </c>
      <c r="AK88" s="32">
        <f>IF(AI88=1,AJ88,"")</f>
        <v/>
      </c>
    </row>
    <row r="89">
      <c r="A89" s="10" t="n"/>
      <c r="B89" s="47">
        <f>IF(TRIM(A89&amp;"")="","",IF(W89&lt;&gt;"",W89,IF(I89="","Awaiting",I89)))</f>
        <v/>
      </c>
      <c r="C89" s="60">
        <f>IF(OR(B89="Awaiting",B89="Not sure yet"),IF(AD89&lt;&gt;"",HYPERLINK(AD89,"💬 Remind"),"add mobile"),"")</f>
        <v/>
      </c>
      <c r="D89" s="58" t="n"/>
      <c r="E89" s="10" t="n"/>
      <c r="F89" s="10" t="n"/>
      <c r="G89" s="10" t="n"/>
      <c r="H89" s="10" t="n"/>
      <c r="I89" s="10" t="n"/>
      <c r="J89" s="10" t="n"/>
      <c r="K89" s="10" t="n"/>
      <c r="L89" s="56" t="n"/>
      <c r="M89" s="10" t="n"/>
      <c r="N89" s="12" t="n"/>
      <c r="O89" s="10" t="n"/>
      <c r="P89" s="10" t="n"/>
      <c r="Q89" s="61">
        <f>IF(V89="","",IF(T89="","Covered by "&amp;INDEX('Form Calc'!$B:$B,V89)&amp;"'s reply (same party)","Replied "&amp;TEXT(INDEX('Form Calc'!$A:$A,T89),"mm/dd")&amp;" · "&amp;INDEX('Form Calc'!$H:$H,T89)&amp;" adult(s), "&amp;INDEX('Form Calc'!$I:$I,T89)&amp;" child(ren)"&amp;IF(INDEX('Form Calc'!$K:$K,T89)&lt;&gt;""," · "&amp;INDEX('Form Calc'!$K:$K,T89),"")&amp;IF(INDEX('Form Calc'!$M:$M,T89)&lt;&gt;""," · “"&amp;INDEX('Form Calc'!$M:$M,T89)&amp;"”","")))</f>
        <v/>
      </c>
      <c r="R89" s="32">
        <f>SUBSTITUTE(SUBSTITUTE(SUBSTITUTE(SUBSTITUTE(SUBSTITUTE(SUBSTITUTE(SUBSTITUTE(SUBSTITUTE(D89&amp;""," ",""),"-",""),"(",""),")",""),".",""),"+",""),"/",""),CHAR(160),"")</f>
        <v/>
      </c>
      <c r="S89" s="32">
        <f>IF(LEN(R89)&gt;=10,RIGHT(R89,10),R89)</f>
        <v/>
      </c>
      <c r="T89" s="32">
        <f>IF(TRIM(A89&amp;"")="","",IF(S89&lt;&gt;"",IFERROR(MATCH(S89,'Form Calc'!$P:$P,0),IFERROR(MATCH(TRIM(A89&amp;""),'Form Calc'!$Q:$Q,0),"")),IFERROR(MATCH(TRIM(A89&amp;""),'Form Calc'!$Q:$Q,0),"")))</f>
        <v/>
      </c>
      <c r="U89" s="32">
        <f>IF(AND(T89&lt;&gt;"",TRIM(E89&amp;"")&lt;&gt;""),TRIM(E89&amp;""),"")</f>
        <v/>
      </c>
      <c r="V89" s="32">
        <f>IF(TRIM(A89&amp;"")="","",IF(T89&lt;&gt;"",T89,IF(TRIM(E89&amp;"")="","",IFERROR(INDEX($T$6:$T$505,MATCH(TRIM(E89&amp;""),$U$6:$U$505,0)),""))))</f>
        <v/>
      </c>
      <c r="W89" s="32">
        <f>IF(V89="","",INDEX('Form Calc'!$G:$G,V89))</f>
        <v/>
      </c>
      <c r="X89" s="32">
        <f>IF(TRIM(A89&amp;"")="","",IF(T89&lt;&gt;"",IF(INDEX('Form Calc'!$K:$K,T89)&lt;&gt;"",INDEX('Form Calc'!$K:$K,T89),J89&amp;""),J89&amp;""))</f>
        <v/>
      </c>
      <c r="Y89" s="32">
        <f>IF(TRIM(A89&amp;"")="","",IF(TRIM(D89&amp;"")&lt;&gt;"",TRIM(D89&amp;""),IF(T89&lt;&gt;"",INDEX('Form Calc'!$C:$C,T89)&amp;"","")))</f>
        <v/>
      </c>
      <c r="Z89" s="32">
        <f>SUBSTITUTE(SUBSTITUTE(SUBSTITUTE(SUBSTITUTE(SUBSTITUTE(SUBSTITUTE(SUBSTITUTE(SUBSTITUTE(Y89," ",""),"-",""),"(",""),")",""),".",""),"+",""),"/",""),CHAR(160),"")</f>
        <v/>
      </c>
      <c r="AA89" s="32">
        <f>IF(Z89="","",IF(LEN(Z89)=10,"+1"&amp;Z89,IF(AND(LEN(Z89)=11,LEFT(Z89,1)="1"),"+"&amp;Z89,IF(LEFT(Y89,1)="+","+"&amp;Z89,Z89))))</f>
        <v/>
      </c>
      <c r="AB89" s="32">
        <f>IF(TRIM(A89&amp;"")="","",IF(TRIM(M89&amp;"")&lt;&gt;"",TRIM(M89&amp;""),IFERROR(LEFT(TRIM(A89&amp;""),FIND(" ",TRIM(A89&amp;""))-1),TRIM(A89&amp;""))))</f>
        <v/>
      </c>
      <c r="AC89" s="32">
        <f>SUBSTITUTE(SUBSTITUTE(SUBSTITUTE(SUBSTITUTE(SUBSTITUTE(SUBSTITUTE(SUBSTITUTE(SUBSTITUTE(SUBSTITUTE(SUBSTITUTE(AB89,"%","%25"),"&amp;","%26"),"#","%23"),"+","%2B"),"=","%3D"),"?","%3F"),CHAR(34),"%22"),CHAR(10),"%0A"),CHAR(13),"")," ","+")</f>
        <v/>
      </c>
      <c r="AD89" s="32">
        <f>IF(OR(AA89="",AB89=""),"",'Start Here'!$B$20&amp;"#p="&amp;SUBSTITUTE(AA89,"+","%2B")&amp;"&amp;n="&amp;AC89&amp;"&amp;m="&amp;SUBSTITUTE('Start Here'!$B$24,"{name}",AC89))</f>
        <v/>
      </c>
      <c r="AE89" s="32">
        <f>LEN(AD89)</f>
        <v/>
      </c>
      <c r="AF89" s="32">
        <f>IF(AND(TRIM(A89&amp;"")&lt;&gt;"",OR(B89="Awaiting",B89="Not sure yet")),1,0)</f>
        <v/>
      </c>
      <c r="AG89" s="32">
        <f>N(AG88)+AF89</f>
        <v/>
      </c>
      <c r="AH89" s="32">
        <f>IF(AF89=1,AG89,"")</f>
        <v/>
      </c>
      <c r="AI89" s="32">
        <f>IF(AND(TRIM(A89&amp;"")&lt;&gt;"",L89&amp;""&lt;&gt;"",L89&amp;""=Seating!$I$3&amp;"",B89&lt;&gt;"Declined"),1,0)</f>
        <v/>
      </c>
      <c r="AJ89" s="32">
        <f>N(AJ88)+AI89</f>
        <v/>
      </c>
      <c r="AK89" s="32">
        <f>IF(AI89=1,AJ89,"")</f>
        <v/>
      </c>
    </row>
    <row r="90">
      <c r="A90" s="10" t="n"/>
      <c r="B90" s="47">
        <f>IF(TRIM(A90&amp;"")="","",IF(W90&lt;&gt;"",W90,IF(I90="","Awaiting",I90)))</f>
        <v/>
      </c>
      <c r="C90" s="60">
        <f>IF(OR(B90="Awaiting",B90="Not sure yet"),IF(AD90&lt;&gt;"",HYPERLINK(AD90,"💬 Remind"),"add mobile"),"")</f>
        <v/>
      </c>
      <c r="D90" s="58" t="n"/>
      <c r="E90" s="10" t="n"/>
      <c r="F90" s="10" t="n"/>
      <c r="G90" s="10" t="n"/>
      <c r="H90" s="10" t="n"/>
      <c r="I90" s="10" t="n"/>
      <c r="J90" s="10" t="n"/>
      <c r="K90" s="10" t="n"/>
      <c r="L90" s="56" t="n"/>
      <c r="M90" s="10" t="n"/>
      <c r="N90" s="12" t="n"/>
      <c r="O90" s="10" t="n"/>
      <c r="P90" s="10" t="n"/>
      <c r="Q90" s="61">
        <f>IF(V90="","",IF(T90="","Covered by "&amp;INDEX('Form Calc'!$B:$B,V90)&amp;"'s reply (same party)","Replied "&amp;TEXT(INDEX('Form Calc'!$A:$A,T90),"mm/dd")&amp;" · "&amp;INDEX('Form Calc'!$H:$H,T90)&amp;" adult(s), "&amp;INDEX('Form Calc'!$I:$I,T90)&amp;" child(ren)"&amp;IF(INDEX('Form Calc'!$K:$K,T90)&lt;&gt;""," · "&amp;INDEX('Form Calc'!$K:$K,T90),"")&amp;IF(INDEX('Form Calc'!$M:$M,T90)&lt;&gt;""," · “"&amp;INDEX('Form Calc'!$M:$M,T90)&amp;"”","")))</f>
        <v/>
      </c>
      <c r="R90" s="32">
        <f>SUBSTITUTE(SUBSTITUTE(SUBSTITUTE(SUBSTITUTE(SUBSTITUTE(SUBSTITUTE(SUBSTITUTE(SUBSTITUTE(D90&amp;""," ",""),"-",""),"(",""),")",""),".",""),"+",""),"/",""),CHAR(160),"")</f>
        <v/>
      </c>
      <c r="S90" s="32">
        <f>IF(LEN(R90)&gt;=10,RIGHT(R90,10),R90)</f>
        <v/>
      </c>
      <c r="T90" s="32">
        <f>IF(TRIM(A90&amp;"")="","",IF(S90&lt;&gt;"",IFERROR(MATCH(S90,'Form Calc'!$P:$P,0),IFERROR(MATCH(TRIM(A90&amp;""),'Form Calc'!$Q:$Q,0),"")),IFERROR(MATCH(TRIM(A90&amp;""),'Form Calc'!$Q:$Q,0),"")))</f>
        <v/>
      </c>
      <c r="U90" s="32">
        <f>IF(AND(T90&lt;&gt;"",TRIM(E90&amp;"")&lt;&gt;""),TRIM(E90&amp;""),"")</f>
        <v/>
      </c>
      <c r="V90" s="32">
        <f>IF(TRIM(A90&amp;"")="","",IF(T90&lt;&gt;"",T90,IF(TRIM(E90&amp;"")="","",IFERROR(INDEX($T$6:$T$505,MATCH(TRIM(E90&amp;""),$U$6:$U$505,0)),""))))</f>
        <v/>
      </c>
      <c r="W90" s="32">
        <f>IF(V90="","",INDEX('Form Calc'!$G:$G,V90))</f>
        <v/>
      </c>
      <c r="X90" s="32">
        <f>IF(TRIM(A90&amp;"")="","",IF(T90&lt;&gt;"",IF(INDEX('Form Calc'!$K:$K,T90)&lt;&gt;"",INDEX('Form Calc'!$K:$K,T90),J90&amp;""),J90&amp;""))</f>
        <v/>
      </c>
      <c r="Y90" s="32">
        <f>IF(TRIM(A90&amp;"")="","",IF(TRIM(D90&amp;"")&lt;&gt;"",TRIM(D90&amp;""),IF(T90&lt;&gt;"",INDEX('Form Calc'!$C:$C,T90)&amp;"","")))</f>
        <v/>
      </c>
      <c r="Z90" s="32">
        <f>SUBSTITUTE(SUBSTITUTE(SUBSTITUTE(SUBSTITUTE(SUBSTITUTE(SUBSTITUTE(SUBSTITUTE(SUBSTITUTE(Y90," ",""),"-",""),"(",""),")",""),".",""),"+",""),"/",""),CHAR(160),"")</f>
        <v/>
      </c>
      <c r="AA90" s="32">
        <f>IF(Z90="","",IF(LEN(Z90)=10,"+1"&amp;Z90,IF(AND(LEN(Z90)=11,LEFT(Z90,1)="1"),"+"&amp;Z90,IF(LEFT(Y90,1)="+","+"&amp;Z90,Z90))))</f>
        <v/>
      </c>
      <c r="AB90" s="32">
        <f>IF(TRIM(A90&amp;"")="","",IF(TRIM(M90&amp;"")&lt;&gt;"",TRIM(M90&amp;""),IFERROR(LEFT(TRIM(A90&amp;""),FIND(" ",TRIM(A90&amp;""))-1),TRIM(A90&amp;""))))</f>
        <v/>
      </c>
      <c r="AC90" s="32">
        <f>SUBSTITUTE(SUBSTITUTE(SUBSTITUTE(SUBSTITUTE(SUBSTITUTE(SUBSTITUTE(SUBSTITUTE(SUBSTITUTE(SUBSTITUTE(SUBSTITUTE(AB90,"%","%25"),"&amp;","%26"),"#","%23"),"+","%2B"),"=","%3D"),"?","%3F"),CHAR(34),"%22"),CHAR(10),"%0A"),CHAR(13),"")," ","+")</f>
        <v/>
      </c>
      <c r="AD90" s="32">
        <f>IF(OR(AA90="",AB90=""),"",'Start Here'!$B$20&amp;"#p="&amp;SUBSTITUTE(AA90,"+","%2B")&amp;"&amp;n="&amp;AC90&amp;"&amp;m="&amp;SUBSTITUTE('Start Here'!$B$24,"{name}",AC90))</f>
        <v/>
      </c>
      <c r="AE90" s="32">
        <f>LEN(AD90)</f>
        <v/>
      </c>
      <c r="AF90" s="32">
        <f>IF(AND(TRIM(A90&amp;"")&lt;&gt;"",OR(B90="Awaiting",B90="Not sure yet")),1,0)</f>
        <v/>
      </c>
      <c r="AG90" s="32">
        <f>N(AG89)+AF90</f>
        <v/>
      </c>
      <c r="AH90" s="32">
        <f>IF(AF90=1,AG90,"")</f>
        <v/>
      </c>
      <c r="AI90" s="32">
        <f>IF(AND(TRIM(A90&amp;"")&lt;&gt;"",L90&amp;""&lt;&gt;"",L90&amp;""=Seating!$I$3&amp;"",B90&lt;&gt;"Declined"),1,0)</f>
        <v/>
      </c>
      <c r="AJ90" s="32">
        <f>N(AJ89)+AI90</f>
        <v/>
      </c>
      <c r="AK90" s="32">
        <f>IF(AI90=1,AJ90,"")</f>
        <v/>
      </c>
    </row>
    <row r="91">
      <c r="A91" s="10" t="n"/>
      <c r="B91" s="47">
        <f>IF(TRIM(A91&amp;"")="","",IF(W91&lt;&gt;"",W91,IF(I91="","Awaiting",I91)))</f>
        <v/>
      </c>
      <c r="C91" s="60">
        <f>IF(OR(B91="Awaiting",B91="Not sure yet"),IF(AD91&lt;&gt;"",HYPERLINK(AD91,"💬 Remind"),"add mobile"),"")</f>
        <v/>
      </c>
      <c r="D91" s="58" t="n"/>
      <c r="E91" s="10" t="n"/>
      <c r="F91" s="10" t="n"/>
      <c r="G91" s="10" t="n"/>
      <c r="H91" s="10" t="n"/>
      <c r="I91" s="10" t="n"/>
      <c r="J91" s="10" t="n"/>
      <c r="K91" s="10" t="n"/>
      <c r="L91" s="56" t="n"/>
      <c r="M91" s="10" t="n"/>
      <c r="N91" s="12" t="n"/>
      <c r="O91" s="10" t="n"/>
      <c r="P91" s="10" t="n"/>
      <c r="Q91" s="61">
        <f>IF(V91="","",IF(T91="","Covered by "&amp;INDEX('Form Calc'!$B:$B,V91)&amp;"'s reply (same party)","Replied "&amp;TEXT(INDEX('Form Calc'!$A:$A,T91),"mm/dd")&amp;" · "&amp;INDEX('Form Calc'!$H:$H,T91)&amp;" adult(s), "&amp;INDEX('Form Calc'!$I:$I,T91)&amp;" child(ren)"&amp;IF(INDEX('Form Calc'!$K:$K,T91)&lt;&gt;""," · "&amp;INDEX('Form Calc'!$K:$K,T91),"")&amp;IF(INDEX('Form Calc'!$M:$M,T91)&lt;&gt;""," · “"&amp;INDEX('Form Calc'!$M:$M,T91)&amp;"”","")))</f>
        <v/>
      </c>
      <c r="R91" s="32">
        <f>SUBSTITUTE(SUBSTITUTE(SUBSTITUTE(SUBSTITUTE(SUBSTITUTE(SUBSTITUTE(SUBSTITUTE(SUBSTITUTE(D91&amp;""," ",""),"-",""),"(",""),")",""),".",""),"+",""),"/",""),CHAR(160),"")</f>
        <v/>
      </c>
      <c r="S91" s="32">
        <f>IF(LEN(R91)&gt;=10,RIGHT(R91,10),R91)</f>
        <v/>
      </c>
      <c r="T91" s="32">
        <f>IF(TRIM(A91&amp;"")="","",IF(S91&lt;&gt;"",IFERROR(MATCH(S91,'Form Calc'!$P:$P,0),IFERROR(MATCH(TRIM(A91&amp;""),'Form Calc'!$Q:$Q,0),"")),IFERROR(MATCH(TRIM(A91&amp;""),'Form Calc'!$Q:$Q,0),"")))</f>
        <v/>
      </c>
      <c r="U91" s="32">
        <f>IF(AND(T91&lt;&gt;"",TRIM(E91&amp;"")&lt;&gt;""),TRIM(E91&amp;""),"")</f>
        <v/>
      </c>
      <c r="V91" s="32">
        <f>IF(TRIM(A91&amp;"")="","",IF(T91&lt;&gt;"",T91,IF(TRIM(E91&amp;"")="","",IFERROR(INDEX($T$6:$T$505,MATCH(TRIM(E91&amp;""),$U$6:$U$505,0)),""))))</f>
        <v/>
      </c>
      <c r="W91" s="32">
        <f>IF(V91="","",INDEX('Form Calc'!$G:$G,V91))</f>
        <v/>
      </c>
      <c r="X91" s="32">
        <f>IF(TRIM(A91&amp;"")="","",IF(T91&lt;&gt;"",IF(INDEX('Form Calc'!$K:$K,T91)&lt;&gt;"",INDEX('Form Calc'!$K:$K,T91),J91&amp;""),J91&amp;""))</f>
        <v/>
      </c>
      <c r="Y91" s="32">
        <f>IF(TRIM(A91&amp;"")="","",IF(TRIM(D91&amp;"")&lt;&gt;"",TRIM(D91&amp;""),IF(T91&lt;&gt;"",INDEX('Form Calc'!$C:$C,T91)&amp;"","")))</f>
        <v/>
      </c>
      <c r="Z91" s="32">
        <f>SUBSTITUTE(SUBSTITUTE(SUBSTITUTE(SUBSTITUTE(SUBSTITUTE(SUBSTITUTE(SUBSTITUTE(SUBSTITUTE(Y91," ",""),"-",""),"(",""),")",""),".",""),"+",""),"/",""),CHAR(160),"")</f>
        <v/>
      </c>
      <c r="AA91" s="32">
        <f>IF(Z91="","",IF(LEN(Z91)=10,"+1"&amp;Z91,IF(AND(LEN(Z91)=11,LEFT(Z91,1)="1"),"+"&amp;Z91,IF(LEFT(Y91,1)="+","+"&amp;Z91,Z91))))</f>
        <v/>
      </c>
      <c r="AB91" s="32">
        <f>IF(TRIM(A91&amp;"")="","",IF(TRIM(M91&amp;"")&lt;&gt;"",TRIM(M91&amp;""),IFERROR(LEFT(TRIM(A91&amp;""),FIND(" ",TRIM(A91&amp;""))-1),TRIM(A91&amp;""))))</f>
        <v/>
      </c>
      <c r="AC91" s="32">
        <f>SUBSTITUTE(SUBSTITUTE(SUBSTITUTE(SUBSTITUTE(SUBSTITUTE(SUBSTITUTE(SUBSTITUTE(SUBSTITUTE(SUBSTITUTE(SUBSTITUTE(AB91,"%","%25"),"&amp;","%26"),"#","%23"),"+","%2B"),"=","%3D"),"?","%3F"),CHAR(34),"%22"),CHAR(10),"%0A"),CHAR(13),"")," ","+")</f>
        <v/>
      </c>
      <c r="AD91" s="32">
        <f>IF(OR(AA91="",AB91=""),"",'Start Here'!$B$20&amp;"#p="&amp;SUBSTITUTE(AA91,"+","%2B")&amp;"&amp;n="&amp;AC91&amp;"&amp;m="&amp;SUBSTITUTE('Start Here'!$B$24,"{name}",AC91))</f>
        <v/>
      </c>
      <c r="AE91" s="32">
        <f>LEN(AD91)</f>
        <v/>
      </c>
      <c r="AF91" s="32">
        <f>IF(AND(TRIM(A91&amp;"")&lt;&gt;"",OR(B91="Awaiting",B91="Not sure yet")),1,0)</f>
        <v/>
      </c>
      <c r="AG91" s="32">
        <f>N(AG90)+AF91</f>
        <v/>
      </c>
      <c r="AH91" s="32">
        <f>IF(AF91=1,AG91,"")</f>
        <v/>
      </c>
      <c r="AI91" s="32">
        <f>IF(AND(TRIM(A91&amp;"")&lt;&gt;"",L91&amp;""&lt;&gt;"",L91&amp;""=Seating!$I$3&amp;"",B91&lt;&gt;"Declined"),1,0)</f>
        <v/>
      </c>
      <c r="AJ91" s="32">
        <f>N(AJ90)+AI91</f>
        <v/>
      </c>
      <c r="AK91" s="32">
        <f>IF(AI91=1,AJ91,"")</f>
        <v/>
      </c>
    </row>
    <row r="92">
      <c r="A92" s="10" t="n"/>
      <c r="B92" s="47">
        <f>IF(TRIM(A92&amp;"")="","",IF(W92&lt;&gt;"",W92,IF(I92="","Awaiting",I92)))</f>
        <v/>
      </c>
      <c r="C92" s="60">
        <f>IF(OR(B92="Awaiting",B92="Not sure yet"),IF(AD92&lt;&gt;"",HYPERLINK(AD92,"💬 Remind"),"add mobile"),"")</f>
        <v/>
      </c>
      <c r="D92" s="58" t="n"/>
      <c r="E92" s="10" t="n"/>
      <c r="F92" s="10" t="n"/>
      <c r="G92" s="10" t="n"/>
      <c r="H92" s="10" t="n"/>
      <c r="I92" s="10" t="n"/>
      <c r="J92" s="10" t="n"/>
      <c r="K92" s="10" t="n"/>
      <c r="L92" s="56" t="n"/>
      <c r="M92" s="10" t="n"/>
      <c r="N92" s="12" t="n"/>
      <c r="O92" s="10" t="n"/>
      <c r="P92" s="10" t="n"/>
      <c r="Q92" s="61">
        <f>IF(V92="","",IF(T92="","Covered by "&amp;INDEX('Form Calc'!$B:$B,V92)&amp;"'s reply (same party)","Replied "&amp;TEXT(INDEX('Form Calc'!$A:$A,T92),"mm/dd")&amp;" · "&amp;INDEX('Form Calc'!$H:$H,T92)&amp;" adult(s), "&amp;INDEX('Form Calc'!$I:$I,T92)&amp;" child(ren)"&amp;IF(INDEX('Form Calc'!$K:$K,T92)&lt;&gt;""," · "&amp;INDEX('Form Calc'!$K:$K,T92),"")&amp;IF(INDEX('Form Calc'!$M:$M,T92)&lt;&gt;""," · “"&amp;INDEX('Form Calc'!$M:$M,T92)&amp;"”","")))</f>
        <v/>
      </c>
      <c r="R92" s="32">
        <f>SUBSTITUTE(SUBSTITUTE(SUBSTITUTE(SUBSTITUTE(SUBSTITUTE(SUBSTITUTE(SUBSTITUTE(SUBSTITUTE(D92&amp;""," ",""),"-",""),"(",""),")",""),".",""),"+",""),"/",""),CHAR(160),"")</f>
        <v/>
      </c>
      <c r="S92" s="32">
        <f>IF(LEN(R92)&gt;=10,RIGHT(R92,10),R92)</f>
        <v/>
      </c>
      <c r="T92" s="32">
        <f>IF(TRIM(A92&amp;"")="","",IF(S92&lt;&gt;"",IFERROR(MATCH(S92,'Form Calc'!$P:$P,0),IFERROR(MATCH(TRIM(A92&amp;""),'Form Calc'!$Q:$Q,0),"")),IFERROR(MATCH(TRIM(A92&amp;""),'Form Calc'!$Q:$Q,0),"")))</f>
        <v/>
      </c>
      <c r="U92" s="32">
        <f>IF(AND(T92&lt;&gt;"",TRIM(E92&amp;"")&lt;&gt;""),TRIM(E92&amp;""),"")</f>
        <v/>
      </c>
      <c r="V92" s="32">
        <f>IF(TRIM(A92&amp;"")="","",IF(T92&lt;&gt;"",T92,IF(TRIM(E92&amp;"")="","",IFERROR(INDEX($T$6:$T$505,MATCH(TRIM(E92&amp;""),$U$6:$U$505,0)),""))))</f>
        <v/>
      </c>
      <c r="W92" s="32">
        <f>IF(V92="","",INDEX('Form Calc'!$G:$G,V92))</f>
        <v/>
      </c>
      <c r="X92" s="32">
        <f>IF(TRIM(A92&amp;"")="","",IF(T92&lt;&gt;"",IF(INDEX('Form Calc'!$K:$K,T92)&lt;&gt;"",INDEX('Form Calc'!$K:$K,T92),J92&amp;""),J92&amp;""))</f>
        <v/>
      </c>
      <c r="Y92" s="32">
        <f>IF(TRIM(A92&amp;"")="","",IF(TRIM(D92&amp;"")&lt;&gt;"",TRIM(D92&amp;""),IF(T92&lt;&gt;"",INDEX('Form Calc'!$C:$C,T92)&amp;"","")))</f>
        <v/>
      </c>
      <c r="Z92" s="32">
        <f>SUBSTITUTE(SUBSTITUTE(SUBSTITUTE(SUBSTITUTE(SUBSTITUTE(SUBSTITUTE(SUBSTITUTE(SUBSTITUTE(Y92," ",""),"-",""),"(",""),")",""),".",""),"+",""),"/",""),CHAR(160),"")</f>
        <v/>
      </c>
      <c r="AA92" s="32">
        <f>IF(Z92="","",IF(LEN(Z92)=10,"+1"&amp;Z92,IF(AND(LEN(Z92)=11,LEFT(Z92,1)="1"),"+"&amp;Z92,IF(LEFT(Y92,1)="+","+"&amp;Z92,Z92))))</f>
        <v/>
      </c>
      <c r="AB92" s="32">
        <f>IF(TRIM(A92&amp;"")="","",IF(TRIM(M92&amp;"")&lt;&gt;"",TRIM(M92&amp;""),IFERROR(LEFT(TRIM(A92&amp;""),FIND(" ",TRIM(A92&amp;""))-1),TRIM(A92&amp;""))))</f>
        <v/>
      </c>
      <c r="AC92" s="32">
        <f>SUBSTITUTE(SUBSTITUTE(SUBSTITUTE(SUBSTITUTE(SUBSTITUTE(SUBSTITUTE(SUBSTITUTE(SUBSTITUTE(SUBSTITUTE(SUBSTITUTE(AB92,"%","%25"),"&amp;","%26"),"#","%23"),"+","%2B"),"=","%3D"),"?","%3F"),CHAR(34),"%22"),CHAR(10),"%0A"),CHAR(13),"")," ","+")</f>
        <v/>
      </c>
      <c r="AD92" s="32">
        <f>IF(OR(AA92="",AB92=""),"",'Start Here'!$B$20&amp;"#p="&amp;SUBSTITUTE(AA92,"+","%2B")&amp;"&amp;n="&amp;AC92&amp;"&amp;m="&amp;SUBSTITUTE('Start Here'!$B$24,"{name}",AC92))</f>
        <v/>
      </c>
      <c r="AE92" s="32">
        <f>LEN(AD92)</f>
        <v/>
      </c>
      <c r="AF92" s="32">
        <f>IF(AND(TRIM(A92&amp;"")&lt;&gt;"",OR(B92="Awaiting",B92="Not sure yet")),1,0)</f>
        <v/>
      </c>
      <c r="AG92" s="32">
        <f>N(AG91)+AF92</f>
        <v/>
      </c>
      <c r="AH92" s="32">
        <f>IF(AF92=1,AG92,"")</f>
        <v/>
      </c>
      <c r="AI92" s="32">
        <f>IF(AND(TRIM(A92&amp;"")&lt;&gt;"",L92&amp;""&lt;&gt;"",L92&amp;""=Seating!$I$3&amp;"",B92&lt;&gt;"Declined"),1,0)</f>
        <v/>
      </c>
      <c r="AJ92" s="32">
        <f>N(AJ91)+AI92</f>
        <v/>
      </c>
      <c r="AK92" s="32">
        <f>IF(AI92=1,AJ92,"")</f>
        <v/>
      </c>
    </row>
    <row r="93">
      <c r="A93" s="10" t="n"/>
      <c r="B93" s="47">
        <f>IF(TRIM(A93&amp;"")="","",IF(W93&lt;&gt;"",W93,IF(I93="","Awaiting",I93)))</f>
        <v/>
      </c>
      <c r="C93" s="60">
        <f>IF(OR(B93="Awaiting",B93="Not sure yet"),IF(AD93&lt;&gt;"",HYPERLINK(AD93,"💬 Remind"),"add mobile"),"")</f>
        <v/>
      </c>
      <c r="D93" s="58" t="n"/>
      <c r="E93" s="10" t="n"/>
      <c r="F93" s="10" t="n"/>
      <c r="G93" s="10" t="n"/>
      <c r="H93" s="10" t="n"/>
      <c r="I93" s="10" t="n"/>
      <c r="J93" s="10" t="n"/>
      <c r="K93" s="10" t="n"/>
      <c r="L93" s="56" t="n"/>
      <c r="M93" s="10" t="n"/>
      <c r="N93" s="12" t="n"/>
      <c r="O93" s="10" t="n"/>
      <c r="P93" s="10" t="n"/>
      <c r="Q93" s="61">
        <f>IF(V93="","",IF(T93="","Covered by "&amp;INDEX('Form Calc'!$B:$B,V93)&amp;"'s reply (same party)","Replied "&amp;TEXT(INDEX('Form Calc'!$A:$A,T93),"mm/dd")&amp;" · "&amp;INDEX('Form Calc'!$H:$H,T93)&amp;" adult(s), "&amp;INDEX('Form Calc'!$I:$I,T93)&amp;" child(ren)"&amp;IF(INDEX('Form Calc'!$K:$K,T93)&lt;&gt;""," · "&amp;INDEX('Form Calc'!$K:$K,T93),"")&amp;IF(INDEX('Form Calc'!$M:$M,T93)&lt;&gt;""," · “"&amp;INDEX('Form Calc'!$M:$M,T93)&amp;"”","")))</f>
        <v/>
      </c>
      <c r="R93" s="32">
        <f>SUBSTITUTE(SUBSTITUTE(SUBSTITUTE(SUBSTITUTE(SUBSTITUTE(SUBSTITUTE(SUBSTITUTE(SUBSTITUTE(D93&amp;""," ",""),"-",""),"(",""),")",""),".",""),"+",""),"/",""),CHAR(160),"")</f>
        <v/>
      </c>
      <c r="S93" s="32">
        <f>IF(LEN(R93)&gt;=10,RIGHT(R93,10),R93)</f>
        <v/>
      </c>
      <c r="T93" s="32">
        <f>IF(TRIM(A93&amp;"")="","",IF(S93&lt;&gt;"",IFERROR(MATCH(S93,'Form Calc'!$P:$P,0),IFERROR(MATCH(TRIM(A93&amp;""),'Form Calc'!$Q:$Q,0),"")),IFERROR(MATCH(TRIM(A93&amp;""),'Form Calc'!$Q:$Q,0),"")))</f>
        <v/>
      </c>
      <c r="U93" s="32">
        <f>IF(AND(T93&lt;&gt;"",TRIM(E93&amp;"")&lt;&gt;""),TRIM(E93&amp;""),"")</f>
        <v/>
      </c>
      <c r="V93" s="32">
        <f>IF(TRIM(A93&amp;"")="","",IF(T93&lt;&gt;"",T93,IF(TRIM(E93&amp;"")="","",IFERROR(INDEX($T$6:$T$505,MATCH(TRIM(E93&amp;""),$U$6:$U$505,0)),""))))</f>
        <v/>
      </c>
      <c r="W93" s="32">
        <f>IF(V93="","",INDEX('Form Calc'!$G:$G,V93))</f>
        <v/>
      </c>
      <c r="X93" s="32">
        <f>IF(TRIM(A93&amp;"")="","",IF(T93&lt;&gt;"",IF(INDEX('Form Calc'!$K:$K,T93)&lt;&gt;"",INDEX('Form Calc'!$K:$K,T93),J93&amp;""),J93&amp;""))</f>
        <v/>
      </c>
      <c r="Y93" s="32">
        <f>IF(TRIM(A93&amp;"")="","",IF(TRIM(D93&amp;"")&lt;&gt;"",TRIM(D93&amp;""),IF(T93&lt;&gt;"",INDEX('Form Calc'!$C:$C,T93)&amp;"","")))</f>
        <v/>
      </c>
      <c r="Z93" s="32">
        <f>SUBSTITUTE(SUBSTITUTE(SUBSTITUTE(SUBSTITUTE(SUBSTITUTE(SUBSTITUTE(SUBSTITUTE(SUBSTITUTE(Y93," ",""),"-",""),"(",""),")",""),".",""),"+",""),"/",""),CHAR(160),"")</f>
        <v/>
      </c>
      <c r="AA93" s="32">
        <f>IF(Z93="","",IF(LEN(Z93)=10,"+1"&amp;Z93,IF(AND(LEN(Z93)=11,LEFT(Z93,1)="1"),"+"&amp;Z93,IF(LEFT(Y93,1)="+","+"&amp;Z93,Z93))))</f>
        <v/>
      </c>
      <c r="AB93" s="32">
        <f>IF(TRIM(A93&amp;"")="","",IF(TRIM(M93&amp;"")&lt;&gt;"",TRIM(M93&amp;""),IFERROR(LEFT(TRIM(A93&amp;""),FIND(" ",TRIM(A93&amp;""))-1),TRIM(A93&amp;""))))</f>
        <v/>
      </c>
      <c r="AC93" s="32">
        <f>SUBSTITUTE(SUBSTITUTE(SUBSTITUTE(SUBSTITUTE(SUBSTITUTE(SUBSTITUTE(SUBSTITUTE(SUBSTITUTE(SUBSTITUTE(SUBSTITUTE(AB93,"%","%25"),"&amp;","%26"),"#","%23"),"+","%2B"),"=","%3D"),"?","%3F"),CHAR(34),"%22"),CHAR(10),"%0A"),CHAR(13),"")," ","+")</f>
        <v/>
      </c>
      <c r="AD93" s="32">
        <f>IF(OR(AA93="",AB93=""),"",'Start Here'!$B$20&amp;"#p="&amp;SUBSTITUTE(AA93,"+","%2B")&amp;"&amp;n="&amp;AC93&amp;"&amp;m="&amp;SUBSTITUTE('Start Here'!$B$24,"{name}",AC93))</f>
        <v/>
      </c>
      <c r="AE93" s="32">
        <f>LEN(AD93)</f>
        <v/>
      </c>
      <c r="AF93" s="32">
        <f>IF(AND(TRIM(A93&amp;"")&lt;&gt;"",OR(B93="Awaiting",B93="Not sure yet")),1,0)</f>
        <v/>
      </c>
      <c r="AG93" s="32">
        <f>N(AG92)+AF93</f>
        <v/>
      </c>
      <c r="AH93" s="32">
        <f>IF(AF93=1,AG93,"")</f>
        <v/>
      </c>
      <c r="AI93" s="32">
        <f>IF(AND(TRIM(A93&amp;"")&lt;&gt;"",L93&amp;""&lt;&gt;"",L93&amp;""=Seating!$I$3&amp;"",B93&lt;&gt;"Declined"),1,0)</f>
        <v/>
      </c>
      <c r="AJ93" s="32">
        <f>N(AJ92)+AI93</f>
        <v/>
      </c>
      <c r="AK93" s="32">
        <f>IF(AI93=1,AJ93,"")</f>
        <v/>
      </c>
    </row>
    <row r="94">
      <c r="A94" s="10" t="n"/>
      <c r="B94" s="47">
        <f>IF(TRIM(A94&amp;"")="","",IF(W94&lt;&gt;"",W94,IF(I94="","Awaiting",I94)))</f>
        <v/>
      </c>
      <c r="C94" s="60">
        <f>IF(OR(B94="Awaiting",B94="Not sure yet"),IF(AD94&lt;&gt;"",HYPERLINK(AD94,"💬 Remind"),"add mobile"),"")</f>
        <v/>
      </c>
      <c r="D94" s="58" t="n"/>
      <c r="E94" s="10" t="n"/>
      <c r="F94" s="10" t="n"/>
      <c r="G94" s="10" t="n"/>
      <c r="H94" s="10" t="n"/>
      <c r="I94" s="10" t="n"/>
      <c r="J94" s="10" t="n"/>
      <c r="K94" s="10" t="n"/>
      <c r="L94" s="56" t="n"/>
      <c r="M94" s="10" t="n"/>
      <c r="N94" s="12" t="n"/>
      <c r="O94" s="10" t="n"/>
      <c r="P94" s="10" t="n"/>
      <c r="Q94" s="61">
        <f>IF(V94="","",IF(T94="","Covered by "&amp;INDEX('Form Calc'!$B:$B,V94)&amp;"'s reply (same party)","Replied "&amp;TEXT(INDEX('Form Calc'!$A:$A,T94),"mm/dd")&amp;" · "&amp;INDEX('Form Calc'!$H:$H,T94)&amp;" adult(s), "&amp;INDEX('Form Calc'!$I:$I,T94)&amp;" child(ren)"&amp;IF(INDEX('Form Calc'!$K:$K,T94)&lt;&gt;""," · "&amp;INDEX('Form Calc'!$K:$K,T94),"")&amp;IF(INDEX('Form Calc'!$M:$M,T94)&lt;&gt;""," · “"&amp;INDEX('Form Calc'!$M:$M,T94)&amp;"”","")))</f>
        <v/>
      </c>
      <c r="R94" s="32">
        <f>SUBSTITUTE(SUBSTITUTE(SUBSTITUTE(SUBSTITUTE(SUBSTITUTE(SUBSTITUTE(SUBSTITUTE(SUBSTITUTE(D94&amp;""," ",""),"-",""),"(",""),")",""),".",""),"+",""),"/",""),CHAR(160),"")</f>
        <v/>
      </c>
      <c r="S94" s="32">
        <f>IF(LEN(R94)&gt;=10,RIGHT(R94,10),R94)</f>
        <v/>
      </c>
      <c r="T94" s="32">
        <f>IF(TRIM(A94&amp;"")="","",IF(S94&lt;&gt;"",IFERROR(MATCH(S94,'Form Calc'!$P:$P,0),IFERROR(MATCH(TRIM(A94&amp;""),'Form Calc'!$Q:$Q,0),"")),IFERROR(MATCH(TRIM(A94&amp;""),'Form Calc'!$Q:$Q,0),"")))</f>
        <v/>
      </c>
      <c r="U94" s="32">
        <f>IF(AND(T94&lt;&gt;"",TRIM(E94&amp;"")&lt;&gt;""),TRIM(E94&amp;""),"")</f>
        <v/>
      </c>
      <c r="V94" s="32">
        <f>IF(TRIM(A94&amp;"")="","",IF(T94&lt;&gt;"",T94,IF(TRIM(E94&amp;"")="","",IFERROR(INDEX($T$6:$T$505,MATCH(TRIM(E94&amp;""),$U$6:$U$505,0)),""))))</f>
        <v/>
      </c>
      <c r="W94" s="32">
        <f>IF(V94="","",INDEX('Form Calc'!$G:$G,V94))</f>
        <v/>
      </c>
      <c r="X94" s="32">
        <f>IF(TRIM(A94&amp;"")="","",IF(T94&lt;&gt;"",IF(INDEX('Form Calc'!$K:$K,T94)&lt;&gt;"",INDEX('Form Calc'!$K:$K,T94),J94&amp;""),J94&amp;""))</f>
        <v/>
      </c>
      <c r="Y94" s="32">
        <f>IF(TRIM(A94&amp;"")="","",IF(TRIM(D94&amp;"")&lt;&gt;"",TRIM(D94&amp;""),IF(T94&lt;&gt;"",INDEX('Form Calc'!$C:$C,T94)&amp;"","")))</f>
        <v/>
      </c>
      <c r="Z94" s="32">
        <f>SUBSTITUTE(SUBSTITUTE(SUBSTITUTE(SUBSTITUTE(SUBSTITUTE(SUBSTITUTE(SUBSTITUTE(SUBSTITUTE(Y94," ",""),"-",""),"(",""),")",""),".",""),"+",""),"/",""),CHAR(160),"")</f>
        <v/>
      </c>
      <c r="AA94" s="32">
        <f>IF(Z94="","",IF(LEN(Z94)=10,"+1"&amp;Z94,IF(AND(LEN(Z94)=11,LEFT(Z94,1)="1"),"+"&amp;Z94,IF(LEFT(Y94,1)="+","+"&amp;Z94,Z94))))</f>
        <v/>
      </c>
      <c r="AB94" s="32">
        <f>IF(TRIM(A94&amp;"")="","",IF(TRIM(M94&amp;"")&lt;&gt;"",TRIM(M94&amp;""),IFERROR(LEFT(TRIM(A94&amp;""),FIND(" ",TRIM(A94&amp;""))-1),TRIM(A94&amp;""))))</f>
        <v/>
      </c>
      <c r="AC94" s="32">
        <f>SUBSTITUTE(SUBSTITUTE(SUBSTITUTE(SUBSTITUTE(SUBSTITUTE(SUBSTITUTE(SUBSTITUTE(SUBSTITUTE(SUBSTITUTE(SUBSTITUTE(AB94,"%","%25"),"&amp;","%26"),"#","%23"),"+","%2B"),"=","%3D"),"?","%3F"),CHAR(34),"%22"),CHAR(10),"%0A"),CHAR(13),"")," ","+")</f>
        <v/>
      </c>
      <c r="AD94" s="32">
        <f>IF(OR(AA94="",AB94=""),"",'Start Here'!$B$20&amp;"#p="&amp;SUBSTITUTE(AA94,"+","%2B")&amp;"&amp;n="&amp;AC94&amp;"&amp;m="&amp;SUBSTITUTE('Start Here'!$B$24,"{name}",AC94))</f>
        <v/>
      </c>
      <c r="AE94" s="32">
        <f>LEN(AD94)</f>
        <v/>
      </c>
      <c r="AF94" s="32">
        <f>IF(AND(TRIM(A94&amp;"")&lt;&gt;"",OR(B94="Awaiting",B94="Not sure yet")),1,0)</f>
        <v/>
      </c>
      <c r="AG94" s="32">
        <f>N(AG93)+AF94</f>
        <v/>
      </c>
      <c r="AH94" s="32">
        <f>IF(AF94=1,AG94,"")</f>
        <v/>
      </c>
      <c r="AI94" s="32">
        <f>IF(AND(TRIM(A94&amp;"")&lt;&gt;"",L94&amp;""&lt;&gt;"",L94&amp;""=Seating!$I$3&amp;"",B94&lt;&gt;"Declined"),1,0)</f>
        <v/>
      </c>
      <c r="AJ94" s="32">
        <f>N(AJ93)+AI94</f>
        <v/>
      </c>
      <c r="AK94" s="32">
        <f>IF(AI94=1,AJ94,"")</f>
        <v/>
      </c>
    </row>
    <row r="95">
      <c r="A95" s="10" t="n"/>
      <c r="B95" s="47">
        <f>IF(TRIM(A95&amp;"")="","",IF(W95&lt;&gt;"",W95,IF(I95="","Awaiting",I95)))</f>
        <v/>
      </c>
      <c r="C95" s="60">
        <f>IF(OR(B95="Awaiting",B95="Not sure yet"),IF(AD95&lt;&gt;"",HYPERLINK(AD95,"💬 Remind"),"add mobile"),"")</f>
        <v/>
      </c>
      <c r="D95" s="58" t="n"/>
      <c r="E95" s="10" t="n"/>
      <c r="F95" s="10" t="n"/>
      <c r="G95" s="10" t="n"/>
      <c r="H95" s="10" t="n"/>
      <c r="I95" s="10" t="n"/>
      <c r="J95" s="10" t="n"/>
      <c r="K95" s="10" t="n"/>
      <c r="L95" s="56" t="n"/>
      <c r="M95" s="10" t="n"/>
      <c r="N95" s="12" t="n"/>
      <c r="O95" s="10" t="n"/>
      <c r="P95" s="10" t="n"/>
      <c r="Q95" s="61">
        <f>IF(V95="","",IF(T95="","Covered by "&amp;INDEX('Form Calc'!$B:$B,V95)&amp;"'s reply (same party)","Replied "&amp;TEXT(INDEX('Form Calc'!$A:$A,T95),"mm/dd")&amp;" · "&amp;INDEX('Form Calc'!$H:$H,T95)&amp;" adult(s), "&amp;INDEX('Form Calc'!$I:$I,T95)&amp;" child(ren)"&amp;IF(INDEX('Form Calc'!$K:$K,T95)&lt;&gt;""," · "&amp;INDEX('Form Calc'!$K:$K,T95),"")&amp;IF(INDEX('Form Calc'!$M:$M,T95)&lt;&gt;""," · “"&amp;INDEX('Form Calc'!$M:$M,T95)&amp;"”","")))</f>
        <v/>
      </c>
      <c r="R95" s="32">
        <f>SUBSTITUTE(SUBSTITUTE(SUBSTITUTE(SUBSTITUTE(SUBSTITUTE(SUBSTITUTE(SUBSTITUTE(SUBSTITUTE(D95&amp;""," ",""),"-",""),"(",""),")",""),".",""),"+",""),"/",""),CHAR(160),"")</f>
        <v/>
      </c>
      <c r="S95" s="32">
        <f>IF(LEN(R95)&gt;=10,RIGHT(R95,10),R95)</f>
        <v/>
      </c>
      <c r="T95" s="32">
        <f>IF(TRIM(A95&amp;"")="","",IF(S95&lt;&gt;"",IFERROR(MATCH(S95,'Form Calc'!$P:$P,0),IFERROR(MATCH(TRIM(A95&amp;""),'Form Calc'!$Q:$Q,0),"")),IFERROR(MATCH(TRIM(A95&amp;""),'Form Calc'!$Q:$Q,0),"")))</f>
        <v/>
      </c>
      <c r="U95" s="32">
        <f>IF(AND(T95&lt;&gt;"",TRIM(E95&amp;"")&lt;&gt;""),TRIM(E95&amp;""),"")</f>
        <v/>
      </c>
      <c r="V95" s="32">
        <f>IF(TRIM(A95&amp;"")="","",IF(T95&lt;&gt;"",T95,IF(TRIM(E95&amp;"")="","",IFERROR(INDEX($T$6:$T$505,MATCH(TRIM(E95&amp;""),$U$6:$U$505,0)),""))))</f>
        <v/>
      </c>
      <c r="W95" s="32">
        <f>IF(V95="","",INDEX('Form Calc'!$G:$G,V95))</f>
        <v/>
      </c>
      <c r="X95" s="32">
        <f>IF(TRIM(A95&amp;"")="","",IF(T95&lt;&gt;"",IF(INDEX('Form Calc'!$K:$K,T95)&lt;&gt;"",INDEX('Form Calc'!$K:$K,T95),J95&amp;""),J95&amp;""))</f>
        <v/>
      </c>
      <c r="Y95" s="32">
        <f>IF(TRIM(A95&amp;"")="","",IF(TRIM(D95&amp;"")&lt;&gt;"",TRIM(D95&amp;""),IF(T95&lt;&gt;"",INDEX('Form Calc'!$C:$C,T95)&amp;"","")))</f>
        <v/>
      </c>
      <c r="Z95" s="32">
        <f>SUBSTITUTE(SUBSTITUTE(SUBSTITUTE(SUBSTITUTE(SUBSTITUTE(SUBSTITUTE(SUBSTITUTE(SUBSTITUTE(Y95," ",""),"-",""),"(",""),")",""),".",""),"+",""),"/",""),CHAR(160),"")</f>
        <v/>
      </c>
      <c r="AA95" s="32">
        <f>IF(Z95="","",IF(LEN(Z95)=10,"+1"&amp;Z95,IF(AND(LEN(Z95)=11,LEFT(Z95,1)="1"),"+"&amp;Z95,IF(LEFT(Y95,1)="+","+"&amp;Z95,Z95))))</f>
        <v/>
      </c>
      <c r="AB95" s="32">
        <f>IF(TRIM(A95&amp;"")="","",IF(TRIM(M95&amp;"")&lt;&gt;"",TRIM(M95&amp;""),IFERROR(LEFT(TRIM(A95&amp;""),FIND(" ",TRIM(A95&amp;""))-1),TRIM(A95&amp;""))))</f>
        <v/>
      </c>
      <c r="AC95" s="32">
        <f>SUBSTITUTE(SUBSTITUTE(SUBSTITUTE(SUBSTITUTE(SUBSTITUTE(SUBSTITUTE(SUBSTITUTE(SUBSTITUTE(SUBSTITUTE(SUBSTITUTE(AB95,"%","%25"),"&amp;","%26"),"#","%23"),"+","%2B"),"=","%3D"),"?","%3F"),CHAR(34),"%22"),CHAR(10),"%0A"),CHAR(13),"")," ","+")</f>
        <v/>
      </c>
      <c r="AD95" s="32">
        <f>IF(OR(AA95="",AB95=""),"",'Start Here'!$B$20&amp;"#p="&amp;SUBSTITUTE(AA95,"+","%2B")&amp;"&amp;n="&amp;AC95&amp;"&amp;m="&amp;SUBSTITUTE('Start Here'!$B$24,"{name}",AC95))</f>
        <v/>
      </c>
      <c r="AE95" s="32">
        <f>LEN(AD95)</f>
        <v/>
      </c>
      <c r="AF95" s="32">
        <f>IF(AND(TRIM(A95&amp;"")&lt;&gt;"",OR(B95="Awaiting",B95="Not sure yet")),1,0)</f>
        <v/>
      </c>
      <c r="AG95" s="32">
        <f>N(AG94)+AF95</f>
        <v/>
      </c>
      <c r="AH95" s="32">
        <f>IF(AF95=1,AG95,"")</f>
        <v/>
      </c>
      <c r="AI95" s="32">
        <f>IF(AND(TRIM(A95&amp;"")&lt;&gt;"",L95&amp;""&lt;&gt;"",L95&amp;""=Seating!$I$3&amp;"",B95&lt;&gt;"Declined"),1,0)</f>
        <v/>
      </c>
      <c r="AJ95" s="32">
        <f>N(AJ94)+AI95</f>
        <v/>
      </c>
      <c r="AK95" s="32">
        <f>IF(AI95=1,AJ95,"")</f>
        <v/>
      </c>
    </row>
    <row r="96">
      <c r="A96" s="10" t="n"/>
      <c r="B96" s="47">
        <f>IF(TRIM(A96&amp;"")="","",IF(W96&lt;&gt;"",W96,IF(I96="","Awaiting",I96)))</f>
        <v/>
      </c>
      <c r="C96" s="60">
        <f>IF(OR(B96="Awaiting",B96="Not sure yet"),IF(AD96&lt;&gt;"",HYPERLINK(AD96,"💬 Remind"),"add mobile"),"")</f>
        <v/>
      </c>
      <c r="D96" s="58" t="n"/>
      <c r="E96" s="10" t="n"/>
      <c r="F96" s="10" t="n"/>
      <c r="G96" s="10" t="n"/>
      <c r="H96" s="10" t="n"/>
      <c r="I96" s="10" t="n"/>
      <c r="J96" s="10" t="n"/>
      <c r="K96" s="10" t="n"/>
      <c r="L96" s="56" t="n"/>
      <c r="M96" s="10" t="n"/>
      <c r="N96" s="12" t="n"/>
      <c r="O96" s="10" t="n"/>
      <c r="P96" s="10" t="n"/>
      <c r="Q96" s="61">
        <f>IF(V96="","",IF(T96="","Covered by "&amp;INDEX('Form Calc'!$B:$B,V96)&amp;"'s reply (same party)","Replied "&amp;TEXT(INDEX('Form Calc'!$A:$A,T96),"mm/dd")&amp;" · "&amp;INDEX('Form Calc'!$H:$H,T96)&amp;" adult(s), "&amp;INDEX('Form Calc'!$I:$I,T96)&amp;" child(ren)"&amp;IF(INDEX('Form Calc'!$K:$K,T96)&lt;&gt;""," · "&amp;INDEX('Form Calc'!$K:$K,T96),"")&amp;IF(INDEX('Form Calc'!$M:$M,T96)&lt;&gt;""," · “"&amp;INDEX('Form Calc'!$M:$M,T96)&amp;"”","")))</f>
        <v/>
      </c>
      <c r="R96" s="32">
        <f>SUBSTITUTE(SUBSTITUTE(SUBSTITUTE(SUBSTITUTE(SUBSTITUTE(SUBSTITUTE(SUBSTITUTE(SUBSTITUTE(D96&amp;""," ",""),"-",""),"(",""),")",""),".",""),"+",""),"/",""),CHAR(160),"")</f>
        <v/>
      </c>
      <c r="S96" s="32">
        <f>IF(LEN(R96)&gt;=10,RIGHT(R96,10),R96)</f>
        <v/>
      </c>
      <c r="T96" s="32">
        <f>IF(TRIM(A96&amp;"")="","",IF(S96&lt;&gt;"",IFERROR(MATCH(S96,'Form Calc'!$P:$P,0),IFERROR(MATCH(TRIM(A96&amp;""),'Form Calc'!$Q:$Q,0),"")),IFERROR(MATCH(TRIM(A96&amp;""),'Form Calc'!$Q:$Q,0),"")))</f>
        <v/>
      </c>
      <c r="U96" s="32">
        <f>IF(AND(T96&lt;&gt;"",TRIM(E96&amp;"")&lt;&gt;""),TRIM(E96&amp;""),"")</f>
        <v/>
      </c>
      <c r="V96" s="32">
        <f>IF(TRIM(A96&amp;"")="","",IF(T96&lt;&gt;"",T96,IF(TRIM(E96&amp;"")="","",IFERROR(INDEX($T$6:$T$505,MATCH(TRIM(E96&amp;""),$U$6:$U$505,0)),""))))</f>
        <v/>
      </c>
      <c r="W96" s="32">
        <f>IF(V96="","",INDEX('Form Calc'!$G:$G,V96))</f>
        <v/>
      </c>
      <c r="X96" s="32">
        <f>IF(TRIM(A96&amp;"")="","",IF(T96&lt;&gt;"",IF(INDEX('Form Calc'!$K:$K,T96)&lt;&gt;"",INDEX('Form Calc'!$K:$K,T96),J96&amp;""),J96&amp;""))</f>
        <v/>
      </c>
      <c r="Y96" s="32">
        <f>IF(TRIM(A96&amp;"")="","",IF(TRIM(D96&amp;"")&lt;&gt;"",TRIM(D96&amp;""),IF(T96&lt;&gt;"",INDEX('Form Calc'!$C:$C,T96)&amp;"","")))</f>
        <v/>
      </c>
      <c r="Z96" s="32">
        <f>SUBSTITUTE(SUBSTITUTE(SUBSTITUTE(SUBSTITUTE(SUBSTITUTE(SUBSTITUTE(SUBSTITUTE(SUBSTITUTE(Y96," ",""),"-",""),"(",""),")",""),".",""),"+",""),"/",""),CHAR(160),"")</f>
        <v/>
      </c>
      <c r="AA96" s="32">
        <f>IF(Z96="","",IF(LEN(Z96)=10,"+1"&amp;Z96,IF(AND(LEN(Z96)=11,LEFT(Z96,1)="1"),"+"&amp;Z96,IF(LEFT(Y96,1)="+","+"&amp;Z96,Z96))))</f>
        <v/>
      </c>
      <c r="AB96" s="32">
        <f>IF(TRIM(A96&amp;"")="","",IF(TRIM(M96&amp;"")&lt;&gt;"",TRIM(M96&amp;""),IFERROR(LEFT(TRIM(A96&amp;""),FIND(" ",TRIM(A96&amp;""))-1),TRIM(A96&amp;""))))</f>
        <v/>
      </c>
      <c r="AC96" s="32">
        <f>SUBSTITUTE(SUBSTITUTE(SUBSTITUTE(SUBSTITUTE(SUBSTITUTE(SUBSTITUTE(SUBSTITUTE(SUBSTITUTE(SUBSTITUTE(SUBSTITUTE(AB96,"%","%25"),"&amp;","%26"),"#","%23"),"+","%2B"),"=","%3D"),"?","%3F"),CHAR(34),"%22"),CHAR(10),"%0A"),CHAR(13),"")," ","+")</f>
        <v/>
      </c>
      <c r="AD96" s="32">
        <f>IF(OR(AA96="",AB96=""),"",'Start Here'!$B$20&amp;"#p="&amp;SUBSTITUTE(AA96,"+","%2B")&amp;"&amp;n="&amp;AC96&amp;"&amp;m="&amp;SUBSTITUTE('Start Here'!$B$24,"{name}",AC96))</f>
        <v/>
      </c>
      <c r="AE96" s="32">
        <f>LEN(AD96)</f>
        <v/>
      </c>
      <c r="AF96" s="32">
        <f>IF(AND(TRIM(A96&amp;"")&lt;&gt;"",OR(B96="Awaiting",B96="Not sure yet")),1,0)</f>
        <v/>
      </c>
      <c r="AG96" s="32">
        <f>N(AG95)+AF96</f>
        <v/>
      </c>
      <c r="AH96" s="32">
        <f>IF(AF96=1,AG96,"")</f>
        <v/>
      </c>
      <c r="AI96" s="32">
        <f>IF(AND(TRIM(A96&amp;"")&lt;&gt;"",L96&amp;""&lt;&gt;"",L96&amp;""=Seating!$I$3&amp;"",B96&lt;&gt;"Declined"),1,0)</f>
        <v/>
      </c>
      <c r="AJ96" s="32">
        <f>N(AJ95)+AI96</f>
        <v/>
      </c>
      <c r="AK96" s="32">
        <f>IF(AI96=1,AJ96,"")</f>
        <v/>
      </c>
    </row>
    <row r="97">
      <c r="A97" s="10" t="n"/>
      <c r="B97" s="47">
        <f>IF(TRIM(A97&amp;"")="","",IF(W97&lt;&gt;"",W97,IF(I97="","Awaiting",I97)))</f>
        <v/>
      </c>
      <c r="C97" s="60">
        <f>IF(OR(B97="Awaiting",B97="Not sure yet"),IF(AD97&lt;&gt;"",HYPERLINK(AD97,"💬 Remind"),"add mobile"),"")</f>
        <v/>
      </c>
      <c r="D97" s="58" t="n"/>
      <c r="E97" s="10" t="n"/>
      <c r="F97" s="10" t="n"/>
      <c r="G97" s="10" t="n"/>
      <c r="H97" s="10" t="n"/>
      <c r="I97" s="10" t="n"/>
      <c r="J97" s="10" t="n"/>
      <c r="K97" s="10" t="n"/>
      <c r="L97" s="56" t="n"/>
      <c r="M97" s="10" t="n"/>
      <c r="N97" s="12" t="n"/>
      <c r="O97" s="10" t="n"/>
      <c r="P97" s="10" t="n"/>
      <c r="Q97" s="61">
        <f>IF(V97="","",IF(T97="","Covered by "&amp;INDEX('Form Calc'!$B:$B,V97)&amp;"'s reply (same party)","Replied "&amp;TEXT(INDEX('Form Calc'!$A:$A,T97),"mm/dd")&amp;" · "&amp;INDEX('Form Calc'!$H:$H,T97)&amp;" adult(s), "&amp;INDEX('Form Calc'!$I:$I,T97)&amp;" child(ren)"&amp;IF(INDEX('Form Calc'!$K:$K,T97)&lt;&gt;""," · "&amp;INDEX('Form Calc'!$K:$K,T97),"")&amp;IF(INDEX('Form Calc'!$M:$M,T97)&lt;&gt;""," · “"&amp;INDEX('Form Calc'!$M:$M,T97)&amp;"”","")))</f>
        <v/>
      </c>
      <c r="R97" s="32">
        <f>SUBSTITUTE(SUBSTITUTE(SUBSTITUTE(SUBSTITUTE(SUBSTITUTE(SUBSTITUTE(SUBSTITUTE(SUBSTITUTE(D97&amp;""," ",""),"-",""),"(",""),")",""),".",""),"+",""),"/",""),CHAR(160),"")</f>
        <v/>
      </c>
      <c r="S97" s="32">
        <f>IF(LEN(R97)&gt;=10,RIGHT(R97,10),R97)</f>
        <v/>
      </c>
      <c r="T97" s="32">
        <f>IF(TRIM(A97&amp;"")="","",IF(S97&lt;&gt;"",IFERROR(MATCH(S97,'Form Calc'!$P:$P,0),IFERROR(MATCH(TRIM(A97&amp;""),'Form Calc'!$Q:$Q,0),"")),IFERROR(MATCH(TRIM(A97&amp;""),'Form Calc'!$Q:$Q,0),"")))</f>
        <v/>
      </c>
      <c r="U97" s="32">
        <f>IF(AND(T97&lt;&gt;"",TRIM(E97&amp;"")&lt;&gt;""),TRIM(E97&amp;""),"")</f>
        <v/>
      </c>
      <c r="V97" s="32">
        <f>IF(TRIM(A97&amp;"")="","",IF(T97&lt;&gt;"",T97,IF(TRIM(E97&amp;"")="","",IFERROR(INDEX($T$6:$T$505,MATCH(TRIM(E97&amp;""),$U$6:$U$505,0)),""))))</f>
        <v/>
      </c>
      <c r="W97" s="32">
        <f>IF(V97="","",INDEX('Form Calc'!$G:$G,V97))</f>
        <v/>
      </c>
      <c r="X97" s="32">
        <f>IF(TRIM(A97&amp;"")="","",IF(T97&lt;&gt;"",IF(INDEX('Form Calc'!$K:$K,T97)&lt;&gt;"",INDEX('Form Calc'!$K:$K,T97),J97&amp;""),J97&amp;""))</f>
        <v/>
      </c>
      <c r="Y97" s="32">
        <f>IF(TRIM(A97&amp;"")="","",IF(TRIM(D97&amp;"")&lt;&gt;"",TRIM(D97&amp;""),IF(T97&lt;&gt;"",INDEX('Form Calc'!$C:$C,T97)&amp;"","")))</f>
        <v/>
      </c>
      <c r="Z97" s="32">
        <f>SUBSTITUTE(SUBSTITUTE(SUBSTITUTE(SUBSTITUTE(SUBSTITUTE(SUBSTITUTE(SUBSTITUTE(SUBSTITUTE(Y97," ",""),"-",""),"(",""),")",""),".",""),"+",""),"/",""),CHAR(160),"")</f>
        <v/>
      </c>
      <c r="AA97" s="32">
        <f>IF(Z97="","",IF(LEN(Z97)=10,"+1"&amp;Z97,IF(AND(LEN(Z97)=11,LEFT(Z97,1)="1"),"+"&amp;Z97,IF(LEFT(Y97,1)="+","+"&amp;Z97,Z97))))</f>
        <v/>
      </c>
      <c r="AB97" s="32">
        <f>IF(TRIM(A97&amp;"")="","",IF(TRIM(M97&amp;"")&lt;&gt;"",TRIM(M97&amp;""),IFERROR(LEFT(TRIM(A97&amp;""),FIND(" ",TRIM(A97&amp;""))-1),TRIM(A97&amp;""))))</f>
        <v/>
      </c>
      <c r="AC97" s="32">
        <f>SUBSTITUTE(SUBSTITUTE(SUBSTITUTE(SUBSTITUTE(SUBSTITUTE(SUBSTITUTE(SUBSTITUTE(SUBSTITUTE(SUBSTITUTE(SUBSTITUTE(AB97,"%","%25"),"&amp;","%26"),"#","%23"),"+","%2B"),"=","%3D"),"?","%3F"),CHAR(34),"%22"),CHAR(10),"%0A"),CHAR(13),"")," ","+")</f>
        <v/>
      </c>
      <c r="AD97" s="32">
        <f>IF(OR(AA97="",AB97=""),"",'Start Here'!$B$20&amp;"#p="&amp;SUBSTITUTE(AA97,"+","%2B")&amp;"&amp;n="&amp;AC97&amp;"&amp;m="&amp;SUBSTITUTE('Start Here'!$B$24,"{name}",AC97))</f>
        <v/>
      </c>
      <c r="AE97" s="32">
        <f>LEN(AD97)</f>
        <v/>
      </c>
      <c r="AF97" s="32">
        <f>IF(AND(TRIM(A97&amp;"")&lt;&gt;"",OR(B97="Awaiting",B97="Not sure yet")),1,0)</f>
        <v/>
      </c>
      <c r="AG97" s="32">
        <f>N(AG96)+AF97</f>
        <v/>
      </c>
      <c r="AH97" s="32">
        <f>IF(AF97=1,AG97,"")</f>
        <v/>
      </c>
      <c r="AI97" s="32">
        <f>IF(AND(TRIM(A97&amp;"")&lt;&gt;"",L97&amp;""&lt;&gt;"",L97&amp;""=Seating!$I$3&amp;"",B97&lt;&gt;"Declined"),1,0)</f>
        <v/>
      </c>
      <c r="AJ97" s="32">
        <f>N(AJ96)+AI97</f>
        <v/>
      </c>
      <c r="AK97" s="32">
        <f>IF(AI97=1,AJ97,"")</f>
        <v/>
      </c>
    </row>
    <row r="98">
      <c r="A98" s="10" t="n"/>
      <c r="B98" s="47">
        <f>IF(TRIM(A98&amp;"")="","",IF(W98&lt;&gt;"",W98,IF(I98="","Awaiting",I98)))</f>
        <v/>
      </c>
      <c r="C98" s="60">
        <f>IF(OR(B98="Awaiting",B98="Not sure yet"),IF(AD98&lt;&gt;"",HYPERLINK(AD98,"💬 Remind"),"add mobile"),"")</f>
        <v/>
      </c>
      <c r="D98" s="58" t="n"/>
      <c r="E98" s="10" t="n"/>
      <c r="F98" s="10" t="n"/>
      <c r="G98" s="10" t="n"/>
      <c r="H98" s="10" t="n"/>
      <c r="I98" s="10" t="n"/>
      <c r="J98" s="10" t="n"/>
      <c r="K98" s="10" t="n"/>
      <c r="L98" s="56" t="n"/>
      <c r="M98" s="10" t="n"/>
      <c r="N98" s="12" t="n"/>
      <c r="O98" s="10" t="n"/>
      <c r="P98" s="10" t="n"/>
      <c r="Q98" s="61">
        <f>IF(V98="","",IF(T98="","Covered by "&amp;INDEX('Form Calc'!$B:$B,V98)&amp;"'s reply (same party)","Replied "&amp;TEXT(INDEX('Form Calc'!$A:$A,T98),"mm/dd")&amp;" · "&amp;INDEX('Form Calc'!$H:$H,T98)&amp;" adult(s), "&amp;INDEX('Form Calc'!$I:$I,T98)&amp;" child(ren)"&amp;IF(INDEX('Form Calc'!$K:$K,T98)&lt;&gt;""," · "&amp;INDEX('Form Calc'!$K:$K,T98),"")&amp;IF(INDEX('Form Calc'!$M:$M,T98)&lt;&gt;""," · “"&amp;INDEX('Form Calc'!$M:$M,T98)&amp;"”","")))</f>
        <v/>
      </c>
      <c r="R98" s="32">
        <f>SUBSTITUTE(SUBSTITUTE(SUBSTITUTE(SUBSTITUTE(SUBSTITUTE(SUBSTITUTE(SUBSTITUTE(SUBSTITUTE(D98&amp;""," ",""),"-",""),"(",""),")",""),".",""),"+",""),"/",""),CHAR(160),"")</f>
        <v/>
      </c>
      <c r="S98" s="32">
        <f>IF(LEN(R98)&gt;=10,RIGHT(R98,10),R98)</f>
        <v/>
      </c>
      <c r="T98" s="32">
        <f>IF(TRIM(A98&amp;"")="","",IF(S98&lt;&gt;"",IFERROR(MATCH(S98,'Form Calc'!$P:$P,0),IFERROR(MATCH(TRIM(A98&amp;""),'Form Calc'!$Q:$Q,0),"")),IFERROR(MATCH(TRIM(A98&amp;""),'Form Calc'!$Q:$Q,0),"")))</f>
        <v/>
      </c>
      <c r="U98" s="32">
        <f>IF(AND(T98&lt;&gt;"",TRIM(E98&amp;"")&lt;&gt;""),TRIM(E98&amp;""),"")</f>
        <v/>
      </c>
      <c r="V98" s="32">
        <f>IF(TRIM(A98&amp;"")="","",IF(T98&lt;&gt;"",T98,IF(TRIM(E98&amp;"")="","",IFERROR(INDEX($T$6:$T$505,MATCH(TRIM(E98&amp;""),$U$6:$U$505,0)),""))))</f>
        <v/>
      </c>
      <c r="W98" s="32">
        <f>IF(V98="","",INDEX('Form Calc'!$G:$G,V98))</f>
        <v/>
      </c>
      <c r="X98" s="32">
        <f>IF(TRIM(A98&amp;"")="","",IF(T98&lt;&gt;"",IF(INDEX('Form Calc'!$K:$K,T98)&lt;&gt;"",INDEX('Form Calc'!$K:$K,T98),J98&amp;""),J98&amp;""))</f>
        <v/>
      </c>
      <c r="Y98" s="32">
        <f>IF(TRIM(A98&amp;"")="","",IF(TRIM(D98&amp;"")&lt;&gt;"",TRIM(D98&amp;""),IF(T98&lt;&gt;"",INDEX('Form Calc'!$C:$C,T98)&amp;"","")))</f>
        <v/>
      </c>
      <c r="Z98" s="32">
        <f>SUBSTITUTE(SUBSTITUTE(SUBSTITUTE(SUBSTITUTE(SUBSTITUTE(SUBSTITUTE(SUBSTITUTE(SUBSTITUTE(Y98," ",""),"-",""),"(",""),")",""),".",""),"+",""),"/",""),CHAR(160),"")</f>
        <v/>
      </c>
      <c r="AA98" s="32">
        <f>IF(Z98="","",IF(LEN(Z98)=10,"+1"&amp;Z98,IF(AND(LEN(Z98)=11,LEFT(Z98,1)="1"),"+"&amp;Z98,IF(LEFT(Y98,1)="+","+"&amp;Z98,Z98))))</f>
        <v/>
      </c>
      <c r="AB98" s="32">
        <f>IF(TRIM(A98&amp;"")="","",IF(TRIM(M98&amp;"")&lt;&gt;"",TRIM(M98&amp;""),IFERROR(LEFT(TRIM(A98&amp;""),FIND(" ",TRIM(A98&amp;""))-1),TRIM(A98&amp;""))))</f>
        <v/>
      </c>
      <c r="AC98" s="32">
        <f>SUBSTITUTE(SUBSTITUTE(SUBSTITUTE(SUBSTITUTE(SUBSTITUTE(SUBSTITUTE(SUBSTITUTE(SUBSTITUTE(SUBSTITUTE(SUBSTITUTE(AB98,"%","%25"),"&amp;","%26"),"#","%23"),"+","%2B"),"=","%3D"),"?","%3F"),CHAR(34),"%22"),CHAR(10),"%0A"),CHAR(13),"")," ","+")</f>
        <v/>
      </c>
      <c r="AD98" s="32">
        <f>IF(OR(AA98="",AB98=""),"",'Start Here'!$B$20&amp;"#p="&amp;SUBSTITUTE(AA98,"+","%2B")&amp;"&amp;n="&amp;AC98&amp;"&amp;m="&amp;SUBSTITUTE('Start Here'!$B$24,"{name}",AC98))</f>
        <v/>
      </c>
      <c r="AE98" s="32">
        <f>LEN(AD98)</f>
        <v/>
      </c>
      <c r="AF98" s="32">
        <f>IF(AND(TRIM(A98&amp;"")&lt;&gt;"",OR(B98="Awaiting",B98="Not sure yet")),1,0)</f>
        <v/>
      </c>
      <c r="AG98" s="32">
        <f>N(AG97)+AF98</f>
        <v/>
      </c>
      <c r="AH98" s="32">
        <f>IF(AF98=1,AG98,"")</f>
        <v/>
      </c>
      <c r="AI98" s="32">
        <f>IF(AND(TRIM(A98&amp;"")&lt;&gt;"",L98&amp;""&lt;&gt;"",L98&amp;""=Seating!$I$3&amp;"",B98&lt;&gt;"Declined"),1,0)</f>
        <v/>
      </c>
      <c r="AJ98" s="32">
        <f>N(AJ97)+AI98</f>
        <v/>
      </c>
      <c r="AK98" s="32">
        <f>IF(AI98=1,AJ98,"")</f>
        <v/>
      </c>
    </row>
    <row r="99">
      <c r="A99" s="10" t="n"/>
      <c r="B99" s="47">
        <f>IF(TRIM(A99&amp;"")="","",IF(W99&lt;&gt;"",W99,IF(I99="","Awaiting",I99)))</f>
        <v/>
      </c>
      <c r="C99" s="60">
        <f>IF(OR(B99="Awaiting",B99="Not sure yet"),IF(AD99&lt;&gt;"",HYPERLINK(AD99,"💬 Remind"),"add mobile"),"")</f>
        <v/>
      </c>
      <c r="D99" s="58" t="n"/>
      <c r="E99" s="10" t="n"/>
      <c r="F99" s="10" t="n"/>
      <c r="G99" s="10" t="n"/>
      <c r="H99" s="10" t="n"/>
      <c r="I99" s="10" t="n"/>
      <c r="J99" s="10" t="n"/>
      <c r="K99" s="10" t="n"/>
      <c r="L99" s="56" t="n"/>
      <c r="M99" s="10" t="n"/>
      <c r="N99" s="12" t="n"/>
      <c r="O99" s="10" t="n"/>
      <c r="P99" s="10" t="n"/>
      <c r="Q99" s="61">
        <f>IF(V99="","",IF(T99="","Covered by "&amp;INDEX('Form Calc'!$B:$B,V99)&amp;"'s reply (same party)","Replied "&amp;TEXT(INDEX('Form Calc'!$A:$A,T99),"mm/dd")&amp;" · "&amp;INDEX('Form Calc'!$H:$H,T99)&amp;" adult(s), "&amp;INDEX('Form Calc'!$I:$I,T99)&amp;" child(ren)"&amp;IF(INDEX('Form Calc'!$K:$K,T99)&lt;&gt;""," · "&amp;INDEX('Form Calc'!$K:$K,T99),"")&amp;IF(INDEX('Form Calc'!$M:$M,T99)&lt;&gt;""," · “"&amp;INDEX('Form Calc'!$M:$M,T99)&amp;"”","")))</f>
        <v/>
      </c>
      <c r="R99" s="32">
        <f>SUBSTITUTE(SUBSTITUTE(SUBSTITUTE(SUBSTITUTE(SUBSTITUTE(SUBSTITUTE(SUBSTITUTE(SUBSTITUTE(D99&amp;""," ",""),"-",""),"(",""),")",""),".",""),"+",""),"/",""),CHAR(160),"")</f>
        <v/>
      </c>
      <c r="S99" s="32">
        <f>IF(LEN(R99)&gt;=10,RIGHT(R99,10),R99)</f>
        <v/>
      </c>
      <c r="T99" s="32">
        <f>IF(TRIM(A99&amp;"")="","",IF(S99&lt;&gt;"",IFERROR(MATCH(S99,'Form Calc'!$P:$P,0),IFERROR(MATCH(TRIM(A99&amp;""),'Form Calc'!$Q:$Q,0),"")),IFERROR(MATCH(TRIM(A99&amp;""),'Form Calc'!$Q:$Q,0),"")))</f>
        <v/>
      </c>
      <c r="U99" s="32">
        <f>IF(AND(T99&lt;&gt;"",TRIM(E99&amp;"")&lt;&gt;""),TRIM(E99&amp;""),"")</f>
        <v/>
      </c>
      <c r="V99" s="32">
        <f>IF(TRIM(A99&amp;"")="","",IF(T99&lt;&gt;"",T99,IF(TRIM(E99&amp;"")="","",IFERROR(INDEX($T$6:$T$505,MATCH(TRIM(E99&amp;""),$U$6:$U$505,0)),""))))</f>
        <v/>
      </c>
      <c r="W99" s="32">
        <f>IF(V99="","",INDEX('Form Calc'!$G:$G,V99))</f>
        <v/>
      </c>
      <c r="X99" s="32">
        <f>IF(TRIM(A99&amp;"")="","",IF(T99&lt;&gt;"",IF(INDEX('Form Calc'!$K:$K,T99)&lt;&gt;"",INDEX('Form Calc'!$K:$K,T99),J99&amp;""),J99&amp;""))</f>
        <v/>
      </c>
      <c r="Y99" s="32">
        <f>IF(TRIM(A99&amp;"")="","",IF(TRIM(D99&amp;"")&lt;&gt;"",TRIM(D99&amp;""),IF(T99&lt;&gt;"",INDEX('Form Calc'!$C:$C,T99)&amp;"","")))</f>
        <v/>
      </c>
      <c r="Z99" s="32">
        <f>SUBSTITUTE(SUBSTITUTE(SUBSTITUTE(SUBSTITUTE(SUBSTITUTE(SUBSTITUTE(SUBSTITUTE(SUBSTITUTE(Y99," ",""),"-",""),"(",""),")",""),".",""),"+",""),"/",""),CHAR(160),"")</f>
        <v/>
      </c>
      <c r="AA99" s="32">
        <f>IF(Z99="","",IF(LEN(Z99)=10,"+1"&amp;Z99,IF(AND(LEN(Z99)=11,LEFT(Z99,1)="1"),"+"&amp;Z99,IF(LEFT(Y99,1)="+","+"&amp;Z99,Z99))))</f>
        <v/>
      </c>
      <c r="AB99" s="32">
        <f>IF(TRIM(A99&amp;"")="","",IF(TRIM(M99&amp;"")&lt;&gt;"",TRIM(M99&amp;""),IFERROR(LEFT(TRIM(A99&amp;""),FIND(" ",TRIM(A99&amp;""))-1),TRIM(A99&amp;""))))</f>
        <v/>
      </c>
      <c r="AC99" s="32">
        <f>SUBSTITUTE(SUBSTITUTE(SUBSTITUTE(SUBSTITUTE(SUBSTITUTE(SUBSTITUTE(SUBSTITUTE(SUBSTITUTE(SUBSTITUTE(SUBSTITUTE(AB99,"%","%25"),"&amp;","%26"),"#","%23"),"+","%2B"),"=","%3D"),"?","%3F"),CHAR(34),"%22"),CHAR(10),"%0A"),CHAR(13),"")," ","+")</f>
        <v/>
      </c>
      <c r="AD99" s="32">
        <f>IF(OR(AA99="",AB99=""),"",'Start Here'!$B$20&amp;"#p="&amp;SUBSTITUTE(AA99,"+","%2B")&amp;"&amp;n="&amp;AC99&amp;"&amp;m="&amp;SUBSTITUTE('Start Here'!$B$24,"{name}",AC99))</f>
        <v/>
      </c>
      <c r="AE99" s="32">
        <f>LEN(AD99)</f>
        <v/>
      </c>
      <c r="AF99" s="32">
        <f>IF(AND(TRIM(A99&amp;"")&lt;&gt;"",OR(B99="Awaiting",B99="Not sure yet")),1,0)</f>
        <v/>
      </c>
      <c r="AG99" s="32">
        <f>N(AG98)+AF99</f>
        <v/>
      </c>
      <c r="AH99" s="32">
        <f>IF(AF99=1,AG99,"")</f>
        <v/>
      </c>
      <c r="AI99" s="32">
        <f>IF(AND(TRIM(A99&amp;"")&lt;&gt;"",L99&amp;""&lt;&gt;"",L99&amp;""=Seating!$I$3&amp;"",B99&lt;&gt;"Declined"),1,0)</f>
        <v/>
      </c>
      <c r="AJ99" s="32">
        <f>N(AJ98)+AI99</f>
        <v/>
      </c>
      <c r="AK99" s="32">
        <f>IF(AI99=1,AJ99,"")</f>
        <v/>
      </c>
    </row>
    <row r="100">
      <c r="A100" s="10" t="n"/>
      <c r="B100" s="47">
        <f>IF(TRIM(A100&amp;"")="","",IF(W100&lt;&gt;"",W100,IF(I100="","Awaiting",I100)))</f>
        <v/>
      </c>
      <c r="C100" s="60">
        <f>IF(OR(B100="Awaiting",B100="Not sure yet"),IF(AD100&lt;&gt;"",HYPERLINK(AD100,"💬 Remind"),"add mobile"),"")</f>
        <v/>
      </c>
      <c r="D100" s="58" t="n"/>
      <c r="E100" s="10" t="n"/>
      <c r="F100" s="10" t="n"/>
      <c r="G100" s="10" t="n"/>
      <c r="H100" s="10" t="n"/>
      <c r="I100" s="10" t="n"/>
      <c r="J100" s="10" t="n"/>
      <c r="K100" s="10" t="n"/>
      <c r="L100" s="56" t="n"/>
      <c r="M100" s="10" t="n"/>
      <c r="N100" s="12" t="n"/>
      <c r="O100" s="10" t="n"/>
      <c r="P100" s="10" t="n"/>
      <c r="Q100" s="61">
        <f>IF(V100="","",IF(T100="","Covered by "&amp;INDEX('Form Calc'!$B:$B,V100)&amp;"'s reply (same party)","Replied "&amp;TEXT(INDEX('Form Calc'!$A:$A,T100),"mm/dd")&amp;" · "&amp;INDEX('Form Calc'!$H:$H,T100)&amp;" adult(s), "&amp;INDEX('Form Calc'!$I:$I,T100)&amp;" child(ren)"&amp;IF(INDEX('Form Calc'!$K:$K,T100)&lt;&gt;""," · "&amp;INDEX('Form Calc'!$K:$K,T100),"")&amp;IF(INDEX('Form Calc'!$M:$M,T100)&lt;&gt;""," · “"&amp;INDEX('Form Calc'!$M:$M,T100)&amp;"”","")))</f>
        <v/>
      </c>
      <c r="R100" s="32">
        <f>SUBSTITUTE(SUBSTITUTE(SUBSTITUTE(SUBSTITUTE(SUBSTITUTE(SUBSTITUTE(SUBSTITUTE(SUBSTITUTE(D100&amp;""," ",""),"-",""),"(",""),")",""),".",""),"+",""),"/",""),CHAR(160),"")</f>
        <v/>
      </c>
      <c r="S100" s="32">
        <f>IF(LEN(R100)&gt;=10,RIGHT(R100,10),R100)</f>
        <v/>
      </c>
      <c r="T100" s="32">
        <f>IF(TRIM(A100&amp;"")="","",IF(S100&lt;&gt;"",IFERROR(MATCH(S100,'Form Calc'!$P:$P,0),IFERROR(MATCH(TRIM(A100&amp;""),'Form Calc'!$Q:$Q,0),"")),IFERROR(MATCH(TRIM(A100&amp;""),'Form Calc'!$Q:$Q,0),"")))</f>
        <v/>
      </c>
      <c r="U100" s="32">
        <f>IF(AND(T100&lt;&gt;"",TRIM(E100&amp;"")&lt;&gt;""),TRIM(E100&amp;""),"")</f>
        <v/>
      </c>
      <c r="V100" s="32">
        <f>IF(TRIM(A100&amp;"")="","",IF(T100&lt;&gt;"",T100,IF(TRIM(E100&amp;"")="","",IFERROR(INDEX($T$6:$T$505,MATCH(TRIM(E100&amp;""),$U$6:$U$505,0)),""))))</f>
        <v/>
      </c>
      <c r="W100" s="32">
        <f>IF(V100="","",INDEX('Form Calc'!$G:$G,V100))</f>
        <v/>
      </c>
      <c r="X100" s="32">
        <f>IF(TRIM(A100&amp;"")="","",IF(T100&lt;&gt;"",IF(INDEX('Form Calc'!$K:$K,T100)&lt;&gt;"",INDEX('Form Calc'!$K:$K,T100),J100&amp;""),J100&amp;""))</f>
        <v/>
      </c>
      <c r="Y100" s="32">
        <f>IF(TRIM(A100&amp;"")="","",IF(TRIM(D100&amp;"")&lt;&gt;"",TRIM(D100&amp;""),IF(T100&lt;&gt;"",INDEX('Form Calc'!$C:$C,T100)&amp;"","")))</f>
        <v/>
      </c>
      <c r="Z100" s="32">
        <f>SUBSTITUTE(SUBSTITUTE(SUBSTITUTE(SUBSTITUTE(SUBSTITUTE(SUBSTITUTE(SUBSTITUTE(SUBSTITUTE(Y100," ",""),"-",""),"(",""),")",""),".",""),"+",""),"/",""),CHAR(160),"")</f>
        <v/>
      </c>
      <c r="AA100" s="32">
        <f>IF(Z100="","",IF(LEN(Z100)=10,"+1"&amp;Z100,IF(AND(LEN(Z100)=11,LEFT(Z100,1)="1"),"+"&amp;Z100,IF(LEFT(Y100,1)="+","+"&amp;Z100,Z100))))</f>
        <v/>
      </c>
      <c r="AB100" s="32">
        <f>IF(TRIM(A100&amp;"")="","",IF(TRIM(M100&amp;"")&lt;&gt;"",TRIM(M100&amp;""),IFERROR(LEFT(TRIM(A100&amp;""),FIND(" ",TRIM(A100&amp;""))-1),TRIM(A100&amp;""))))</f>
        <v/>
      </c>
      <c r="AC100" s="32">
        <f>SUBSTITUTE(SUBSTITUTE(SUBSTITUTE(SUBSTITUTE(SUBSTITUTE(SUBSTITUTE(SUBSTITUTE(SUBSTITUTE(SUBSTITUTE(SUBSTITUTE(AB100,"%","%25"),"&amp;","%26"),"#","%23"),"+","%2B"),"=","%3D"),"?","%3F"),CHAR(34),"%22"),CHAR(10),"%0A"),CHAR(13),"")," ","+")</f>
        <v/>
      </c>
      <c r="AD100" s="32">
        <f>IF(OR(AA100="",AB100=""),"",'Start Here'!$B$20&amp;"#p="&amp;SUBSTITUTE(AA100,"+","%2B")&amp;"&amp;n="&amp;AC100&amp;"&amp;m="&amp;SUBSTITUTE('Start Here'!$B$24,"{name}",AC100))</f>
        <v/>
      </c>
      <c r="AE100" s="32">
        <f>LEN(AD100)</f>
        <v/>
      </c>
      <c r="AF100" s="32">
        <f>IF(AND(TRIM(A100&amp;"")&lt;&gt;"",OR(B100="Awaiting",B100="Not sure yet")),1,0)</f>
        <v/>
      </c>
      <c r="AG100" s="32">
        <f>N(AG99)+AF100</f>
        <v/>
      </c>
      <c r="AH100" s="32">
        <f>IF(AF100=1,AG100,"")</f>
        <v/>
      </c>
      <c r="AI100" s="32">
        <f>IF(AND(TRIM(A100&amp;"")&lt;&gt;"",L100&amp;""&lt;&gt;"",L100&amp;""=Seating!$I$3&amp;"",B100&lt;&gt;"Declined"),1,0)</f>
        <v/>
      </c>
      <c r="AJ100" s="32">
        <f>N(AJ99)+AI100</f>
        <v/>
      </c>
      <c r="AK100" s="32">
        <f>IF(AI100=1,AJ100,"")</f>
        <v/>
      </c>
    </row>
    <row r="101">
      <c r="A101" s="10" t="n"/>
      <c r="B101" s="47">
        <f>IF(TRIM(A101&amp;"")="","",IF(W101&lt;&gt;"",W101,IF(I101="","Awaiting",I101)))</f>
        <v/>
      </c>
      <c r="C101" s="60">
        <f>IF(OR(B101="Awaiting",B101="Not sure yet"),IF(AD101&lt;&gt;"",HYPERLINK(AD101,"💬 Remind"),"add mobile"),"")</f>
        <v/>
      </c>
      <c r="D101" s="58" t="n"/>
      <c r="E101" s="10" t="n"/>
      <c r="F101" s="10" t="n"/>
      <c r="G101" s="10" t="n"/>
      <c r="H101" s="10" t="n"/>
      <c r="I101" s="10" t="n"/>
      <c r="J101" s="10" t="n"/>
      <c r="K101" s="10" t="n"/>
      <c r="L101" s="56" t="n"/>
      <c r="M101" s="10" t="n"/>
      <c r="N101" s="12" t="n"/>
      <c r="O101" s="10" t="n"/>
      <c r="P101" s="10" t="n"/>
      <c r="Q101" s="61">
        <f>IF(V101="","",IF(T101="","Covered by "&amp;INDEX('Form Calc'!$B:$B,V101)&amp;"'s reply (same party)","Replied "&amp;TEXT(INDEX('Form Calc'!$A:$A,T101),"mm/dd")&amp;" · "&amp;INDEX('Form Calc'!$H:$H,T101)&amp;" adult(s), "&amp;INDEX('Form Calc'!$I:$I,T101)&amp;" child(ren)"&amp;IF(INDEX('Form Calc'!$K:$K,T101)&lt;&gt;""," · "&amp;INDEX('Form Calc'!$K:$K,T101),"")&amp;IF(INDEX('Form Calc'!$M:$M,T101)&lt;&gt;""," · “"&amp;INDEX('Form Calc'!$M:$M,T101)&amp;"”","")))</f>
        <v/>
      </c>
      <c r="R101" s="32">
        <f>SUBSTITUTE(SUBSTITUTE(SUBSTITUTE(SUBSTITUTE(SUBSTITUTE(SUBSTITUTE(SUBSTITUTE(SUBSTITUTE(D101&amp;""," ",""),"-",""),"(",""),")",""),".",""),"+",""),"/",""),CHAR(160),"")</f>
        <v/>
      </c>
      <c r="S101" s="32">
        <f>IF(LEN(R101)&gt;=10,RIGHT(R101,10),R101)</f>
        <v/>
      </c>
      <c r="T101" s="32">
        <f>IF(TRIM(A101&amp;"")="","",IF(S101&lt;&gt;"",IFERROR(MATCH(S101,'Form Calc'!$P:$P,0),IFERROR(MATCH(TRIM(A101&amp;""),'Form Calc'!$Q:$Q,0),"")),IFERROR(MATCH(TRIM(A101&amp;""),'Form Calc'!$Q:$Q,0),"")))</f>
        <v/>
      </c>
      <c r="U101" s="32">
        <f>IF(AND(T101&lt;&gt;"",TRIM(E101&amp;"")&lt;&gt;""),TRIM(E101&amp;""),"")</f>
        <v/>
      </c>
      <c r="V101" s="32">
        <f>IF(TRIM(A101&amp;"")="","",IF(T101&lt;&gt;"",T101,IF(TRIM(E101&amp;"")="","",IFERROR(INDEX($T$6:$T$505,MATCH(TRIM(E101&amp;""),$U$6:$U$505,0)),""))))</f>
        <v/>
      </c>
      <c r="W101" s="32">
        <f>IF(V101="","",INDEX('Form Calc'!$G:$G,V101))</f>
        <v/>
      </c>
      <c r="X101" s="32">
        <f>IF(TRIM(A101&amp;"")="","",IF(T101&lt;&gt;"",IF(INDEX('Form Calc'!$K:$K,T101)&lt;&gt;"",INDEX('Form Calc'!$K:$K,T101),J101&amp;""),J101&amp;""))</f>
        <v/>
      </c>
      <c r="Y101" s="32">
        <f>IF(TRIM(A101&amp;"")="","",IF(TRIM(D101&amp;"")&lt;&gt;"",TRIM(D101&amp;""),IF(T101&lt;&gt;"",INDEX('Form Calc'!$C:$C,T101)&amp;"","")))</f>
        <v/>
      </c>
      <c r="Z101" s="32">
        <f>SUBSTITUTE(SUBSTITUTE(SUBSTITUTE(SUBSTITUTE(SUBSTITUTE(SUBSTITUTE(SUBSTITUTE(SUBSTITUTE(Y101," ",""),"-",""),"(",""),")",""),".",""),"+",""),"/",""),CHAR(160),"")</f>
        <v/>
      </c>
      <c r="AA101" s="32">
        <f>IF(Z101="","",IF(LEN(Z101)=10,"+1"&amp;Z101,IF(AND(LEN(Z101)=11,LEFT(Z101,1)="1"),"+"&amp;Z101,IF(LEFT(Y101,1)="+","+"&amp;Z101,Z101))))</f>
        <v/>
      </c>
      <c r="AB101" s="32">
        <f>IF(TRIM(A101&amp;"")="","",IF(TRIM(M101&amp;"")&lt;&gt;"",TRIM(M101&amp;""),IFERROR(LEFT(TRIM(A101&amp;""),FIND(" ",TRIM(A101&amp;""))-1),TRIM(A101&amp;""))))</f>
        <v/>
      </c>
      <c r="AC101" s="32">
        <f>SUBSTITUTE(SUBSTITUTE(SUBSTITUTE(SUBSTITUTE(SUBSTITUTE(SUBSTITUTE(SUBSTITUTE(SUBSTITUTE(SUBSTITUTE(SUBSTITUTE(AB101,"%","%25"),"&amp;","%26"),"#","%23"),"+","%2B"),"=","%3D"),"?","%3F"),CHAR(34),"%22"),CHAR(10),"%0A"),CHAR(13),"")," ","+")</f>
        <v/>
      </c>
      <c r="AD101" s="32">
        <f>IF(OR(AA101="",AB101=""),"",'Start Here'!$B$20&amp;"#p="&amp;SUBSTITUTE(AA101,"+","%2B")&amp;"&amp;n="&amp;AC101&amp;"&amp;m="&amp;SUBSTITUTE('Start Here'!$B$24,"{name}",AC101))</f>
        <v/>
      </c>
      <c r="AE101" s="32">
        <f>LEN(AD101)</f>
        <v/>
      </c>
      <c r="AF101" s="32">
        <f>IF(AND(TRIM(A101&amp;"")&lt;&gt;"",OR(B101="Awaiting",B101="Not sure yet")),1,0)</f>
        <v/>
      </c>
      <c r="AG101" s="32">
        <f>N(AG100)+AF101</f>
        <v/>
      </c>
      <c r="AH101" s="32">
        <f>IF(AF101=1,AG101,"")</f>
        <v/>
      </c>
      <c r="AI101" s="32">
        <f>IF(AND(TRIM(A101&amp;"")&lt;&gt;"",L101&amp;""&lt;&gt;"",L101&amp;""=Seating!$I$3&amp;"",B101&lt;&gt;"Declined"),1,0)</f>
        <v/>
      </c>
      <c r="AJ101" s="32">
        <f>N(AJ100)+AI101</f>
        <v/>
      </c>
      <c r="AK101" s="32">
        <f>IF(AI101=1,AJ101,"")</f>
        <v/>
      </c>
    </row>
    <row r="102">
      <c r="A102" s="10" t="n"/>
      <c r="B102" s="47">
        <f>IF(TRIM(A102&amp;"")="","",IF(W102&lt;&gt;"",W102,IF(I102="","Awaiting",I102)))</f>
        <v/>
      </c>
      <c r="C102" s="60">
        <f>IF(OR(B102="Awaiting",B102="Not sure yet"),IF(AD102&lt;&gt;"",HYPERLINK(AD102,"💬 Remind"),"add mobile"),"")</f>
        <v/>
      </c>
      <c r="D102" s="58" t="n"/>
      <c r="E102" s="10" t="n"/>
      <c r="F102" s="10" t="n"/>
      <c r="G102" s="10" t="n"/>
      <c r="H102" s="10" t="n"/>
      <c r="I102" s="10" t="n"/>
      <c r="J102" s="10" t="n"/>
      <c r="K102" s="10" t="n"/>
      <c r="L102" s="56" t="n"/>
      <c r="M102" s="10" t="n"/>
      <c r="N102" s="12" t="n"/>
      <c r="O102" s="10" t="n"/>
      <c r="P102" s="10" t="n"/>
      <c r="Q102" s="61">
        <f>IF(V102="","",IF(T102="","Covered by "&amp;INDEX('Form Calc'!$B:$B,V102)&amp;"'s reply (same party)","Replied "&amp;TEXT(INDEX('Form Calc'!$A:$A,T102),"mm/dd")&amp;" · "&amp;INDEX('Form Calc'!$H:$H,T102)&amp;" adult(s), "&amp;INDEX('Form Calc'!$I:$I,T102)&amp;" child(ren)"&amp;IF(INDEX('Form Calc'!$K:$K,T102)&lt;&gt;""," · "&amp;INDEX('Form Calc'!$K:$K,T102),"")&amp;IF(INDEX('Form Calc'!$M:$M,T102)&lt;&gt;""," · “"&amp;INDEX('Form Calc'!$M:$M,T102)&amp;"”","")))</f>
        <v/>
      </c>
      <c r="R102" s="32">
        <f>SUBSTITUTE(SUBSTITUTE(SUBSTITUTE(SUBSTITUTE(SUBSTITUTE(SUBSTITUTE(SUBSTITUTE(SUBSTITUTE(D102&amp;""," ",""),"-",""),"(",""),")",""),".",""),"+",""),"/",""),CHAR(160),"")</f>
        <v/>
      </c>
      <c r="S102" s="32">
        <f>IF(LEN(R102)&gt;=10,RIGHT(R102,10),R102)</f>
        <v/>
      </c>
      <c r="T102" s="32">
        <f>IF(TRIM(A102&amp;"")="","",IF(S102&lt;&gt;"",IFERROR(MATCH(S102,'Form Calc'!$P:$P,0),IFERROR(MATCH(TRIM(A102&amp;""),'Form Calc'!$Q:$Q,0),"")),IFERROR(MATCH(TRIM(A102&amp;""),'Form Calc'!$Q:$Q,0),"")))</f>
        <v/>
      </c>
      <c r="U102" s="32">
        <f>IF(AND(T102&lt;&gt;"",TRIM(E102&amp;"")&lt;&gt;""),TRIM(E102&amp;""),"")</f>
        <v/>
      </c>
      <c r="V102" s="32">
        <f>IF(TRIM(A102&amp;"")="","",IF(T102&lt;&gt;"",T102,IF(TRIM(E102&amp;"")="","",IFERROR(INDEX($T$6:$T$505,MATCH(TRIM(E102&amp;""),$U$6:$U$505,0)),""))))</f>
        <v/>
      </c>
      <c r="W102" s="32">
        <f>IF(V102="","",INDEX('Form Calc'!$G:$G,V102))</f>
        <v/>
      </c>
      <c r="X102" s="32">
        <f>IF(TRIM(A102&amp;"")="","",IF(T102&lt;&gt;"",IF(INDEX('Form Calc'!$K:$K,T102)&lt;&gt;"",INDEX('Form Calc'!$K:$K,T102),J102&amp;""),J102&amp;""))</f>
        <v/>
      </c>
      <c r="Y102" s="32">
        <f>IF(TRIM(A102&amp;"")="","",IF(TRIM(D102&amp;"")&lt;&gt;"",TRIM(D102&amp;""),IF(T102&lt;&gt;"",INDEX('Form Calc'!$C:$C,T102)&amp;"","")))</f>
        <v/>
      </c>
      <c r="Z102" s="32">
        <f>SUBSTITUTE(SUBSTITUTE(SUBSTITUTE(SUBSTITUTE(SUBSTITUTE(SUBSTITUTE(SUBSTITUTE(SUBSTITUTE(Y102," ",""),"-",""),"(",""),")",""),".",""),"+",""),"/",""),CHAR(160),"")</f>
        <v/>
      </c>
      <c r="AA102" s="32">
        <f>IF(Z102="","",IF(LEN(Z102)=10,"+1"&amp;Z102,IF(AND(LEN(Z102)=11,LEFT(Z102,1)="1"),"+"&amp;Z102,IF(LEFT(Y102,1)="+","+"&amp;Z102,Z102))))</f>
        <v/>
      </c>
      <c r="AB102" s="32">
        <f>IF(TRIM(A102&amp;"")="","",IF(TRIM(M102&amp;"")&lt;&gt;"",TRIM(M102&amp;""),IFERROR(LEFT(TRIM(A102&amp;""),FIND(" ",TRIM(A102&amp;""))-1),TRIM(A102&amp;""))))</f>
        <v/>
      </c>
      <c r="AC102" s="32">
        <f>SUBSTITUTE(SUBSTITUTE(SUBSTITUTE(SUBSTITUTE(SUBSTITUTE(SUBSTITUTE(SUBSTITUTE(SUBSTITUTE(SUBSTITUTE(SUBSTITUTE(AB102,"%","%25"),"&amp;","%26"),"#","%23"),"+","%2B"),"=","%3D"),"?","%3F"),CHAR(34),"%22"),CHAR(10),"%0A"),CHAR(13),"")," ","+")</f>
        <v/>
      </c>
      <c r="AD102" s="32">
        <f>IF(OR(AA102="",AB102=""),"",'Start Here'!$B$20&amp;"#p="&amp;SUBSTITUTE(AA102,"+","%2B")&amp;"&amp;n="&amp;AC102&amp;"&amp;m="&amp;SUBSTITUTE('Start Here'!$B$24,"{name}",AC102))</f>
        <v/>
      </c>
      <c r="AE102" s="32">
        <f>LEN(AD102)</f>
        <v/>
      </c>
      <c r="AF102" s="32">
        <f>IF(AND(TRIM(A102&amp;"")&lt;&gt;"",OR(B102="Awaiting",B102="Not sure yet")),1,0)</f>
        <v/>
      </c>
      <c r="AG102" s="32">
        <f>N(AG101)+AF102</f>
        <v/>
      </c>
      <c r="AH102" s="32">
        <f>IF(AF102=1,AG102,"")</f>
        <v/>
      </c>
      <c r="AI102" s="32">
        <f>IF(AND(TRIM(A102&amp;"")&lt;&gt;"",L102&amp;""&lt;&gt;"",L102&amp;""=Seating!$I$3&amp;"",B102&lt;&gt;"Declined"),1,0)</f>
        <v/>
      </c>
      <c r="AJ102" s="32">
        <f>N(AJ101)+AI102</f>
        <v/>
      </c>
      <c r="AK102" s="32">
        <f>IF(AI102=1,AJ102,"")</f>
        <v/>
      </c>
    </row>
    <row r="103">
      <c r="A103" s="10" t="n"/>
      <c r="B103" s="47">
        <f>IF(TRIM(A103&amp;"")="","",IF(W103&lt;&gt;"",W103,IF(I103="","Awaiting",I103)))</f>
        <v/>
      </c>
      <c r="C103" s="60">
        <f>IF(OR(B103="Awaiting",B103="Not sure yet"),IF(AD103&lt;&gt;"",HYPERLINK(AD103,"💬 Remind"),"add mobile"),"")</f>
        <v/>
      </c>
      <c r="D103" s="58" t="n"/>
      <c r="E103" s="10" t="n"/>
      <c r="F103" s="10" t="n"/>
      <c r="G103" s="10" t="n"/>
      <c r="H103" s="10" t="n"/>
      <c r="I103" s="10" t="n"/>
      <c r="J103" s="10" t="n"/>
      <c r="K103" s="10" t="n"/>
      <c r="L103" s="56" t="n"/>
      <c r="M103" s="10" t="n"/>
      <c r="N103" s="12" t="n"/>
      <c r="O103" s="10" t="n"/>
      <c r="P103" s="10" t="n"/>
      <c r="Q103" s="61">
        <f>IF(V103="","",IF(T103="","Covered by "&amp;INDEX('Form Calc'!$B:$B,V103)&amp;"'s reply (same party)","Replied "&amp;TEXT(INDEX('Form Calc'!$A:$A,T103),"mm/dd")&amp;" · "&amp;INDEX('Form Calc'!$H:$H,T103)&amp;" adult(s), "&amp;INDEX('Form Calc'!$I:$I,T103)&amp;" child(ren)"&amp;IF(INDEX('Form Calc'!$K:$K,T103)&lt;&gt;""," · "&amp;INDEX('Form Calc'!$K:$K,T103),"")&amp;IF(INDEX('Form Calc'!$M:$M,T103)&lt;&gt;""," · “"&amp;INDEX('Form Calc'!$M:$M,T103)&amp;"”","")))</f>
        <v/>
      </c>
      <c r="R103" s="32">
        <f>SUBSTITUTE(SUBSTITUTE(SUBSTITUTE(SUBSTITUTE(SUBSTITUTE(SUBSTITUTE(SUBSTITUTE(SUBSTITUTE(D103&amp;""," ",""),"-",""),"(",""),")",""),".",""),"+",""),"/",""),CHAR(160),"")</f>
        <v/>
      </c>
      <c r="S103" s="32">
        <f>IF(LEN(R103)&gt;=10,RIGHT(R103,10),R103)</f>
        <v/>
      </c>
      <c r="T103" s="32">
        <f>IF(TRIM(A103&amp;"")="","",IF(S103&lt;&gt;"",IFERROR(MATCH(S103,'Form Calc'!$P:$P,0),IFERROR(MATCH(TRIM(A103&amp;""),'Form Calc'!$Q:$Q,0),"")),IFERROR(MATCH(TRIM(A103&amp;""),'Form Calc'!$Q:$Q,0),"")))</f>
        <v/>
      </c>
      <c r="U103" s="32">
        <f>IF(AND(T103&lt;&gt;"",TRIM(E103&amp;"")&lt;&gt;""),TRIM(E103&amp;""),"")</f>
        <v/>
      </c>
      <c r="V103" s="32">
        <f>IF(TRIM(A103&amp;"")="","",IF(T103&lt;&gt;"",T103,IF(TRIM(E103&amp;"")="","",IFERROR(INDEX($T$6:$T$505,MATCH(TRIM(E103&amp;""),$U$6:$U$505,0)),""))))</f>
        <v/>
      </c>
      <c r="W103" s="32">
        <f>IF(V103="","",INDEX('Form Calc'!$G:$G,V103))</f>
        <v/>
      </c>
      <c r="X103" s="32">
        <f>IF(TRIM(A103&amp;"")="","",IF(T103&lt;&gt;"",IF(INDEX('Form Calc'!$K:$K,T103)&lt;&gt;"",INDEX('Form Calc'!$K:$K,T103),J103&amp;""),J103&amp;""))</f>
        <v/>
      </c>
      <c r="Y103" s="32">
        <f>IF(TRIM(A103&amp;"")="","",IF(TRIM(D103&amp;"")&lt;&gt;"",TRIM(D103&amp;""),IF(T103&lt;&gt;"",INDEX('Form Calc'!$C:$C,T103)&amp;"","")))</f>
        <v/>
      </c>
      <c r="Z103" s="32">
        <f>SUBSTITUTE(SUBSTITUTE(SUBSTITUTE(SUBSTITUTE(SUBSTITUTE(SUBSTITUTE(SUBSTITUTE(SUBSTITUTE(Y103," ",""),"-",""),"(",""),")",""),".",""),"+",""),"/",""),CHAR(160),"")</f>
        <v/>
      </c>
      <c r="AA103" s="32">
        <f>IF(Z103="","",IF(LEN(Z103)=10,"+1"&amp;Z103,IF(AND(LEN(Z103)=11,LEFT(Z103,1)="1"),"+"&amp;Z103,IF(LEFT(Y103,1)="+","+"&amp;Z103,Z103))))</f>
        <v/>
      </c>
      <c r="AB103" s="32">
        <f>IF(TRIM(A103&amp;"")="","",IF(TRIM(M103&amp;"")&lt;&gt;"",TRIM(M103&amp;""),IFERROR(LEFT(TRIM(A103&amp;""),FIND(" ",TRIM(A103&amp;""))-1),TRIM(A103&amp;""))))</f>
        <v/>
      </c>
      <c r="AC103" s="32">
        <f>SUBSTITUTE(SUBSTITUTE(SUBSTITUTE(SUBSTITUTE(SUBSTITUTE(SUBSTITUTE(SUBSTITUTE(SUBSTITUTE(SUBSTITUTE(SUBSTITUTE(AB103,"%","%25"),"&amp;","%26"),"#","%23"),"+","%2B"),"=","%3D"),"?","%3F"),CHAR(34),"%22"),CHAR(10),"%0A"),CHAR(13),"")," ","+")</f>
        <v/>
      </c>
      <c r="AD103" s="32">
        <f>IF(OR(AA103="",AB103=""),"",'Start Here'!$B$20&amp;"#p="&amp;SUBSTITUTE(AA103,"+","%2B")&amp;"&amp;n="&amp;AC103&amp;"&amp;m="&amp;SUBSTITUTE('Start Here'!$B$24,"{name}",AC103))</f>
        <v/>
      </c>
      <c r="AE103" s="32">
        <f>LEN(AD103)</f>
        <v/>
      </c>
      <c r="AF103" s="32">
        <f>IF(AND(TRIM(A103&amp;"")&lt;&gt;"",OR(B103="Awaiting",B103="Not sure yet")),1,0)</f>
        <v/>
      </c>
      <c r="AG103" s="32">
        <f>N(AG102)+AF103</f>
        <v/>
      </c>
      <c r="AH103" s="32">
        <f>IF(AF103=1,AG103,"")</f>
        <v/>
      </c>
      <c r="AI103" s="32">
        <f>IF(AND(TRIM(A103&amp;"")&lt;&gt;"",L103&amp;""&lt;&gt;"",L103&amp;""=Seating!$I$3&amp;"",B103&lt;&gt;"Declined"),1,0)</f>
        <v/>
      </c>
      <c r="AJ103" s="32">
        <f>N(AJ102)+AI103</f>
        <v/>
      </c>
      <c r="AK103" s="32">
        <f>IF(AI103=1,AJ103,"")</f>
        <v/>
      </c>
    </row>
    <row r="104">
      <c r="A104" s="10" t="n"/>
      <c r="B104" s="47">
        <f>IF(TRIM(A104&amp;"")="","",IF(W104&lt;&gt;"",W104,IF(I104="","Awaiting",I104)))</f>
        <v/>
      </c>
      <c r="C104" s="60">
        <f>IF(OR(B104="Awaiting",B104="Not sure yet"),IF(AD104&lt;&gt;"",HYPERLINK(AD104,"💬 Remind"),"add mobile"),"")</f>
        <v/>
      </c>
      <c r="D104" s="58" t="n"/>
      <c r="E104" s="10" t="n"/>
      <c r="F104" s="10" t="n"/>
      <c r="G104" s="10" t="n"/>
      <c r="H104" s="10" t="n"/>
      <c r="I104" s="10" t="n"/>
      <c r="J104" s="10" t="n"/>
      <c r="K104" s="10" t="n"/>
      <c r="L104" s="56" t="n"/>
      <c r="M104" s="10" t="n"/>
      <c r="N104" s="12" t="n"/>
      <c r="O104" s="10" t="n"/>
      <c r="P104" s="10" t="n"/>
      <c r="Q104" s="61">
        <f>IF(V104="","",IF(T104="","Covered by "&amp;INDEX('Form Calc'!$B:$B,V104)&amp;"'s reply (same party)","Replied "&amp;TEXT(INDEX('Form Calc'!$A:$A,T104),"mm/dd")&amp;" · "&amp;INDEX('Form Calc'!$H:$H,T104)&amp;" adult(s), "&amp;INDEX('Form Calc'!$I:$I,T104)&amp;" child(ren)"&amp;IF(INDEX('Form Calc'!$K:$K,T104)&lt;&gt;""," · "&amp;INDEX('Form Calc'!$K:$K,T104),"")&amp;IF(INDEX('Form Calc'!$M:$M,T104)&lt;&gt;""," · “"&amp;INDEX('Form Calc'!$M:$M,T104)&amp;"”","")))</f>
        <v/>
      </c>
      <c r="R104" s="32">
        <f>SUBSTITUTE(SUBSTITUTE(SUBSTITUTE(SUBSTITUTE(SUBSTITUTE(SUBSTITUTE(SUBSTITUTE(SUBSTITUTE(D104&amp;""," ",""),"-",""),"(",""),")",""),".",""),"+",""),"/",""),CHAR(160),"")</f>
        <v/>
      </c>
      <c r="S104" s="32">
        <f>IF(LEN(R104)&gt;=10,RIGHT(R104,10),R104)</f>
        <v/>
      </c>
      <c r="T104" s="32">
        <f>IF(TRIM(A104&amp;"")="","",IF(S104&lt;&gt;"",IFERROR(MATCH(S104,'Form Calc'!$P:$P,0),IFERROR(MATCH(TRIM(A104&amp;""),'Form Calc'!$Q:$Q,0),"")),IFERROR(MATCH(TRIM(A104&amp;""),'Form Calc'!$Q:$Q,0),"")))</f>
        <v/>
      </c>
      <c r="U104" s="32">
        <f>IF(AND(T104&lt;&gt;"",TRIM(E104&amp;"")&lt;&gt;""),TRIM(E104&amp;""),"")</f>
        <v/>
      </c>
      <c r="V104" s="32">
        <f>IF(TRIM(A104&amp;"")="","",IF(T104&lt;&gt;"",T104,IF(TRIM(E104&amp;"")="","",IFERROR(INDEX($T$6:$T$505,MATCH(TRIM(E104&amp;""),$U$6:$U$505,0)),""))))</f>
        <v/>
      </c>
      <c r="W104" s="32">
        <f>IF(V104="","",INDEX('Form Calc'!$G:$G,V104))</f>
        <v/>
      </c>
      <c r="X104" s="32">
        <f>IF(TRIM(A104&amp;"")="","",IF(T104&lt;&gt;"",IF(INDEX('Form Calc'!$K:$K,T104)&lt;&gt;"",INDEX('Form Calc'!$K:$K,T104),J104&amp;""),J104&amp;""))</f>
        <v/>
      </c>
      <c r="Y104" s="32">
        <f>IF(TRIM(A104&amp;"")="","",IF(TRIM(D104&amp;"")&lt;&gt;"",TRIM(D104&amp;""),IF(T104&lt;&gt;"",INDEX('Form Calc'!$C:$C,T104)&amp;"","")))</f>
        <v/>
      </c>
      <c r="Z104" s="32">
        <f>SUBSTITUTE(SUBSTITUTE(SUBSTITUTE(SUBSTITUTE(SUBSTITUTE(SUBSTITUTE(SUBSTITUTE(SUBSTITUTE(Y104," ",""),"-",""),"(",""),")",""),".",""),"+",""),"/",""),CHAR(160),"")</f>
        <v/>
      </c>
      <c r="AA104" s="32">
        <f>IF(Z104="","",IF(LEN(Z104)=10,"+1"&amp;Z104,IF(AND(LEN(Z104)=11,LEFT(Z104,1)="1"),"+"&amp;Z104,IF(LEFT(Y104,1)="+","+"&amp;Z104,Z104))))</f>
        <v/>
      </c>
      <c r="AB104" s="32">
        <f>IF(TRIM(A104&amp;"")="","",IF(TRIM(M104&amp;"")&lt;&gt;"",TRIM(M104&amp;""),IFERROR(LEFT(TRIM(A104&amp;""),FIND(" ",TRIM(A104&amp;""))-1),TRIM(A104&amp;""))))</f>
        <v/>
      </c>
      <c r="AC104" s="32">
        <f>SUBSTITUTE(SUBSTITUTE(SUBSTITUTE(SUBSTITUTE(SUBSTITUTE(SUBSTITUTE(SUBSTITUTE(SUBSTITUTE(SUBSTITUTE(SUBSTITUTE(AB104,"%","%25"),"&amp;","%26"),"#","%23"),"+","%2B"),"=","%3D"),"?","%3F"),CHAR(34),"%22"),CHAR(10),"%0A"),CHAR(13),"")," ","+")</f>
        <v/>
      </c>
      <c r="AD104" s="32">
        <f>IF(OR(AA104="",AB104=""),"",'Start Here'!$B$20&amp;"#p="&amp;SUBSTITUTE(AA104,"+","%2B")&amp;"&amp;n="&amp;AC104&amp;"&amp;m="&amp;SUBSTITUTE('Start Here'!$B$24,"{name}",AC104))</f>
        <v/>
      </c>
      <c r="AE104" s="32">
        <f>LEN(AD104)</f>
        <v/>
      </c>
      <c r="AF104" s="32">
        <f>IF(AND(TRIM(A104&amp;"")&lt;&gt;"",OR(B104="Awaiting",B104="Not sure yet")),1,0)</f>
        <v/>
      </c>
      <c r="AG104" s="32">
        <f>N(AG103)+AF104</f>
        <v/>
      </c>
      <c r="AH104" s="32">
        <f>IF(AF104=1,AG104,"")</f>
        <v/>
      </c>
      <c r="AI104" s="32">
        <f>IF(AND(TRIM(A104&amp;"")&lt;&gt;"",L104&amp;""&lt;&gt;"",L104&amp;""=Seating!$I$3&amp;"",B104&lt;&gt;"Declined"),1,0)</f>
        <v/>
      </c>
      <c r="AJ104" s="32">
        <f>N(AJ103)+AI104</f>
        <v/>
      </c>
      <c r="AK104" s="32">
        <f>IF(AI104=1,AJ104,"")</f>
        <v/>
      </c>
    </row>
    <row r="105">
      <c r="A105" s="10" t="n"/>
      <c r="B105" s="47">
        <f>IF(TRIM(A105&amp;"")="","",IF(W105&lt;&gt;"",W105,IF(I105="","Awaiting",I105)))</f>
        <v/>
      </c>
      <c r="C105" s="60">
        <f>IF(OR(B105="Awaiting",B105="Not sure yet"),IF(AD105&lt;&gt;"",HYPERLINK(AD105,"💬 Remind"),"add mobile"),"")</f>
        <v/>
      </c>
      <c r="D105" s="58" t="n"/>
      <c r="E105" s="10" t="n"/>
      <c r="F105" s="10" t="n"/>
      <c r="G105" s="10" t="n"/>
      <c r="H105" s="10" t="n"/>
      <c r="I105" s="10" t="n"/>
      <c r="J105" s="10" t="n"/>
      <c r="K105" s="10" t="n"/>
      <c r="L105" s="56" t="n"/>
      <c r="M105" s="10" t="n"/>
      <c r="N105" s="12" t="n"/>
      <c r="O105" s="10" t="n"/>
      <c r="P105" s="10" t="n"/>
      <c r="Q105" s="61">
        <f>IF(V105="","",IF(T105="","Covered by "&amp;INDEX('Form Calc'!$B:$B,V105)&amp;"'s reply (same party)","Replied "&amp;TEXT(INDEX('Form Calc'!$A:$A,T105),"mm/dd")&amp;" · "&amp;INDEX('Form Calc'!$H:$H,T105)&amp;" adult(s), "&amp;INDEX('Form Calc'!$I:$I,T105)&amp;" child(ren)"&amp;IF(INDEX('Form Calc'!$K:$K,T105)&lt;&gt;""," · "&amp;INDEX('Form Calc'!$K:$K,T105),"")&amp;IF(INDEX('Form Calc'!$M:$M,T105)&lt;&gt;""," · “"&amp;INDEX('Form Calc'!$M:$M,T105)&amp;"”","")))</f>
        <v/>
      </c>
      <c r="R105" s="32">
        <f>SUBSTITUTE(SUBSTITUTE(SUBSTITUTE(SUBSTITUTE(SUBSTITUTE(SUBSTITUTE(SUBSTITUTE(SUBSTITUTE(D105&amp;""," ",""),"-",""),"(",""),")",""),".",""),"+",""),"/",""),CHAR(160),"")</f>
        <v/>
      </c>
      <c r="S105" s="32">
        <f>IF(LEN(R105)&gt;=10,RIGHT(R105,10),R105)</f>
        <v/>
      </c>
      <c r="T105" s="32">
        <f>IF(TRIM(A105&amp;"")="","",IF(S105&lt;&gt;"",IFERROR(MATCH(S105,'Form Calc'!$P:$P,0),IFERROR(MATCH(TRIM(A105&amp;""),'Form Calc'!$Q:$Q,0),"")),IFERROR(MATCH(TRIM(A105&amp;""),'Form Calc'!$Q:$Q,0),"")))</f>
        <v/>
      </c>
      <c r="U105" s="32">
        <f>IF(AND(T105&lt;&gt;"",TRIM(E105&amp;"")&lt;&gt;""),TRIM(E105&amp;""),"")</f>
        <v/>
      </c>
      <c r="V105" s="32">
        <f>IF(TRIM(A105&amp;"")="","",IF(T105&lt;&gt;"",T105,IF(TRIM(E105&amp;"")="","",IFERROR(INDEX($T$6:$T$505,MATCH(TRIM(E105&amp;""),$U$6:$U$505,0)),""))))</f>
        <v/>
      </c>
      <c r="W105" s="32">
        <f>IF(V105="","",INDEX('Form Calc'!$G:$G,V105))</f>
        <v/>
      </c>
      <c r="X105" s="32">
        <f>IF(TRIM(A105&amp;"")="","",IF(T105&lt;&gt;"",IF(INDEX('Form Calc'!$K:$K,T105)&lt;&gt;"",INDEX('Form Calc'!$K:$K,T105),J105&amp;""),J105&amp;""))</f>
        <v/>
      </c>
      <c r="Y105" s="32">
        <f>IF(TRIM(A105&amp;"")="","",IF(TRIM(D105&amp;"")&lt;&gt;"",TRIM(D105&amp;""),IF(T105&lt;&gt;"",INDEX('Form Calc'!$C:$C,T105)&amp;"","")))</f>
        <v/>
      </c>
      <c r="Z105" s="32">
        <f>SUBSTITUTE(SUBSTITUTE(SUBSTITUTE(SUBSTITUTE(SUBSTITUTE(SUBSTITUTE(SUBSTITUTE(SUBSTITUTE(Y105," ",""),"-",""),"(",""),")",""),".",""),"+",""),"/",""),CHAR(160),"")</f>
        <v/>
      </c>
      <c r="AA105" s="32">
        <f>IF(Z105="","",IF(LEN(Z105)=10,"+1"&amp;Z105,IF(AND(LEN(Z105)=11,LEFT(Z105,1)="1"),"+"&amp;Z105,IF(LEFT(Y105,1)="+","+"&amp;Z105,Z105))))</f>
        <v/>
      </c>
      <c r="AB105" s="32">
        <f>IF(TRIM(A105&amp;"")="","",IF(TRIM(M105&amp;"")&lt;&gt;"",TRIM(M105&amp;""),IFERROR(LEFT(TRIM(A105&amp;""),FIND(" ",TRIM(A105&amp;""))-1),TRIM(A105&amp;""))))</f>
        <v/>
      </c>
      <c r="AC105" s="32">
        <f>SUBSTITUTE(SUBSTITUTE(SUBSTITUTE(SUBSTITUTE(SUBSTITUTE(SUBSTITUTE(SUBSTITUTE(SUBSTITUTE(SUBSTITUTE(SUBSTITUTE(AB105,"%","%25"),"&amp;","%26"),"#","%23"),"+","%2B"),"=","%3D"),"?","%3F"),CHAR(34),"%22"),CHAR(10),"%0A"),CHAR(13),"")," ","+")</f>
        <v/>
      </c>
      <c r="AD105" s="32">
        <f>IF(OR(AA105="",AB105=""),"",'Start Here'!$B$20&amp;"#p="&amp;SUBSTITUTE(AA105,"+","%2B")&amp;"&amp;n="&amp;AC105&amp;"&amp;m="&amp;SUBSTITUTE('Start Here'!$B$24,"{name}",AC105))</f>
        <v/>
      </c>
      <c r="AE105" s="32">
        <f>LEN(AD105)</f>
        <v/>
      </c>
      <c r="AF105" s="32">
        <f>IF(AND(TRIM(A105&amp;"")&lt;&gt;"",OR(B105="Awaiting",B105="Not sure yet")),1,0)</f>
        <v/>
      </c>
      <c r="AG105" s="32">
        <f>N(AG104)+AF105</f>
        <v/>
      </c>
      <c r="AH105" s="32">
        <f>IF(AF105=1,AG105,"")</f>
        <v/>
      </c>
      <c r="AI105" s="32">
        <f>IF(AND(TRIM(A105&amp;"")&lt;&gt;"",L105&amp;""&lt;&gt;"",L105&amp;""=Seating!$I$3&amp;"",B105&lt;&gt;"Declined"),1,0)</f>
        <v/>
      </c>
      <c r="AJ105" s="32">
        <f>N(AJ104)+AI105</f>
        <v/>
      </c>
      <c r="AK105" s="32">
        <f>IF(AI105=1,AJ105,"")</f>
        <v/>
      </c>
    </row>
    <row r="106">
      <c r="A106" s="10" t="n"/>
      <c r="B106" s="47">
        <f>IF(TRIM(A106&amp;"")="","",IF(W106&lt;&gt;"",W106,IF(I106="","Awaiting",I106)))</f>
        <v/>
      </c>
      <c r="C106" s="60">
        <f>IF(OR(B106="Awaiting",B106="Not sure yet"),IF(AD106&lt;&gt;"",HYPERLINK(AD106,"💬 Remind"),"add mobile"),"")</f>
        <v/>
      </c>
      <c r="D106" s="58" t="n"/>
      <c r="E106" s="10" t="n"/>
      <c r="F106" s="10" t="n"/>
      <c r="G106" s="10" t="n"/>
      <c r="H106" s="10" t="n"/>
      <c r="I106" s="10" t="n"/>
      <c r="J106" s="10" t="n"/>
      <c r="K106" s="10" t="n"/>
      <c r="L106" s="56" t="n"/>
      <c r="M106" s="10" t="n"/>
      <c r="N106" s="12" t="n"/>
      <c r="O106" s="10" t="n"/>
      <c r="P106" s="10" t="n"/>
      <c r="Q106" s="61">
        <f>IF(V106="","",IF(T106="","Covered by "&amp;INDEX('Form Calc'!$B:$B,V106)&amp;"'s reply (same party)","Replied "&amp;TEXT(INDEX('Form Calc'!$A:$A,T106),"mm/dd")&amp;" · "&amp;INDEX('Form Calc'!$H:$H,T106)&amp;" adult(s), "&amp;INDEX('Form Calc'!$I:$I,T106)&amp;" child(ren)"&amp;IF(INDEX('Form Calc'!$K:$K,T106)&lt;&gt;""," · "&amp;INDEX('Form Calc'!$K:$K,T106),"")&amp;IF(INDEX('Form Calc'!$M:$M,T106)&lt;&gt;""," · “"&amp;INDEX('Form Calc'!$M:$M,T106)&amp;"”","")))</f>
        <v/>
      </c>
      <c r="R106" s="32">
        <f>SUBSTITUTE(SUBSTITUTE(SUBSTITUTE(SUBSTITUTE(SUBSTITUTE(SUBSTITUTE(SUBSTITUTE(SUBSTITUTE(D106&amp;""," ",""),"-",""),"(",""),")",""),".",""),"+",""),"/",""),CHAR(160),"")</f>
        <v/>
      </c>
      <c r="S106" s="32">
        <f>IF(LEN(R106)&gt;=10,RIGHT(R106,10),R106)</f>
        <v/>
      </c>
      <c r="T106" s="32">
        <f>IF(TRIM(A106&amp;"")="","",IF(S106&lt;&gt;"",IFERROR(MATCH(S106,'Form Calc'!$P:$P,0),IFERROR(MATCH(TRIM(A106&amp;""),'Form Calc'!$Q:$Q,0),"")),IFERROR(MATCH(TRIM(A106&amp;""),'Form Calc'!$Q:$Q,0),"")))</f>
        <v/>
      </c>
      <c r="U106" s="32">
        <f>IF(AND(T106&lt;&gt;"",TRIM(E106&amp;"")&lt;&gt;""),TRIM(E106&amp;""),"")</f>
        <v/>
      </c>
      <c r="V106" s="32">
        <f>IF(TRIM(A106&amp;"")="","",IF(T106&lt;&gt;"",T106,IF(TRIM(E106&amp;"")="","",IFERROR(INDEX($T$6:$T$505,MATCH(TRIM(E106&amp;""),$U$6:$U$505,0)),""))))</f>
        <v/>
      </c>
      <c r="W106" s="32">
        <f>IF(V106="","",INDEX('Form Calc'!$G:$G,V106))</f>
        <v/>
      </c>
      <c r="X106" s="32">
        <f>IF(TRIM(A106&amp;"")="","",IF(T106&lt;&gt;"",IF(INDEX('Form Calc'!$K:$K,T106)&lt;&gt;"",INDEX('Form Calc'!$K:$K,T106),J106&amp;""),J106&amp;""))</f>
        <v/>
      </c>
      <c r="Y106" s="32">
        <f>IF(TRIM(A106&amp;"")="","",IF(TRIM(D106&amp;"")&lt;&gt;"",TRIM(D106&amp;""),IF(T106&lt;&gt;"",INDEX('Form Calc'!$C:$C,T106)&amp;"","")))</f>
        <v/>
      </c>
      <c r="Z106" s="32">
        <f>SUBSTITUTE(SUBSTITUTE(SUBSTITUTE(SUBSTITUTE(SUBSTITUTE(SUBSTITUTE(SUBSTITUTE(SUBSTITUTE(Y106," ",""),"-",""),"(",""),")",""),".",""),"+",""),"/",""),CHAR(160),"")</f>
        <v/>
      </c>
      <c r="AA106" s="32">
        <f>IF(Z106="","",IF(LEN(Z106)=10,"+1"&amp;Z106,IF(AND(LEN(Z106)=11,LEFT(Z106,1)="1"),"+"&amp;Z106,IF(LEFT(Y106,1)="+","+"&amp;Z106,Z106))))</f>
        <v/>
      </c>
      <c r="AB106" s="32">
        <f>IF(TRIM(A106&amp;"")="","",IF(TRIM(M106&amp;"")&lt;&gt;"",TRIM(M106&amp;""),IFERROR(LEFT(TRIM(A106&amp;""),FIND(" ",TRIM(A106&amp;""))-1),TRIM(A106&amp;""))))</f>
        <v/>
      </c>
      <c r="AC106" s="32">
        <f>SUBSTITUTE(SUBSTITUTE(SUBSTITUTE(SUBSTITUTE(SUBSTITUTE(SUBSTITUTE(SUBSTITUTE(SUBSTITUTE(SUBSTITUTE(SUBSTITUTE(AB106,"%","%25"),"&amp;","%26"),"#","%23"),"+","%2B"),"=","%3D"),"?","%3F"),CHAR(34),"%22"),CHAR(10),"%0A"),CHAR(13),"")," ","+")</f>
        <v/>
      </c>
      <c r="AD106" s="32">
        <f>IF(OR(AA106="",AB106=""),"",'Start Here'!$B$20&amp;"#p="&amp;SUBSTITUTE(AA106,"+","%2B")&amp;"&amp;n="&amp;AC106&amp;"&amp;m="&amp;SUBSTITUTE('Start Here'!$B$24,"{name}",AC106))</f>
        <v/>
      </c>
      <c r="AE106" s="32">
        <f>LEN(AD106)</f>
        <v/>
      </c>
      <c r="AF106" s="32">
        <f>IF(AND(TRIM(A106&amp;"")&lt;&gt;"",OR(B106="Awaiting",B106="Not sure yet")),1,0)</f>
        <v/>
      </c>
      <c r="AG106" s="32">
        <f>N(AG105)+AF106</f>
        <v/>
      </c>
      <c r="AH106" s="32">
        <f>IF(AF106=1,AG106,"")</f>
        <v/>
      </c>
      <c r="AI106" s="32">
        <f>IF(AND(TRIM(A106&amp;"")&lt;&gt;"",L106&amp;""&lt;&gt;"",L106&amp;""=Seating!$I$3&amp;"",B106&lt;&gt;"Declined"),1,0)</f>
        <v/>
      </c>
      <c r="AJ106" s="32">
        <f>N(AJ105)+AI106</f>
        <v/>
      </c>
      <c r="AK106" s="32">
        <f>IF(AI106=1,AJ106,"")</f>
        <v/>
      </c>
    </row>
    <row r="107">
      <c r="A107" s="10" t="n"/>
      <c r="B107" s="47">
        <f>IF(TRIM(A107&amp;"")="","",IF(W107&lt;&gt;"",W107,IF(I107="","Awaiting",I107)))</f>
        <v/>
      </c>
      <c r="C107" s="60">
        <f>IF(OR(B107="Awaiting",B107="Not sure yet"),IF(AD107&lt;&gt;"",HYPERLINK(AD107,"💬 Remind"),"add mobile"),"")</f>
        <v/>
      </c>
      <c r="D107" s="58" t="n"/>
      <c r="E107" s="10" t="n"/>
      <c r="F107" s="10" t="n"/>
      <c r="G107" s="10" t="n"/>
      <c r="H107" s="10" t="n"/>
      <c r="I107" s="10" t="n"/>
      <c r="J107" s="10" t="n"/>
      <c r="K107" s="10" t="n"/>
      <c r="L107" s="56" t="n"/>
      <c r="M107" s="10" t="n"/>
      <c r="N107" s="12" t="n"/>
      <c r="O107" s="10" t="n"/>
      <c r="P107" s="10" t="n"/>
      <c r="Q107" s="61">
        <f>IF(V107="","",IF(T107="","Covered by "&amp;INDEX('Form Calc'!$B:$B,V107)&amp;"'s reply (same party)","Replied "&amp;TEXT(INDEX('Form Calc'!$A:$A,T107),"mm/dd")&amp;" · "&amp;INDEX('Form Calc'!$H:$H,T107)&amp;" adult(s), "&amp;INDEX('Form Calc'!$I:$I,T107)&amp;" child(ren)"&amp;IF(INDEX('Form Calc'!$K:$K,T107)&lt;&gt;""," · "&amp;INDEX('Form Calc'!$K:$K,T107),"")&amp;IF(INDEX('Form Calc'!$M:$M,T107)&lt;&gt;""," · “"&amp;INDEX('Form Calc'!$M:$M,T107)&amp;"”","")))</f>
        <v/>
      </c>
      <c r="R107" s="32">
        <f>SUBSTITUTE(SUBSTITUTE(SUBSTITUTE(SUBSTITUTE(SUBSTITUTE(SUBSTITUTE(SUBSTITUTE(SUBSTITUTE(D107&amp;""," ",""),"-",""),"(",""),")",""),".",""),"+",""),"/",""),CHAR(160),"")</f>
        <v/>
      </c>
      <c r="S107" s="32">
        <f>IF(LEN(R107)&gt;=10,RIGHT(R107,10),R107)</f>
        <v/>
      </c>
      <c r="T107" s="32">
        <f>IF(TRIM(A107&amp;"")="","",IF(S107&lt;&gt;"",IFERROR(MATCH(S107,'Form Calc'!$P:$P,0),IFERROR(MATCH(TRIM(A107&amp;""),'Form Calc'!$Q:$Q,0),"")),IFERROR(MATCH(TRIM(A107&amp;""),'Form Calc'!$Q:$Q,0),"")))</f>
        <v/>
      </c>
      <c r="U107" s="32">
        <f>IF(AND(T107&lt;&gt;"",TRIM(E107&amp;"")&lt;&gt;""),TRIM(E107&amp;""),"")</f>
        <v/>
      </c>
      <c r="V107" s="32">
        <f>IF(TRIM(A107&amp;"")="","",IF(T107&lt;&gt;"",T107,IF(TRIM(E107&amp;"")="","",IFERROR(INDEX($T$6:$T$505,MATCH(TRIM(E107&amp;""),$U$6:$U$505,0)),""))))</f>
        <v/>
      </c>
      <c r="W107" s="32">
        <f>IF(V107="","",INDEX('Form Calc'!$G:$G,V107))</f>
        <v/>
      </c>
      <c r="X107" s="32">
        <f>IF(TRIM(A107&amp;"")="","",IF(T107&lt;&gt;"",IF(INDEX('Form Calc'!$K:$K,T107)&lt;&gt;"",INDEX('Form Calc'!$K:$K,T107),J107&amp;""),J107&amp;""))</f>
        <v/>
      </c>
      <c r="Y107" s="32">
        <f>IF(TRIM(A107&amp;"")="","",IF(TRIM(D107&amp;"")&lt;&gt;"",TRIM(D107&amp;""),IF(T107&lt;&gt;"",INDEX('Form Calc'!$C:$C,T107)&amp;"","")))</f>
        <v/>
      </c>
      <c r="Z107" s="32">
        <f>SUBSTITUTE(SUBSTITUTE(SUBSTITUTE(SUBSTITUTE(SUBSTITUTE(SUBSTITUTE(SUBSTITUTE(SUBSTITUTE(Y107," ",""),"-",""),"(",""),")",""),".",""),"+",""),"/",""),CHAR(160),"")</f>
        <v/>
      </c>
      <c r="AA107" s="32">
        <f>IF(Z107="","",IF(LEN(Z107)=10,"+1"&amp;Z107,IF(AND(LEN(Z107)=11,LEFT(Z107,1)="1"),"+"&amp;Z107,IF(LEFT(Y107,1)="+","+"&amp;Z107,Z107))))</f>
        <v/>
      </c>
      <c r="AB107" s="32">
        <f>IF(TRIM(A107&amp;"")="","",IF(TRIM(M107&amp;"")&lt;&gt;"",TRIM(M107&amp;""),IFERROR(LEFT(TRIM(A107&amp;""),FIND(" ",TRIM(A107&amp;""))-1),TRIM(A107&amp;""))))</f>
        <v/>
      </c>
      <c r="AC107" s="32">
        <f>SUBSTITUTE(SUBSTITUTE(SUBSTITUTE(SUBSTITUTE(SUBSTITUTE(SUBSTITUTE(SUBSTITUTE(SUBSTITUTE(SUBSTITUTE(SUBSTITUTE(AB107,"%","%25"),"&amp;","%26"),"#","%23"),"+","%2B"),"=","%3D"),"?","%3F"),CHAR(34),"%22"),CHAR(10),"%0A"),CHAR(13),"")," ","+")</f>
        <v/>
      </c>
      <c r="AD107" s="32">
        <f>IF(OR(AA107="",AB107=""),"",'Start Here'!$B$20&amp;"#p="&amp;SUBSTITUTE(AA107,"+","%2B")&amp;"&amp;n="&amp;AC107&amp;"&amp;m="&amp;SUBSTITUTE('Start Here'!$B$24,"{name}",AC107))</f>
        <v/>
      </c>
      <c r="AE107" s="32">
        <f>LEN(AD107)</f>
        <v/>
      </c>
      <c r="AF107" s="32">
        <f>IF(AND(TRIM(A107&amp;"")&lt;&gt;"",OR(B107="Awaiting",B107="Not sure yet")),1,0)</f>
        <v/>
      </c>
      <c r="AG107" s="32">
        <f>N(AG106)+AF107</f>
        <v/>
      </c>
      <c r="AH107" s="32">
        <f>IF(AF107=1,AG107,"")</f>
        <v/>
      </c>
      <c r="AI107" s="32">
        <f>IF(AND(TRIM(A107&amp;"")&lt;&gt;"",L107&amp;""&lt;&gt;"",L107&amp;""=Seating!$I$3&amp;"",B107&lt;&gt;"Declined"),1,0)</f>
        <v/>
      </c>
      <c r="AJ107" s="32">
        <f>N(AJ106)+AI107</f>
        <v/>
      </c>
      <c r="AK107" s="32">
        <f>IF(AI107=1,AJ107,"")</f>
        <v/>
      </c>
    </row>
    <row r="108">
      <c r="A108" s="10" t="n"/>
      <c r="B108" s="47">
        <f>IF(TRIM(A108&amp;"")="","",IF(W108&lt;&gt;"",W108,IF(I108="","Awaiting",I108)))</f>
        <v/>
      </c>
      <c r="C108" s="60">
        <f>IF(OR(B108="Awaiting",B108="Not sure yet"),IF(AD108&lt;&gt;"",HYPERLINK(AD108,"💬 Remind"),"add mobile"),"")</f>
        <v/>
      </c>
      <c r="D108" s="58" t="n"/>
      <c r="E108" s="10" t="n"/>
      <c r="F108" s="10" t="n"/>
      <c r="G108" s="10" t="n"/>
      <c r="H108" s="10" t="n"/>
      <c r="I108" s="10" t="n"/>
      <c r="J108" s="10" t="n"/>
      <c r="K108" s="10" t="n"/>
      <c r="L108" s="56" t="n"/>
      <c r="M108" s="10" t="n"/>
      <c r="N108" s="12" t="n"/>
      <c r="O108" s="10" t="n"/>
      <c r="P108" s="10" t="n"/>
      <c r="Q108" s="61">
        <f>IF(V108="","",IF(T108="","Covered by "&amp;INDEX('Form Calc'!$B:$B,V108)&amp;"'s reply (same party)","Replied "&amp;TEXT(INDEX('Form Calc'!$A:$A,T108),"mm/dd")&amp;" · "&amp;INDEX('Form Calc'!$H:$H,T108)&amp;" adult(s), "&amp;INDEX('Form Calc'!$I:$I,T108)&amp;" child(ren)"&amp;IF(INDEX('Form Calc'!$K:$K,T108)&lt;&gt;""," · "&amp;INDEX('Form Calc'!$K:$K,T108),"")&amp;IF(INDEX('Form Calc'!$M:$M,T108)&lt;&gt;""," · “"&amp;INDEX('Form Calc'!$M:$M,T108)&amp;"”","")))</f>
        <v/>
      </c>
      <c r="R108" s="32">
        <f>SUBSTITUTE(SUBSTITUTE(SUBSTITUTE(SUBSTITUTE(SUBSTITUTE(SUBSTITUTE(SUBSTITUTE(SUBSTITUTE(D108&amp;""," ",""),"-",""),"(",""),")",""),".",""),"+",""),"/",""),CHAR(160),"")</f>
        <v/>
      </c>
      <c r="S108" s="32">
        <f>IF(LEN(R108)&gt;=10,RIGHT(R108,10),R108)</f>
        <v/>
      </c>
      <c r="T108" s="32">
        <f>IF(TRIM(A108&amp;"")="","",IF(S108&lt;&gt;"",IFERROR(MATCH(S108,'Form Calc'!$P:$P,0),IFERROR(MATCH(TRIM(A108&amp;""),'Form Calc'!$Q:$Q,0),"")),IFERROR(MATCH(TRIM(A108&amp;""),'Form Calc'!$Q:$Q,0),"")))</f>
        <v/>
      </c>
      <c r="U108" s="32">
        <f>IF(AND(T108&lt;&gt;"",TRIM(E108&amp;"")&lt;&gt;""),TRIM(E108&amp;""),"")</f>
        <v/>
      </c>
      <c r="V108" s="32">
        <f>IF(TRIM(A108&amp;"")="","",IF(T108&lt;&gt;"",T108,IF(TRIM(E108&amp;"")="","",IFERROR(INDEX($T$6:$T$505,MATCH(TRIM(E108&amp;""),$U$6:$U$505,0)),""))))</f>
        <v/>
      </c>
      <c r="W108" s="32">
        <f>IF(V108="","",INDEX('Form Calc'!$G:$G,V108))</f>
        <v/>
      </c>
      <c r="X108" s="32">
        <f>IF(TRIM(A108&amp;"")="","",IF(T108&lt;&gt;"",IF(INDEX('Form Calc'!$K:$K,T108)&lt;&gt;"",INDEX('Form Calc'!$K:$K,T108),J108&amp;""),J108&amp;""))</f>
        <v/>
      </c>
      <c r="Y108" s="32">
        <f>IF(TRIM(A108&amp;"")="","",IF(TRIM(D108&amp;"")&lt;&gt;"",TRIM(D108&amp;""),IF(T108&lt;&gt;"",INDEX('Form Calc'!$C:$C,T108)&amp;"","")))</f>
        <v/>
      </c>
      <c r="Z108" s="32">
        <f>SUBSTITUTE(SUBSTITUTE(SUBSTITUTE(SUBSTITUTE(SUBSTITUTE(SUBSTITUTE(SUBSTITUTE(SUBSTITUTE(Y108," ",""),"-",""),"(",""),")",""),".",""),"+",""),"/",""),CHAR(160),"")</f>
        <v/>
      </c>
      <c r="AA108" s="32">
        <f>IF(Z108="","",IF(LEN(Z108)=10,"+1"&amp;Z108,IF(AND(LEN(Z108)=11,LEFT(Z108,1)="1"),"+"&amp;Z108,IF(LEFT(Y108,1)="+","+"&amp;Z108,Z108))))</f>
        <v/>
      </c>
      <c r="AB108" s="32">
        <f>IF(TRIM(A108&amp;"")="","",IF(TRIM(M108&amp;"")&lt;&gt;"",TRIM(M108&amp;""),IFERROR(LEFT(TRIM(A108&amp;""),FIND(" ",TRIM(A108&amp;""))-1),TRIM(A108&amp;""))))</f>
        <v/>
      </c>
      <c r="AC108" s="32">
        <f>SUBSTITUTE(SUBSTITUTE(SUBSTITUTE(SUBSTITUTE(SUBSTITUTE(SUBSTITUTE(SUBSTITUTE(SUBSTITUTE(SUBSTITUTE(SUBSTITUTE(AB108,"%","%25"),"&amp;","%26"),"#","%23"),"+","%2B"),"=","%3D"),"?","%3F"),CHAR(34),"%22"),CHAR(10),"%0A"),CHAR(13),"")," ","+")</f>
        <v/>
      </c>
      <c r="AD108" s="32">
        <f>IF(OR(AA108="",AB108=""),"",'Start Here'!$B$20&amp;"#p="&amp;SUBSTITUTE(AA108,"+","%2B")&amp;"&amp;n="&amp;AC108&amp;"&amp;m="&amp;SUBSTITUTE('Start Here'!$B$24,"{name}",AC108))</f>
        <v/>
      </c>
      <c r="AE108" s="32">
        <f>LEN(AD108)</f>
        <v/>
      </c>
      <c r="AF108" s="32">
        <f>IF(AND(TRIM(A108&amp;"")&lt;&gt;"",OR(B108="Awaiting",B108="Not sure yet")),1,0)</f>
        <v/>
      </c>
      <c r="AG108" s="32">
        <f>N(AG107)+AF108</f>
        <v/>
      </c>
      <c r="AH108" s="32">
        <f>IF(AF108=1,AG108,"")</f>
        <v/>
      </c>
      <c r="AI108" s="32">
        <f>IF(AND(TRIM(A108&amp;"")&lt;&gt;"",L108&amp;""&lt;&gt;"",L108&amp;""=Seating!$I$3&amp;"",B108&lt;&gt;"Declined"),1,0)</f>
        <v/>
      </c>
      <c r="AJ108" s="32">
        <f>N(AJ107)+AI108</f>
        <v/>
      </c>
      <c r="AK108" s="32">
        <f>IF(AI108=1,AJ108,"")</f>
        <v/>
      </c>
    </row>
    <row r="109">
      <c r="A109" s="10" t="n"/>
      <c r="B109" s="47">
        <f>IF(TRIM(A109&amp;"")="","",IF(W109&lt;&gt;"",W109,IF(I109="","Awaiting",I109)))</f>
        <v/>
      </c>
      <c r="C109" s="60">
        <f>IF(OR(B109="Awaiting",B109="Not sure yet"),IF(AD109&lt;&gt;"",HYPERLINK(AD109,"💬 Remind"),"add mobile"),"")</f>
        <v/>
      </c>
      <c r="D109" s="58" t="n"/>
      <c r="E109" s="10" t="n"/>
      <c r="F109" s="10" t="n"/>
      <c r="G109" s="10" t="n"/>
      <c r="H109" s="10" t="n"/>
      <c r="I109" s="10" t="n"/>
      <c r="J109" s="10" t="n"/>
      <c r="K109" s="10" t="n"/>
      <c r="L109" s="56" t="n"/>
      <c r="M109" s="10" t="n"/>
      <c r="N109" s="12" t="n"/>
      <c r="O109" s="10" t="n"/>
      <c r="P109" s="10" t="n"/>
      <c r="Q109" s="61">
        <f>IF(V109="","",IF(T109="","Covered by "&amp;INDEX('Form Calc'!$B:$B,V109)&amp;"'s reply (same party)","Replied "&amp;TEXT(INDEX('Form Calc'!$A:$A,T109),"mm/dd")&amp;" · "&amp;INDEX('Form Calc'!$H:$H,T109)&amp;" adult(s), "&amp;INDEX('Form Calc'!$I:$I,T109)&amp;" child(ren)"&amp;IF(INDEX('Form Calc'!$K:$K,T109)&lt;&gt;""," · "&amp;INDEX('Form Calc'!$K:$K,T109),"")&amp;IF(INDEX('Form Calc'!$M:$M,T109)&lt;&gt;""," · “"&amp;INDEX('Form Calc'!$M:$M,T109)&amp;"”","")))</f>
        <v/>
      </c>
      <c r="R109" s="32">
        <f>SUBSTITUTE(SUBSTITUTE(SUBSTITUTE(SUBSTITUTE(SUBSTITUTE(SUBSTITUTE(SUBSTITUTE(SUBSTITUTE(D109&amp;""," ",""),"-",""),"(",""),")",""),".",""),"+",""),"/",""),CHAR(160),"")</f>
        <v/>
      </c>
      <c r="S109" s="32">
        <f>IF(LEN(R109)&gt;=10,RIGHT(R109,10),R109)</f>
        <v/>
      </c>
      <c r="T109" s="32">
        <f>IF(TRIM(A109&amp;"")="","",IF(S109&lt;&gt;"",IFERROR(MATCH(S109,'Form Calc'!$P:$P,0),IFERROR(MATCH(TRIM(A109&amp;""),'Form Calc'!$Q:$Q,0),"")),IFERROR(MATCH(TRIM(A109&amp;""),'Form Calc'!$Q:$Q,0),"")))</f>
        <v/>
      </c>
      <c r="U109" s="32">
        <f>IF(AND(T109&lt;&gt;"",TRIM(E109&amp;"")&lt;&gt;""),TRIM(E109&amp;""),"")</f>
        <v/>
      </c>
      <c r="V109" s="32">
        <f>IF(TRIM(A109&amp;"")="","",IF(T109&lt;&gt;"",T109,IF(TRIM(E109&amp;"")="","",IFERROR(INDEX($T$6:$T$505,MATCH(TRIM(E109&amp;""),$U$6:$U$505,0)),""))))</f>
        <v/>
      </c>
      <c r="W109" s="32">
        <f>IF(V109="","",INDEX('Form Calc'!$G:$G,V109))</f>
        <v/>
      </c>
      <c r="X109" s="32">
        <f>IF(TRIM(A109&amp;"")="","",IF(T109&lt;&gt;"",IF(INDEX('Form Calc'!$K:$K,T109)&lt;&gt;"",INDEX('Form Calc'!$K:$K,T109),J109&amp;""),J109&amp;""))</f>
        <v/>
      </c>
      <c r="Y109" s="32">
        <f>IF(TRIM(A109&amp;"")="","",IF(TRIM(D109&amp;"")&lt;&gt;"",TRIM(D109&amp;""),IF(T109&lt;&gt;"",INDEX('Form Calc'!$C:$C,T109)&amp;"","")))</f>
        <v/>
      </c>
      <c r="Z109" s="32">
        <f>SUBSTITUTE(SUBSTITUTE(SUBSTITUTE(SUBSTITUTE(SUBSTITUTE(SUBSTITUTE(SUBSTITUTE(SUBSTITUTE(Y109," ",""),"-",""),"(",""),")",""),".",""),"+",""),"/",""),CHAR(160),"")</f>
        <v/>
      </c>
      <c r="AA109" s="32">
        <f>IF(Z109="","",IF(LEN(Z109)=10,"+1"&amp;Z109,IF(AND(LEN(Z109)=11,LEFT(Z109,1)="1"),"+"&amp;Z109,IF(LEFT(Y109,1)="+","+"&amp;Z109,Z109))))</f>
        <v/>
      </c>
      <c r="AB109" s="32">
        <f>IF(TRIM(A109&amp;"")="","",IF(TRIM(M109&amp;"")&lt;&gt;"",TRIM(M109&amp;""),IFERROR(LEFT(TRIM(A109&amp;""),FIND(" ",TRIM(A109&amp;""))-1),TRIM(A109&amp;""))))</f>
        <v/>
      </c>
      <c r="AC109" s="32">
        <f>SUBSTITUTE(SUBSTITUTE(SUBSTITUTE(SUBSTITUTE(SUBSTITUTE(SUBSTITUTE(SUBSTITUTE(SUBSTITUTE(SUBSTITUTE(SUBSTITUTE(AB109,"%","%25"),"&amp;","%26"),"#","%23"),"+","%2B"),"=","%3D"),"?","%3F"),CHAR(34),"%22"),CHAR(10),"%0A"),CHAR(13),"")," ","+")</f>
        <v/>
      </c>
      <c r="AD109" s="32">
        <f>IF(OR(AA109="",AB109=""),"",'Start Here'!$B$20&amp;"#p="&amp;SUBSTITUTE(AA109,"+","%2B")&amp;"&amp;n="&amp;AC109&amp;"&amp;m="&amp;SUBSTITUTE('Start Here'!$B$24,"{name}",AC109))</f>
        <v/>
      </c>
      <c r="AE109" s="32">
        <f>LEN(AD109)</f>
        <v/>
      </c>
      <c r="AF109" s="32">
        <f>IF(AND(TRIM(A109&amp;"")&lt;&gt;"",OR(B109="Awaiting",B109="Not sure yet")),1,0)</f>
        <v/>
      </c>
      <c r="AG109" s="32">
        <f>N(AG108)+AF109</f>
        <v/>
      </c>
      <c r="AH109" s="32">
        <f>IF(AF109=1,AG109,"")</f>
        <v/>
      </c>
      <c r="AI109" s="32">
        <f>IF(AND(TRIM(A109&amp;"")&lt;&gt;"",L109&amp;""&lt;&gt;"",L109&amp;""=Seating!$I$3&amp;"",B109&lt;&gt;"Declined"),1,0)</f>
        <v/>
      </c>
      <c r="AJ109" s="32">
        <f>N(AJ108)+AI109</f>
        <v/>
      </c>
      <c r="AK109" s="32">
        <f>IF(AI109=1,AJ109,"")</f>
        <v/>
      </c>
    </row>
    <row r="110">
      <c r="A110" s="10" t="n"/>
      <c r="B110" s="47">
        <f>IF(TRIM(A110&amp;"")="","",IF(W110&lt;&gt;"",W110,IF(I110="","Awaiting",I110)))</f>
        <v/>
      </c>
      <c r="C110" s="60">
        <f>IF(OR(B110="Awaiting",B110="Not sure yet"),IF(AD110&lt;&gt;"",HYPERLINK(AD110,"💬 Remind"),"add mobile"),"")</f>
        <v/>
      </c>
      <c r="D110" s="58" t="n"/>
      <c r="E110" s="10" t="n"/>
      <c r="F110" s="10" t="n"/>
      <c r="G110" s="10" t="n"/>
      <c r="H110" s="10" t="n"/>
      <c r="I110" s="10" t="n"/>
      <c r="J110" s="10" t="n"/>
      <c r="K110" s="10" t="n"/>
      <c r="L110" s="56" t="n"/>
      <c r="M110" s="10" t="n"/>
      <c r="N110" s="12" t="n"/>
      <c r="O110" s="10" t="n"/>
      <c r="P110" s="10" t="n"/>
      <c r="Q110" s="61">
        <f>IF(V110="","",IF(T110="","Covered by "&amp;INDEX('Form Calc'!$B:$B,V110)&amp;"'s reply (same party)","Replied "&amp;TEXT(INDEX('Form Calc'!$A:$A,T110),"mm/dd")&amp;" · "&amp;INDEX('Form Calc'!$H:$H,T110)&amp;" adult(s), "&amp;INDEX('Form Calc'!$I:$I,T110)&amp;" child(ren)"&amp;IF(INDEX('Form Calc'!$K:$K,T110)&lt;&gt;""," · "&amp;INDEX('Form Calc'!$K:$K,T110),"")&amp;IF(INDEX('Form Calc'!$M:$M,T110)&lt;&gt;""," · “"&amp;INDEX('Form Calc'!$M:$M,T110)&amp;"”","")))</f>
        <v/>
      </c>
      <c r="R110" s="32">
        <f>SUBSTITUTE(SUBSTITUTE(SUBSTITUTE(SUBSTITUTE(SUBSTITUTE(SUBSTITUTE(SUBSTITUTE(SUBSTITUTE(D110&amp;""," ",""),"-",""),"(",""),")",""),".",""),"+",""),"/",""),CHAR(160),"")</f>
        <v/>
      </c>
      <c r="S110" s="32">
        <f>IF(LEN(R110)&gt;=10,RIGHT(R110,10),R110)</f>
        <v/>
      </c>
      <c r="T110" s="32">
        <f>IF(TRIM(A110&amp;"")="","",IF(S110&lt;&gt;"",IFERROR(MATCH(S110,'Form Calc'!$P:$P,0),IFERROR(MATCH(TRIM(A110&amp;""),'Form Calc'!$Q:$Q,0),"")),IFERROR(MATCH(TRIM(A110&amp;""),'Form Calc'!$Q:$Q,0),"")))</f>
        <v/>
      </c>
      <c r="U110" s="32">
        <f>IF(AND(T110&lt;&gt;"",TRIM(E110&amp;"")&lt;&gt;""),TRIM(E110&amp;""),"")</f>
        <v/>
      </c>
      <c r="V110" s="32">
        <f>IF(TRIM(A110&amp;"")="","",IF(T110&lt;&gt;"",T110,IF(TRIM(E110&amp;"")="","",IFERROR(INDEX($T$6:$T$505,MATCH(TRIM(E110&amp;""),$U$6:$U$505,0)),""))))</f>
        <v/>
      </c>
      <c r="W110" s="32">
        <f>IF(V110="","",INDEX('Form Calc'!$G:$G,V110))</f>
        <v/>
      </c>
      <c r="X110" s="32">
        <f>IF(TRIM(A110&amp;"")="","",IF(T110&lt;&gt;"",IF(INDEX('Form Calc'!$K:$K,T110)&lt;&gt;"",INDEX('Form Calc'!$K:$K,T110),J110&amp;""),J110&amp;""))</f>
        <v/>
      </c>
      <c r="Y110" s="32">
        <f>IF(TRIM(A110&amp;"")="","",IF(TRIM(D110&amp;"")&lt;&gt;"",TRIM(D110&amp;""),IF(T110&lt;&gt;"",INDEX('Form Calc'!$C:$C,T110)&amp;"","")))</f>
        <v/>
      </c>
      <c r="Z110" s="32">
        <f>SUBSTITUTE(SUBSTITUTE(SUBSTITUTE(SUBSTITUTE(SUBSTITUTE(SUBSTITUTE(SUBSTITUTE(SUBSTITUTE(Y110," ",""),"-",""),"(",""),")",""),".",""),"+",""),"/",""),CHAR(160),"")</f>
        <v/>
      </c>
      <c r="AA110" s="32">
        <f>IF(Z110="","",IF(LEN(Z110)=10,"+1"&amp;Z110,IF(AND(LEN(Z110)=11,LEFT(Z110,1)="1"),"+"&amp;Z110,IF(LEFT(Y110,1)="+","+"&amp;Z110,Z110))))</f>
        <v/>
      </c>
      <c r="AB110" s="32">
        <f>IF(TRIM(A110&amp;"")="","",IF(TRIM(M110&amp;"")&lt;&gt;"",TRIM(M110&amp;""),IFERROR(LEFT(TRIM(A110&amp;""),FIND(" ",TRIM(A110&amp;""))-1),TRIM(A110&amp;""))))</f>
        <v/>
      </c>
      <c r="AC110" s="32">
        <f>SUBSTITUTE(SUBSTITUTE(SUBSTITUTE(SUBSTITUTE(SUBSTITUTE(SUBSTITUTE(SUBSTITUTE(SUBSTITUTE(SUBSTITUTE(SUBSTITUTE(AB110,"%","%25"),"&amp;","%26"),"#","%23"),"+","%2B"),"=","%3D"),"?","%3F"),CHAR(34),"%22"),CHAR(10),"%0A"),CHAR(13),"")," ","+")</f>
        <v/>
      </c>
      <c r="AD110" s="32">
        <f>IF(OR(AA110="",AB110=""),"",'Start Here'!$B$20&amp;"#p="&amp;SUBSTITUTE(AA110,"+","%2B")&amp;"&amp;n="&amp;AC110&amp;"&amp;m="&amp;SUBSTITUTE('Start Here'!$B$24,"{name}",AC110))</f>
        <v/>
      </c>
      <c r="AE110" s="32">
        <f>LEN(AD110)</f>
        <v/>
      </c>
      <c r="AF110" s="32">
        <f>IF(AND(TRIM(A110&amp;"")&lt;&gt;"",OR(B110="Awaiting",B110="Not sure yet")),1,0)</f>
        <v/>
      </c>
      <c r="AG110" s="32">
        <f>N(AG109)+AF110</f>
        <v/>
      </c>
      <c r="AH110" s="32">
        <f>IF(AF110=1,AG110,"")</f>
        <v/>
      </c>
      <c r="AI110" s="32">
        <f>IF(AND(TRIM(A110&amp;"")&lt;&gt;"",L110&amp;""&lt;&gt;"",L110&amp;""=Seating!$I$3&amp;"",B110&lt;&gt;"Declined"),1,0)</f>
        <v/>
      </c>
      <c r="AJ110" s="32">
        <f>N(AJ109)+AI110</f>
        <v/>
      </c>
      <c r="AK110" s="32">
        <f>IF(AI110=1,AJ110,"")</f>
        <v/>
      </c>
    </row>
    <row r="111">
      <c r="A111" s="10" t="n"/>
      <c r="B111" s="47">
        <f>IF(TRIM(A111&amp;"")="","",IF(W111&lt;&gt;"",W111,IF(I111="","Awaiting",I111)))</f>
        <v/>
      </c>
      <c r="C111" s="60">
        <f>IF(OR(B111="Awaiting",B111="Not sure yet"),IF(AD111&lt;&gt;"",HYPERLINK(AD111,"💬 Remind"),"add mobile"),"")</f>
        <v/>
      </c>
      <c r="D111" s="58" t="n"/>
      <c r="E111" s="10" t="n"/>
      <c r="F111" s="10" t="n"/>
      <c r="G111" s="10" t="n"/>
      <c r="H111" s="10" t="n"/>
      <c r="I111" s="10" t="n"/>
      <c r="J111" s="10" t="n"/>
      <c r="K111" s="10" t="n"/>
      <c r="L111" s="56" t="n"/>
      <c r="M111" s="10" t="n"/>
      <c r="N111" s="12" t="n"/>
      <c r="O111" s="10" t="n"/>
      <c r="P111" s="10" t="n"/>
      <c r="Q111" s="61">
        <f>IF(V111="","",IF(T111="","Covered by "&amp;INDEX('Form Calc'!$B:$B,V111)&amp;"'s reply (same party)","Replied "&amp;TEXT(INDEX('Form Calc'!$A:$A,T111),"mm/dd")&amp;" · "&amp;INDEX('Form Calc'!$H:$H,T111)&amp;" adult(s), "&amp;INDEX('Form Calc'!$I:$I,T111)&amp;" child(ren)"&amp;IF(INDEX('Form Calc'!$K:$K,T111)&lt;&gt;""," · "&amp;INDEX('Form Calc'!$K:$K,T111),"")&amp;IF(INDEX('Form Calc'!$M:$M,T111)&lt;&gt;""," · “"&amp;INDEX('Form Calc'!$M:$M,T111)&amp;"”","")))</f>
        <v/>
      </c>
      <c r="R111" s="32">
        <f>SUBSTITUTE(SUBSTITUTE(SUBSTITUTE(SUBSTITUTE(SUBSTITUTE(SUBSTITUTE(SUBSTITUTE(SUBSTITUTE(D111&amp;""," ",""),"-",""),"(",""),")",""),".",""),"+",""),"/",""),CHAR(160),"")</f>
        <v/>
      </c>
      <c r="S111" s="32">
        <f>IF(LEN(R111)&gt;=10,RIGHT(R111,10),R111)</f>
        <v/>
      </c>
      <c r="T111" s="32">
        <f>IF(TRIM(A111&amp;"")="","",IF(S111&lt;&gt;"",IFERROR(MATCH(S111,'Form Calc'!$P:$P,0),IFERROR(MATCH(TRIM(A111&amp;""),'Form Calc'!$Q:$Q,0),"")),IFERROR(MATCH(TRIM(A111&amp;""),'Form Calc'!$Q:$Q,0),"")))</f>
        <v/>
      </c>
      <c r="U111" s="32">
        <f>IF(AND(T111&lt;&gt;"",TRIM(E111&amp;"")&lt;&gt;""),TRIM(E111&amp;""),"")</f>
        <v/>
      </c>
      <c r="V111" s="32">
        <f>IF(TRIM(A111&amp;"")="","",IF(T111&lt;&gt;"",T111,IF(TRIM(E111&amp;"")="","",IFERROR(INDEX($T$6:$T$505,MATCH(TRIM(E111&amp;""),$U$6:$U$505,0)),""))))</f>
        <v/>
      </c>
      <c r="W111" s="32">
        <f>IF(V111="","",INDEX('Form Calc'!$G:$G,V111))</f>
        <v/>
      </c>
      <c r="X111" s="32">
        <f>IF(TRIM(A111&amp;"")="","",IF(T111&lt;&gt;"",IF(INDEX('Form Calc'!$K:$K,T111)&lt;&gt;"",INDEX('Form Calc'!$K:$K,T111),J111&amp;""),J111&amp;""))</f>
        <v/>
      </c>
      <c r="Y111" s="32">
        <f>IF(TRIM(A111&amp;"")="","",IF(TRIM(D111&amp;"")&lt;&gt;"",TRIM(D111&amp;""),IF(T111&lt;&gt;"",INDEX('Form Calc'!$C:$C,T111)&amp;"","")))</f>
        <v/>
      </c>
      <c r="Z111" s="32">
        <f>SUBSTITUTE(SUBSTITUTE(SUBSTITUTE(SUBSTITUTE(SUBSTITUTE(SUBSTITUTE(SUBSTITUTE(SUBSTITUTE(Y111," ",""),"-",""),"(",""),")",""),".",""),"+",""),"/",""),CHAR(160),"")</f>
        <v/>
      </c>
      <c r="AA111" s="32">
        <f>IF(Z111="","",IF(LEN(Z111)=10,"+1"&amp;Z111,IF(AND(LEN(Z111)=11,LEFT(Z111,1)="1"),"+"&amp;Z111,IF(LEFT(Y111,1)="+","+"&amp;Z111,Z111))))</f>
        <v/>
      </c>
      <c r="AB111" s="32">
        <f>IF(TRIM(A111&amp;"")="","",IF(TRIM(M111&amp;"")&lt;&gt;"",TRIM(M111&amp;""),IFERROR(LEFT(TRIM(A111&amp;""),FIND(" ",TRIM(A111&amp;""))-1),TRIM(A111&amp;""))))</f>
        <v/>
      </c>
      <c r="AC111" s="32">
        <f>SUBSTITUTE(SUBSTITUTE(SUBSTITUTE(SUBSTITUTE(SUBSTITUTE(SUBSTITUTE(SUBSTITUTE(SUBSTITUTE(SUBSTITUTE(SUBSTITUTE(AB111,"%","%25"),"&amp;","%26"),"#","%23"),"+","%2B"),"=","%3D"),"?","%3F"),CHAR(34),"%22"),CHAR(10),"%0A"),CHAR(13),"")," ","+")</f>
        <v/>
      </c>
      <c r="AD111" s="32">
        <f>IF(OR(AA111="",AB111=""),"",'Start Here'!$B$20&amp;"#p="&amp;SUBSTITUTE(AA111,"+","%2B")&amp;"&amp;n="&amp;AC111&amp;"&amp;m="&amp;SUBSTITUTE('Start Here'!$B$24,"{name}",AC111))</f>
        <v/>
      </c>
      <c r="AE111" s="32">
        <f>LEN(AD111)</f>
        <v/>
      </c>
      <c r="AF111" s="32">
        <f>IF(AND(TRIM(A111&amp;"")&lt;&gt;"",OR(B111="Awaiting",B111="Not sure yet")),1,0)</f>
        <v/>
      </c>
      <c r="AG111" s="32">
        <f>N(AG110)+AF111</f>
        <v/>
      </c>
      <c r="AH111" s="32">
        <f>IF(AF111=1,AG111,"")</f>
        <v/>
      </c>
      <c r="AI111" s="32">
        <f>IF(AND(TRIM(A111&amp;"")&lt;&gt;"",L111&amp;""&lt;&gt;"",L111&amp;""=Seating!$I$3&amp;"",B111&lt;&gt;"Declined"),1,0)</f>
        <v/>
      </c>
      <c r="AJ111" s="32">
        <f>N(AJ110)+AI111</f>
        <v/>
      </c>
      <c r="AK111" s="32">
        <f>IF(AI111=1,AJ111,"")</f>
        <v/>
      </c>
    </row>
    <row r="112">
      <c r="A112" s="10" t="n"/>
      <c r="B112" s="47">
        <f>IF(TRIM(A112&amp;"")="","",IF(W112&lt;&gt;"",W112,IF(I112="","Awaiting",I112)))</f>
        <v/>
      </c>
      <c r="C112" s="60">
        <f>IF(OR(B112="Awaiting",B112="Not sure yet"),IF(AD112&lt;&gt;"",HYPERLINK(AD112,"💬 Remind"),"add mobile"),"")</f>
        <v/>
      </c>
      <c r="D112" s="58" t="n"/>
      <c r="E112" s="10" t="n"/>
      <c r="F112" s="10" t="n"/>
      <c r="G112" s="10" t="n"/>
      <c r="H112" s="10" t="n"/>
      <c r="I112" s="10" t="n"/>
      <c r="J112" s="10" t="n"/>
      <c r="K112" s="10" t="n"/>
      <c r="L112" s="56" t="n"/>
      <c r="M112" s="10" t="n"/>
      <c r="N112" s="12" t="n"/>
      <c r="O112" s="10" t="n"/>
      <c r="P112" s="10" t="n"/>
      <c r="Q112" s="61">
        <f>IF(V112="","",IF(T112="","Covered by "&amp;INDEX('Form Calc'!$B:$B,V112)&amp;"'s reply (same party)","Replied "&amp;TEXT(INDEX('Form Calc'!$A:$A,T112),"mm/dd")&amp;" · "&amp;INDEX('Form Calc'!$H:$H,T112)&amp;" adult(s), "&amp;INDEX('Form Calc'!$I:$I,T112)&amp;" child(ren)"&amp;IF(INDEX('Form Calc'!$K:$K,T112)&lt;&gt;""," · "&amp;INDEX('Form Calc'!$K:$K,T112),"")&amp;IF(INDEX('Form Calc'!$M:$M,T112)&lt;&gt;""," · “"&amp;INDEX('Form Calc'!$M:$M,T112)&amp;"”","")))</f>
        <v/>
      </c>
      <c r="R112" s="32">
        <f>SUBSTITUTE(SUBSTITUTE(SUBSTITUTE(SUBSTITUTE(SUBSTITUTE(SUBSTITUTE(SUBSTITUTE(SUBSTITUTE(D112&amp;""," ",""),"-",""),"(",""),")",""),".",""),"+",""),"/",""),CHAR(160),"")</f>
        <v/>
      </c>
      <c r="S112" s="32">
        <f>IF(LEN(R112)&gt;=10,RIGHT(R112,10),R112)</f>
        <v/>
      </c>
      <c r="T112" s="32">
        <f>IF(TRIM(A112&amp;"")="","",IF(S112&lt;&gt;"",IFERROR(MATCH(S112,'Form Calc'!$P:$P,0),IFERROR(MATCH(TRIM(A112&amp;""),'Form Calc'!$Q:$Q,0),"")),IFERROR(MATCH(TRIM(A112&amp;""),'Form Calc'!$Q:$Q,0),"")))</f>
        <v/>
      </c>
      <c r="U112" s="32">
        <f>IF(AND(T112&lt;&gt;"",TRIM(E112&amp;"")&lt;&gt;""),TRIM(E112&amp;""),"")</f>
        <v/>
      </c>
      <c r="V112" s="32">
        <f>IF(TRIM(A112&amp;"")="","",IF(T112&lt;&gt;"",T112,IF(TRIM(E112&amp;"")="","",IFERROR(INDEX($T$6:$T$505,MATCH(TRIM(E112&amp;""),$U$6:$U$505,0)),""))))</f>
        <v/>
      </c>
      <c r="W112" s="32">
        <f>IF(V112="","",INDEX('Form Calc'!$G:$G,V112))</f>
        <v/>
      </c>
      <c r="X112" s="32">
        <f>IF(TRIM(A112&amp;"")="","",IF(T112&lt;&gt;"",IF(INDEX('Form Calc'!$K:$K,T112)&lt;&gt;"",INDEX('Form Calc'!$K:$K,T112),J112&amp;""),J112&amp;""))</f>
        <v/>
      </c>
      <c r="Y112" s="32">
        <f>IF(TRIM(A112&amp;"")="","",IF(TRIM(D112&amp;"")&lt;&gt;"",TRIM(D112&amp;""),IF(T112&lt;&gt;"",INDEX('Form Calc'!$C:$C,T112)&amp;"","")))</f>
        <v/>
      </c>
      <c r="Z112" s="32">
        <f>SUBSTITUTE(SUBSTITUTE(SUBSTITUTE(SUBSTITUTE(SUBSTITUTE(SUBSTITUTE(SUBSTITUTE(SUBSTITUTE(Y112," ",""),"-",""),"(",""),")",""),".",""),"+",""),"/",""),CHAR(160),"")</f>
        <v/>
      </c>
      <c r="AA112" s="32">
        <f>IF(Z112="","",IF(LEN(Z112)=10,"+1"&amp;Z112,IF(AND(LEN(Z112)=11,LEFT(Z112,1)="1"),"+"&amp;Z112,IF(LEFT(Y112,1)="+","+"&amp;Z112,Z112))))</f>
        <v/>
      </c>
      <c r="AB112" s="32">
        <f>IF(TRIM(A112&amp;"")="","",IF(TRIM(M112&amp;"")&lt;&gt;"",TRIM(M112&amp;""),IFERROR(LEFT(TRIM(A112&amp;""),FIND(" ",TRIM(A112&amp;""))-1),TRIM(A112&amp;""))))</f>
        <v/>
      </c>
      <c r="AC112" s="32">
        <f>SUBSTITUTE(SUBSTITUTE(SUBSTITUTE(SUBSTITUTE(SUBSTITUTE(SUBSTITUTE(SUBSTITUTE(SUBSTITUTE(SUBSTITUTE(SUBSTITUTE(AB112,"%","%25"),"&amp;","%26"),"#","%23"),"+","%2B"),"=","%3D"),"?","%3F"),CHAR(34),"%22"),CHAR(10),"%0A"),CHAR(13),"")," ","+")</f>
        <v/>
      </c>
      <c r="AD112" s="32">
        <f>IF(OR(AA112="",AB112=""),"",'Start Here'!$B$20&amp;"#p="&amp;SUBSTITUTE(AA112,"+","%2B")&amp;"&amp;n="&amp;AC112&amp;"&amp;m="&amp;SUBSTITUTE('Start Here'!$B$24,"{name}",AC112))</f>
        <v/>
      </c>
      <c r="AE112" s="32">
        <f>LEN(AD112)</f>
        <v/>
      </c>
      <c r="AF112" s="32">
        <f>IF(AND(TRIM(A112&amp;"")&lt;&gt;"",OR(B112="Awaiting",B112="Not sure yet")),1,0)</f>
        <v/>
      </c>
      <c r="AG112" s="32">
        <f>N(AG111)+AF112</f>
        <v/>
      </c>
      <c r="AH112" s="32">
        <f>IF(AF112=1,AG112,"")</f>
        <v/>
      </c>
      <c r="AI112" s="32">
        <f>IF(AND(TRIM(A112&amp;"")&lt;&gt;"",L112&amp;""&lt;&gt;"",L112&amp;""=Seating!$I$3&amp;"",B112&lt;&gt;"Declined"),1,0)</f>
        <v/>
      </c>
      <c r="AJ112" s="32">
        <f>N(AJ111)+AI112</f>
        <v/>
      </c>
      <c r="AK112" s="32">
        <f>IF(AI112=1,AJ112,"")</f>
        <v/>
      </c>
    </row>
    <row r="113">
      <c r="A113" s="10" t="n"/>
      <c r="B113" s="47">
        <f>IF(TRIM(A113&amp;"")="","",IF(W113&lt;&gt;"",W113,IF(I113="","Awaiting",I113)))</f>
        <v/>
      </c>
      <c r="C113" s="60">
        <f>IF(OR(B113="Awaiting",B113="Not sure yet"),IF(AD113&lt;&gt;"",HYPERLINK(AD113,"💬 Remind"),"add mobile"),"")</f>
        <v/>
      </c>
      <c r="D113" s="58" t="n"/>
      <c r="E113" s="10" t="n"/>
      <c r="F113" s="10" t="n"/>
      <c r="G113" s="10" t="n"/>
      <c r="H113" s="10" t="n"/>
      <c r="I113" s="10" t="n"/>
      <c r="J113" s="10" t="n"/>
      <c r="K113" s="10" t="n"/>
      <c r="L113" s="56" t="n"/>
      <c r="M113" s="10" t="n"/>
      <c r="N113" s="12" t="n"/>
      <c r="O113" s="10" t="n"/>
      <c r="P113" s="10" t="n"/>
      <c r="Q113" s="61">
        <f>IF(V113="","",IF(T113="","Covered by "&amp;INDEX('Form Calc'!$B:$B,V113)&amp;"'s reply (same party)","Replied "&amp;TEXT(INDEX('Form Calc'!$A:$A,T113),"mm/dd")&amp;" · "&amp;INDEX('Form Calc'!$H:$H,T113)&amp;" adult(s), "&amp;INDEX('Form Calc'!$I:$I,T113)&amp;" child(ren)"&amp;IF(INDEX('Form Calc'!$K:$K,T113)&lt;&gt;""," · "&amp;INDEX('Form Calc'!$K:$K,T113),"")&amp;IF(INDEX('Form Calc'!$M:$M,T113)&lt;&gt;""," · “"&amp;INDEX('Form Calc'!$M:$M,T113)&amp;"”","")))</f>
        <v/>
      </c>
      <c r="R113" s="32">
        <f>SUBSTITUTE(SUBSTITUTE(SUBSTITUTE(SUBSTITUTE(SUBSTITUTE(SUBSTITUTE(SUBSTITUTE(SUBSTITUTE(D113&amp;""," ",""),"-",""),"(",""),")",""),".",""),"+",""),"/",""),CHAR(160),"")</f>
        <v/>
      </c>
      <c r="S113" s="32">
        <f>IF(LEN(R113)&gt;=10,RIGHT(R113,10),R113)</f>
        <v/>
      </c>
      <c r="T113" s="32">
        <f>IF(TRIM(A113&amp;"")="","",IF(S113&lt;&gt;"",IFERROR(MATCH(S113,'Form Calc'!$P:$P,0),IFERROR(MATCH(TRIM(A113&amp;""),'Form Calc'!$Q:$Q,0),"")),IFERROR(MATCH(TRIM(A113&amp;""),'Form Calc'!$Q:$Q,0),"")))</f>
        <v/>
      </c>
      <c r="U113" s="32">
        <f>IF(AND(T113&lt;&gt;"",TRIM(E113&amp;"")&lt;&gt;""),TRIM(E113&amp;""),"")</f>
        <v/>
      </c>
      <c r="V113" s="32">
        <f>IF(TRIM(A113&amp;"")="","",IF(T113&lt;&gt;"",T113,IF(TRIM(E113&amp;"")="","",IFERROR(INDEX($T$6:$T$505,MATCH(TRIM(E113&amp;""),$U$6:$U$505,0)),""))))</f>
        <v/>
      </c>
      <c r="W113" s="32">
        <f>IF(V113="","",INDEX('Form Calc'!$G:$G,V113))</f>
        <v/>
      </c>
      <c r="X113" s="32">
        <f>IF(TRIM(A113&amp;"")="","",IF(T113&lt;&gt;"",IF(INDEX('Form Calc'!$K:$K,T113)&lt;&gt;"",INDEX('Form Calc'!$K:$K,T113),J113&amp;""),J113&amp;""))</f>
        <v/>
      </c>
      <c r="Y113" s="32">
        <f>IF(TRIM(A113&amp;"")="","",IF(TRIM(D113&amp;"")&lt;&gt;"",TRIM(D113&amp;""),IF(T113&lt;&gt;"",INDEX('Form Calc'!$C:$C,T113)&amp;"","")))</f>
        <v/>
      </c>
      <c r="Z113" s="32">
        <f>SUBSTITUTE(SUBSTITUTE(SUBSTITUTE(SUBSTITUTE(SUBSTITUTE(SUBSTITUTE(SUBSTITUTE(SUBSTITUTE(Y113," ",""),"-",""),"(",""),")",""),".",""),"+",""),"/",""),CHAR(160),"")</f>
        <v/>
      </c>
      <c r="AA113" s="32">
        <f>IF(Z113="","",IF(LEN(Z113)=10,"+1"&amp;Z113,IF(AND(LEN(Z113)=11,LEFT(Z113,1)="1"),"+"&amp;Z113,IF(LEFT(Y113,1)="+","+"&amp;Z113,Z113))))</f>
        <v/>
      </c>
      <c r="AB113" s="32">
        <f>IF(TRIM(A113&amp;"")="","",IF(TRIM(M113&amp;"")&lt;&gt;"",TRIM(M113&amp;""),IFERROR(LEFT(TRIM(A113&amp;""),FIND(" ",TRIM(A113&amp;""))-1),TRIM(A113&amp;""))))</f>
        <v/>
      </c>
      <c r="AC113" s="32">
        <f>SUBSTITUTE(SUBSTITUTE(SUBSTITUTE(SUBSTITUTE(SUBSTITUTE(SUBSTITUTE(SUBSTITUTE(SUBSTITUTE(SUBSTITUTE(SUBSTITUTE(AB113,"%","%25"),"&amp;","%26"),"#","%23"),"+","%2B"),"=","%3D"),"?","%3F"),CHAR(34),"%22"),CHAR(10),"%0A"),CHAR(13),"")," ","+")</f>
        <v/>
      </c>
      <c r="AD113" s="32">
        <f>IF(OR(AA113="",AB113=""),"",'Start Here'!$B$20&amp;"#p="&amp;SUBSTITUTE(AA113,"+","%2B")&amp;"&amp;n="&amp;AC113&amp;"&amp;m="&amp;SUBSTITUTE('Start Here'!$B$24,"{name}",AC113))</f>
        <v/>
      </c>
      <c r="AE113" s="32">
        <f>LEN(AD113)</f>
        <v/>
      </c>
      <c r="AF113" s="32">
        <f>IF(AND(TRIM(A113&amp;"")&lt;&gt;"",OR(B113="Awaiting",B113="Not sure yet")),1,0)</f>
        <v/>
      </c>
      <c r="AG113" s="32">
        <f>N(AG112)+AF113</f>
        <v/>
      </c>
      <c r="AH113" s="32">
        <f>IF(AF113=1,AG113,"")</f>
        <v/>
      </c>
      <c r="AI113" s="32">
        <f>IF(AND(TRIM(A113&amp;"")&lt;&gt;"",L113&amp;""&lt;&gt;"",L113&amp;""=Seating!$I$3&amp;"",B113&lt;&gt;"Declined"),1,0)</f>
        <v/>
      </c>
      <c r="AJ113" s="32">
        <f>N(AJ112)+AI113</f>
        <v/>
      </c>
      <c r="AK113" s="32">
        <f>IF(AI113=1,AJ113,"")</f>
        <v/>
      </c>
    </row>
    <row r="114">
      <c r="A114" s="10" t="n"/>
      <c r="B114" s="47">
        <f>IF(TRIM(A114&amp;"")="","",IF(W114&lt;&gt;"",W114,IF(I114="","Awaiting",I114)))</f>
        <v/>
      </c>
      <c r="C114" s="60">
        <f>IF(OR(B114="Awaiting",B114="Not sure yet"),IF(AD114&lt;&gt;"",HYPERLINK(AD114,"💬 Remind"),"add mobile"),"")</f>
        <v/>
      </c>
      <c r="D114" s="58" t="n"/>
      <c r="E114" s="10" t="n"/>
      <c r="F114" s="10" t="n"/>
      <c r="G114" s="10" t="n"/>
      <c r="H114" s="10" t="n"/>
      <c r="I114" s="10" t="n"/>
      <c r="J114" s="10" t="n"/>
      <c r="K114" s="10" t="n"/>
      <c r="L114" s="56" t="n"/>
      <c r="M114" s="10" t="n"/>
      <c r="N114" s="12" t="n"/>
      <c r="O114" s="10" t="n"/>
      <c r="P114" s="10" t="n"/>
      <c r="Q114" s="61">
        <f>IF(V114="","",IF(T114="","Covered by "&amp;INDEX('Form Calc'!$B:$B,V114)&amp;"'s reply (same party)","Replied "&amp;TEXT(INDEX('Form Calc'!$A:$A,T114),"mm/dd")&amp;" · "&amp;INDEX('Form Calc'!$H:$H,T114)&amp;" adult(s), "&amp;INDEX('Form Calc'!$I:$I,T114)&amp;" child(ren)"&amp;IF(INDEX('Form Calc'!$K:$K,T114)&lt;&gt;""," · "&amp;INDEX('Form Calc'!$K:$K,T114),"")&amp;IF(INDEX('Form Calc'!$M:$M,T114)&lt;&gt;""," · “"&amp;INDEX('Form Calc'!$M:$M,T114)&amp;"”","")))</f>
        <v/>
      </c>
      <c r="R114" s="32">
        <f>SUBSTITUTE(SUBSTITUTE(SUBSTITUTE(SUBSTITUTE(SUBSTITUTE(SUBSTITUTE(SUBSTITUTE(SUBSTITUTE(D114&amp;""," ",""),"-",""),"(",""),")",""),".",""),"+",""),"/",""),CHAR(160),"")</f>
        <v/>
      </c>
      <c r="S114" s="32">
        <f>IF(LEN(R114)&gt;=10,RIGHT(R114,10),R114)</f>
        <v/>
      </c>
      <c r="T114" s="32">
        <f>IF(TRIM(A114&amp;"")="","",IF(S114&lt;&gt;"",IFERROR(MATCH(S114,'Form Calc'!$P:$P,0),IFERROR(MATCH(TRIM(A114&amp;""),'Form Calc'!$Q:$Q,0),"")),IFERROR(MATCH(TRIM(A114&amp;""),'Form Calc'!$Q:$Q,0),"")))</f>
        <v/>
      </c>
      <c r="U114" s="32">
        <f>IF(AND(T114&lt;&gt;"",TRIM(E114&amp;"")&lt;&gt;""),TRIM(E114&amp;""),"")</f>
        <v/>
      </c>
      <c r="V114" s="32">
        <f>IF(TRIM(A114&amp;"")="","",IF(T114&lt;&gt;"",T114,IF(TRIM(E114&amp;"")="","",IFERROR(INDEX($T$6:$T$505,MATCH(TRIM(E114&amp;""),$U$6:$U$505,0)),""))))</f>
        <v/>
      </c>
      <c r="W114" s="32">
        <f>IF(V114="","",INDEX('Form Calc'!$G:$G,V114))</f>
        <v/>
      </c>
      <c r="X114" s="32">
        <f>IF(TRIM(A114&amp;"")="","",IF(T114&lt;&gt;"",IF(INDEX('Form Calc'!$K:$K,T114)&lt;&gt;"",INDEX('Form Calc'!$K:$K,T114),J114&amp;""),J114&amp;""))</f>
        <v/>
      </c>
      <c r="Y114" s="32">
        <f>IF(TRIM(A114&amp;"")="","",IF(TRIM(D114&amp;"")&lt;&gt;"",TRIM(D114&amp;""),IF(T114&lt;&gt;"",INDEX('Form Calc'!$C:$C,T114)&amp;"","")))</f>
        <v/>
      </c>
      <c r="Z114" s="32">
        <f>SUBSTITUTE(SUBSTITUTE(SUBSTITUTE(SUBSTITUTE(SUBSTITUTE(SUBSTITUTE(SUBSTITUTE(SUBSTITUTE(Y114," ",""),"-",""),"(",""),")",""),".",""),"+",""),"/",""),CHAR(160),"")</f>
        <v/>
      </c>
      <c r="AA114" s="32">
        <f>IF(Z114="","",IF(LEN(Z114)=10,"+1"&amp;Z114,IF(AND(LEN(Z114)=11,LEFT(Z114,1)="1"),"+"&amp;Z114,IF(LEFT(Y114,1)="+","+"&amp;Z114,Z114))))</f>
        <v/>
      </c>
      <c r="AB114" s="32">
        <f>IF(TRIM(A114&amp;"")="","",IF(TRIM(M114&amp;"")&lt;&gt;"",TRIM(M114&amp;""),IFERROR(LEFT(TRIM(A114&amp;""),FIND(" ",TRIM(A114&amp;""))-1),TRIM(A114&amp;""))))</f>
        <v/>
      </c>
      <c r="AC114" s="32">
        <f>SUBSTITUTE(SUBSTITUTE(SUBSTITUTE(SUBSTITUTE(SUBSTITUTE(SUBSTITUTE(SUBSTITUTE(SUBSTITUTE(SUBSTITUTE(SUBSTITUTE(AB114,"%","%25"),"&amp;","%26"),"#","%23"),"+","%2B"),"=","%3D"),"?","%3F"),CHAR(34),"%22"),CHAR(10),"%0A"),CHAR(13),"")," ","+")</f>
        <v/>
      </c>
      <c r="AD114" s="32">
        <f>IF(OR(AA114="",AB114=""),"",'Start Here'!$B$20&amp;"#p="&amp;SUBSTITUTE(AA114,"+","%2B")&amp;"&amp;n="&amp;AC114&amp;"&amp;m="&amp;SUBSTITUTE('Start Here'!$B$24,"{name}",AC114))</f>
        <v/>
      </c>
      <c r="AE114" s="32">
        <f>LEN(AD114)</f>
        <v/>
      </c>
      <c r="AF114" s="32">
        <f>IF(AND(TRIM(A114&amp;"")&lt;&gt;"",OR(B114="Awaiting",B114="Not sure yet")),1,0)</f>
        <v/>
      </c>
      <c r="AG114" s="32">
        <f>N(AG113)+AF114</f>
        <v/>
      </c>
      <c r="AH114" s="32">
        <f>IF(AF114=1,AG114,"")</f>
        <v/>
      </c>
      <c r="AI114" s="32">
        <f>IF(AND(TRIM(A114&amp;"")&lt;&gt;"",L114&amp;""&lt;&gt;"",L114&amp;""=Seating!$I$3&amp;"",B114&lt;&gt;"Declined"),1,0)</f>
        <v/>
      </c>
      <c r="AJ114" s="32">
        <f>N(AJ113)+AI114</f>
        <v/>
      </c>
      <c r="AK114" s="32">
        <f>IF(AI114=1,AJ114,"")</f>
        <v/>
      </c>
    </row>
    <row r="115">
      <c r="A115" s="10" t="n"/>
      <c r="B115" s="47">
        <f>IF(TRIM(A115&amp;"")="","",IF(W115&lt;&gt;"",W115,IF(I115="","Awaiting",I115)))</f>
        <v/>
      </c>
      <c r="C115" s="60">
        <f>IF(OR(B115="Awaiting",B115="Not sure yet"),IF(AD115&lt;&gt;"",HYPERLINK(AD115,"💬 Remind"),"add mobile"),"")</f>
        <v/>
      </c>
      <c r="D115" s="58" t="n"/>
      <c r="E115" s="10" t="n"/>
      <c r="F115" s="10" t="n"/>
      <c r="G115" s="10" t="n"/>
      <c r="H115" s="10" t="n"/>
      <c r="I115" s="10" t="n"/>
      <c r="J115" s="10" t="n"/>
      <c r="K115" s="10" t="n"/>
      <c r="L115" s="56" t="n"/>
      <c r="M115" s="10" t="n"/>
      <c r="N115" s="12" t="n"/>
      <c r="O115" s="10" t="n"/>
      <c r="P115" s="10" t="n"/>
      <c r="Q115" s="61">
        <f>IF(V115="","",IF(T115="","Covered by "&amp;INDEX('Form Calc'!$B:$B,V115)&amp;"'s reply (same party)","Replied "&amp;TEXT(INDEX('Form Calc'!$A:$A,T115),"mm/dd")&amp;" · "&amp;INDEX('Form Calc'!$H:$H,T115)&amp;" adult(s), "&amp;INDEX('Form Calc'!$I:$I,T115)&amp;" child(ren)"&amp;IF(INDEX('Form Calc'!$K:$K,T115)&lt;&gt;""," · "&amp;INDEX('Form Calc'!$K:$K,T115),"")&amp;IF(INDEX('Form Calc'!$M:$M,T115)&lt;&gt;""," · “"&amp;INDEX('Form Calc'!$M:$M,T115)&amp;"”","")))</f>
        <v/>
      </c>
      <c r="R115" s="32">
        <f>SUBSTITUTE(SUBSTITUTE(SUBSTITUTE(SUBSTITUTE(SUBSTITUTE(SUBSTITUTE(SUBSTITUTE(SUBSTITUTE(D115&amp;""," ",""),"-",""),"(",""),")",""),".",""),"+",""),"/",""),CHAR(160),"")</f>
        <v/>
      </c>
      <c r="S115" s="32">
        <f>IF(LEN(R115)&gt;=10,RIGHT(R115,10),R115)</f>
        <v/>
      </c>
      <c r="T115" s="32">
        <f>IF(TRIM(A115&amp;"")="","",IF(S115&lt;&gt;"",IFERROR(MATCH(S115,'Form Calc'!$P:$P,0),IFERROR(MATCH(TRIM(A115&amp;""),'Form Calc'!$Q:$Q,0),"")),IFERROR(MATCH(TRIM(A115&amp;""),'Form Calc'!$Q:$Q,0),"")))</f>
        <v/>
      </c>
      <c r="U115" s="32">
        <f>IF(AND(T115&lt;&gt;"",TRIM(E115&amp;"")&lt;&gt;""),TRIM(E115&amp;""),"")</f>
        <v/>
      </c>
      <c r="V115" s="32">
        <f>IF(TRIM(A115&amp;"")="","",IF(T115&lt;&gt;"",T115,IF(TRIM(E115&amp;"")="","",IFERROR(INDEX($T$6:$T$505,MATCH(TRIM(E115&amp;""),$U$6:$U$505,0)),""))))</f>
        <v/>
      </c>
      <c r="W115" s="32">
        <f>IF(V115="","",INDEX('Form Calc'!$G:$G,V115))</f>
        <v/>
      </c>
      <c r="X115" s="32">
        <f>IF(TRIM(A115&amp;"")="","",IF(T115&lt;&gt;"",IF(INDEX('Form Calc'!$K:$K,T115)&lt;&gt;"",INDEX('Form Calc'!$K:$K,T115),J115&amp;""),J115&amp;""))</f>
        <v/>
      </c>
      <c r="Y115" s="32">
        <f>IF(TRIM(A115&amp;"")="","",IF(TRIM(D115&amp;"")&lt;&gt;"",TRIM(D115&amp;""),IF(T115&lt;&gt;"",INDEX('Form Calc'!$C:$C,T115)&amp;"","")))</f>
        <v/>
      </c>
      <c r="Z115" s="32">
        <f>SUBSTITUTE(SUBSTITUTE(SUBSTITUTE(SUBSTITUTE(SUBSTITUTE(SUBSTITUTE(SUBSTITUTE(SUBSTITUTE(Y115," ",""),"-",""),"(",""),")",""),".",""),"+",""),"/",""),CHAR(160),"")</f>
        <v/>
      </c>
      <c r="AA115" s="32">
        <f>IF(Z115="","",IF(LEN(Z115)=10,"+1"&amp;Z115,IF(AND(LEN(Z115)=11,LEFT(Z115,1)="1"),"+"&amp;Z115,IF(LEFT(Y115,1)="+","+"&amp;Z115,Z115))))</f>
        <v/>
      </c>
      <c r="AB115" s="32">
        <f>IF(TRIM(A115&amp;"")="","",IF(TRIM(M115&amp;"")&lt;&gt;"",TRIM(M115&amp;""),IFERROR(LEFT(TRIM(A115&amp;""),FIND(" ",TRIM(A115&amp;""))-1),TRIM(A115&amp;""))))</f>
        <v/>
      </c>
      <c r="AC115" s="32">
        <f>SUBSTITUTE(SUBSTITUTE(SUBSTITUTE(SUBSTITUTE(SUBSTITUTE(SUBSTITUTE(SUBSTITUTE(SUBSTITUTE(SUBSTITUTE(SUBSTITUTE(AB115,"%","%25"),"&amp;","%26"),"#","%23"),"+","%2B"),"=","%3D"),"?","%3F"),CHAR(34),"%22"),CHAR(10),"%0A"),CHAR(13),"")," ","+")</f>
        <v/>
      </c>
      <c r="AD115" s="32">
        <f>IF(OR(AA115="",AB115=""),"",'Start Here'!$B$20&amp;"#p="&amp;SUBSTITUTE(AA115,"+","%2B")&amp;"&amp;n="&amp;AC115&amp;"&amp;m="&amp;SUBSTITUTE('Start Here'!$B$24,"{name}",AC115))</f>
        <v/>
      </c>
      <c r="AE115" s="32">
        <f>LEN(AD115)</f>
        <v/>
      </c>
      <c r="AF115" s="32">
        <f>IF(AND(TRIM(A115&amp;"")&lt;&gt;"",OR(B115="Awaiting",B115="Not sure yet")),1,0)</f>
        <v/>
      </c>
      <c r="AG115" s="32">
        <f>N(AG114)+AF115</f>
        <v/>
      </c>
      <c r="AH115" s="32">
        <f>IF(AF115=1,AG115,"")</f>
        <v/>
      </c>
      <c r="AI115" s="32">
        <f>IF(AND(TRIM(A115&amp;"")&lt;&gt;"",L115&amp;""&lt;&gt;"",L115&amp;""=Seating!$I$3&amp;"",B115&lt;&gt;"Declined"),1,0)</f>
        <v/>
      </c>
      <c r="AJ115" s="32">
        <f>N(AJ114)+AI115</f>
        <v/>
      </c>
      <c r="AK115" s="32">
        <f>IF(AI115=1,AJ115,"")</f>
        <v/>
      </c>
    </row>
    <row r="116">
      <c r="A116" s="10" t="n"/>
      <c r="B116" s="47">
        <f>IF(TRIM(A116&amp;"")="","",IF(W116&lt;&gt;"",W116,IF(I116="","Awaiting",I116)))</f>
        <v/>
      </c>
      <c r="C116" s="60">
        <f>IF(OR(B116="Awaiting",B116="Not sure yet"),IF(AD116&lt;&gt;"",HYPERLINK(AD116,"💬 Remind"),"add mobile"),"")</f>
        <v/>
      </c>
      <c r="D116" s="58" t="n"/>
      <c r="E116" s="10" t="n"/>
      <c r="F116" s="10" t="n"/>
      <c r="G116" s="10" t="n"/>
      <c r="H116" s="10" t="n"/>
      <c r="I116" s="10" t="n"/>
      <c r="J116" s="10" t="n"/>
      <c r="K116" s="10" t="n"/>
      <c r="L116" s="56" t="n"/>
      <c r="M116" s="10" t="n"/>
      <c r="N116" s="12" t="n"/>
      <c r="O116" s="10" t="n"/>
      <c r="P116" s="10" t="n"/>
      <c r="Q116" s="61">
        <f>IF(V116="","",IF(T116="","Covered by "&amp;INDEX('Form Calc'!$B:$B,V116)&amp;"'s reply (same party)","Replied "&amp;TEXT(INDEX('Form Calc'!$A:$A,T116),"mm/dd")&amp;" · "&amp;INDEX('Form Calc'!$H:$H,T116)&amp;" adult(s), "&amp;INDEX('Form Calc'!$I:$I,T116)&amp;" child(ren)"&amp;IF(INDEX('Form Calc'!$K:$K,T116)&lt;&gt;""," · "&amp;INDEX('Form Calc'!$K:$K,T116),"")&amp;IF(INDEX('Form Calc'!$M:$M,T116)&lt;&gt;""," · “"&amp;INDEX('Form Calc'!$M:$M,T116)&amp;"”","")))</f>
        <v/>
      </c>
      <c r="R116" s="32">
        <f>SUBSTITUTE(SUBSTITUTE(SUBSTITUTE(SUBSTITUTE(SUBSTITUTE(SUBSTITUTE(SUBSTITUTE(SUBSTITUTE(D116&amp;""," ",""),"-",""),"(",""),")",""),".",""),"+",""),"/",""),CHAR(160),"")</f>
        <v/>
      </c>
      <c r="S116" s="32">
        <f>IF(LEN(R116)&gt;=10,RIGHT(R116,10),R116)</f>
        <v/>
      </c>
      <c r="T116" s="32">
        <f>IF(TRIM(A116&amp;"")="","",IF(S116&lt;&gt;"",IFERROR(MATCH(S116,'Form Calc'!$P:$P,0),IFERROR(MATCH(TRIM(A116&amp;""),'Form Calc'!$Q:$Q,0),"")),IFERROR(MATCH(TRIM(A116&amp;""),'Form Calc'!$Q:$Q,0),"")))</f>
        <v/>
      </c>
      <c r="U116" s="32">
        <f>IF(AND(T116&lt;&gt;"",TRIM(E116&amp;"")&lt;&gt;""),TRIM(E116&amp;""),"")</f>
        <v/>
      </c>
      <c r="V116" s="32">
        <f>IF(TRIM(A116&amp;"")="","",IF(T116&lt;&gt;"",T116,IF(TRIM(E116&amp;"")="","",IFERROR(INDEX($T$6:$T$505,MATCH(TRIM(E116&amp;""),$U$6:$U$505,0)),""))))</f>
        <v/>
      </c>
      <c r="W116" s="32">
        <f>IF(V116="","",INDEX('Form Calc'!$G:$G,V116))</f>
        <v/>
      </c>
      <c r="X116" s="32">
        <f>IF(TRIM(A116&amp;"")="","",IF(T116&lt;&gt;"",IF(INDEX('Form Calc'!$K:$K,T116)&lt;&gt;"",INDEX('Form Calc'!$K:$K,T116),J116&amp;""),J116&amp;""))</f>
        <v/>
      </c>
      <c r="Y116" s="32">
        <f>IF(TRIM(A116&amp;"")="","",IF(TRIM(D116&amp;"")&lt;&gt;"",TRIM(D116&amp;""),IF(T116&lt;&gt;"",INDEX('Form Calc'!$C:$C,T116)&amp;"","")))</f>
        <v/>
      </c>
      <c r="Z116" s="32">
        <f>SUBSTITUTE(SUBSTITUTE(SUBSTITUTE(SUBSTITUTE(SUBSTITUTE(SUBSTITUTE(SUBSTITUTE(SUBSTITUTE(Y116," ",""),"-",""),"(",""),")",""),".",""),"+",""),"/",""),CHAR(160),"")</f>
        <v/>
      </c>
      <c r="AA116" s="32">
        <f>IF(Z116="","",IF(LEN(Z116)=10,"+1"&amp;Z116,IF(AND(LEN(Z116)=11,LEFT(Z116,1)="1"),"+"&amp;Z116,IF(LEFT(Y116,1)="+","+"&amp;Z116,Z116))))</f>
        <v/>
      </c>
      <c r="AB116" s="32">
        <f>IF(TRIM(A116&amp;"")="","",IF(TRIM(M116&amp;"")&lt;&gt;"",TRIM(M116&amp;""),IFERROR(LEFT(TRIM(A116&amp;""),FIND(" ",TRIM(A116&amp;""))-1),TRIM(A116&amp;""))))</f>
        <v/>
      </c>
      <c r="AC116" s="32">
        <f>SUBSTITUTE(SUBSTITUTE(SUBSTITUTE(SUBSTITUTE(SUBSTITUTE(SUBSTITUTE(SUBSTITUTE(SUBSTITUTE(SUBSTITUTE(SUBSTITUTE(AB116,"%","%25"),"&amp;","%26"),"#","%23"),"+","%2B"),"=","%3D"),"?","%3F"),CHAR(34),"%22"),CHAR(10),"%0A"),CHAR(13),"")," ","+")</f>
        <v/>
      </c>
      <c r="AD116" s="32">
        <f>IF(OR(AA116="",AB116=""),"",'Start Here'!$B$20&amp;"#p="&amp;SUBSTITUTE(AA116,"+","%2B")&amp;"&amp;n="&amp;AC116&amp;"&amp;m="&amp;SUBSTITUTE('Start Here'!$B$24,"{name}",AC116))</f>
        <v/>
      </c>
      <c r="AE116" s="32">
        <f>LEN(AD116)</f>
        <v/>
      </c>
      <c r="AF116" s="32">
        <f>IF(AND(TRIM(A116&amp;"")&lt;&gt;"",OR(B116="Awaiting",B116="Not sure yet")),1,0)</f>
        <v/>
      </c>
      <c r="AG116" s="32">
        <f>N(AG115)+AF116</f>
        <v/>
      </c>
      <c r="AH116" s="32">
        <f>IF(AF116=1,AG116,"")</f>
        <v/>
      </c>
      <c r="AI116" s="32">
        <f>IF(AND(TRIM(A116&amp;"")&lt;&gt;"",L116&amp;""&lt;&gt;"",L116&amp;""=Seating!$I$3&amp;"",B116&lt;&gt;"Declined"),1,0)</f>
        <v/>
      </c>
      <c r="AJ116" s="32">
        <f>N(AJ115)+AI116</f>
        <v/>
      </c>
      <c r="AK116" s="32">
        <f>IF(AI116=1,AJ116,"")</f>
        <v/>
      </c>
    </row>
    <row r="117">
      <c r="A117" s="10" t="n"/>
      <c r="B117" s="47">
        <f>IF(TRIM(A117&amp;"")="","",IF(W117&lt;&gt;"",W117,IF(I117="","Awaiting",I117)))</f>
        <v/>
      </c>
      <c r="C117" s="60">
        <f>IF(OR(B117="Awaiting",B117="Not sure yet"),IF(AD117&lt;&gt;"",HYPERLINK(AD117,"💬 Remind"),"add mobile"),"")</f>
        <v/>
      </c>
      <c r="D117" s="58" t="n"/>
      <c r="E117" s="10" t="n"/>
      <c r="F117" s="10" t="n"/>
      <c r="G117" s="10" t="n"/>
      <c r="H117" s="10" t="n"/>
      <c r="I117" s="10" t="n"/>
      <c r="J117" s="10" t="n"/>
      <c r="K117" s="10" t="n"/>
      <c r="L117" s="56" t="n"/>
      <c r="M117" s="10" t="n"/>
      <c r="N117" s="12" t="n"/>
      <c r="O117" s="10" t="n"/>
      <c r="P117" s="10" t="n"/>
      <c r="Q117" s="61">
        <f>IF(V117="","",IF(T117="","Covered by "&amp;INDEX('Form Calc'!$B:$B,V117)&amp;"'s reply (same party)","Replied "&amp;TEXT(INDEX('Form Calc'!$A:$A,T117),"mm/dd")&amp;" · "&amp;INDEX('Form Calc'!$H:$H,T117)&amp;" adult(s), "&amp;INDEX('Form Calc'!$I:$I,T117)&amp;" child(ren)"&amp;IF(INDEX('Form Calc'!$K:$K,T117)&lt;&gt;""," · "&amp;INDEX('Form Calc'!$K:$K,T117),"")&amp;IF(INDEX('Form Calc'!$M:$M,T117)&lt;&gt;""," · “"&amp;INDEX('Form Calc'!$M:$M,T117)&amp;"”","")))</f>
        <v/>
      </c>
      <c r="R117" s="32">
        <f>SUBSTITUTE(SUBSTITUTE(SUBSTITUTE(SUBSTITUTE(SUBSTITUTE(SUBSTITUTE(SUBSTITUTE(SUBSTITUTE(D117&amp;""," ",""),"-",""),"(",""),")",""),".",""),"+",""),"/",""),CHAR(160),"")</f>
        <v/>
      </c>
      <c r="S117" s="32">
        <f>IF(LEN(R117)&gt;=10,RIGHT(R117,10),R117)</f>
        <v/>
      </c>
      <c r="T117" s="32">
        <f>IF(TRIM(A117&amp;"")="","",IF(S117&lt;&gt;"",IFERROR(MATCH(S117,'Form Calc'!$P:$P,0),IFERROR(MATCH(TRIM(A117&amp;""),'Form Calc'!$Q:$Q,0),"")),IFERROR(MATCH(TRIM(A117&amp;""),'Form Calc'!$Q:$Q,0),"")))</f>
        <v/>
      </c>
      <c r="U117" s="32">
        <f>IF(AND(T117&lt;&gt;"",TRIM(E117&amp;"")&lt;&gt;""),TRIM(E117&amp;""),"")</f>
        <v/>
      </c>
      <c r="V117" s="32">
        <f>IF(TRIM(A117&amp;"")="","",IF(T117&lt;&gt;"",T117,IF(TRIM(E117&amp;"")="","",IFERROR(INDEX($T$6:$T$505,MATCH(TRIM(E117&amp;""),$U$6:$U$505,0)),""))))</f>
        <v/>
      </c>
      <c r="W117" s="32">
        <f>IF(V117="","",INDEX('Form Calc'!$G:$G,V117))</f>
        <v/>
      </c>
      <c r="X117" s="32">
        <f>IF(TRIM(A117&amp;"")="","",IF(T117&lt;&gt;"",IF(INDEX('Form Calc'!$K:$K,T117)&lt;&gt;"",INDEX('Form Calc'!$K:$K,T117),J117&amp;""),J117&amp;""))</f>
        <v/>
      </c>
      <c r="Y117" s="32">
        <f>IF(TRIM(A117&amp;"")="","",IF(TRIM(D117&amp;"")&lt;&gt;"",TRIM(D117&amp;""),IF(T117&lt;&gt;"",INDEX('Form Calc'!$C:$C,T117)&amp;"","")))</f>
        <v/>
      </c>
      <c r="Z117" s="32">
        <f>SUBSTITUTE(SUBSTITUTE(SUBSTITUTE(SUBSTITUTE(SUBSTITUTE(SUBSTITUTE(SUBSTITUTE(SUBSTITUTE(Y117," ",""),"-",""),"(",""),")",""),".",""),"+",""),"/",""),CHAR(160),"")</f>
        <v/>
      </c>
      <c r="AA117" s="32">
        <f>IF(Z117="","",IF(LEN(Z117)=10,"+1"&amp;Z117,IF(AND(LEN(Z117)=11,LEFT(Z117,1)="1"),"+"&amp;Z117,IF(LEFT(Y117,1)="+","+"&amp;Z117,Z117))))</f>
        <v/>
      </c>
      <c r="AB117" s="32">
        <f>IF(TRIM(A117&amp;"")="","",IF(TRIM(M117&amp;"")&lt;&gt;"",TRIM(M117&amp;""),IFERROR(LEFT(TRIM(A117&amp;""),FIND(" ",TRIM(A117&amp;""))-1),TRIM(A117&amp;""))))</f>
        <v/>
      </c>
      <c r="AC117" s="32">
        <f>SUBSTITUTE(SUBSTITUTE(SUBSTITUTE(SUBSTITUTE(SUBSTITUTE(SUBSTITUTE(SUBSTITUTE(SUBSTITUTE(SUBSTITUTE(SUBSTITUTE(AB117,"%","%25"),"&amp;","%26"),"#","%23"),"+","%2B"),"=","%3D"),"?","%3F"),CHAR(34),"%22"),CHAR(10),"%0A"),CHAR(13),"")," ","+")</f>
        <v/>
      </c>
      <c r="AD117" s="32">
        <f>IF(OR(AA117="",AB117=""),"",'Start Here'!$B$20&amp;"#p="&amp;SUBSTITUTE(AA117,"+","%2B")&amp;"&amp;n="&amp;AC117&amp;"&amp;m="&amp;SUBSTITUTE('Start Here'!$B$24,"{name}",AC117))</f>
        <v/>
      </c>
      <c r="AE117" s="32">
        <f>LEN(AD117)</f>
        <v/>
      </c>
      <c r="AF117" s="32">
        <f>IF(AND(TRIM(A117&amp;"")&lt;&gt;"",OR(B117="Awaiting",B117="Not sure yet")),1,0)</f>
        <v/>
      </c>
      <c r="AG117" s="32">
        <f>N(AG116)+AF117</f>
        <v/>
      </c>
      <c r="AH117" s="32">
        <f>IF(AF117=1,AG117,"")</f>
        <v/>
      </c>
      <c r="AI117" s="32">
        <f>IF(AND(TRIM(A117&amp;"")&lt;&gt;"",L117&amp;""&lt;&gt;"",L117&amp;""=Seating!$I$3&amp;"",B117&lt;&gt;"Declined"),1,0)</f>
        <v/>
      </c>
      <c r="AJ117" s="32">
        <f>N(AJ116)+AI117</f>
        <v/>
      </c>
      <c r="AK117" s="32">
        <f>IF(AI117=1,AJ117,"")</f>
        <v/>
      </c>
    </row>
    <row r="118">
      <c r="A118" s="10" t="n"/>
      <c r="B118" s="47">
        <f>IF(TRIM(A118&amp;"")="","",IF(W118&lt;&gt;"",W118,IF(I118="","Awaiting",I118)))</f>
        <v/>
      </c>
      <c r="C118" s="60">
        <f>IF(OR(B118="Awaiting",B118="Not sure yet"),IF(AD118&lt;&gt;"",HYPERLINK(AD118,"💬 Remind"),"add mobile"),"")</f>
        <v/>
      </c>
      <c r="D118" s="58" t="n"/>
      <c r="E118" s="10" t="n"/>
      <c r="F118" s="10" t="n"/>
      <c r="G118" s="10" t="n"/>
      <c r="H118" s="10" t="n"/>
      <c r="I118" s="10" t="n"/>
      <c r="J118" s="10" t="n"/>
      <c r="K118" s="10" t="n"/>
      <c r="L118" s="56" t="n"/>
      <c r="M118" s="10" t="n"/>
      <c r="N118" s="12" t="n"/>
      <c r="O118" s="10" t="n"/>
      <c r="P118" s="10" t="n"/>
      <c r="Q118" s="61">
        <f>IF(V118="","",IF(T118="","Covered by "&amp;INDEX('Form Calc'!$B:$B,V118)&amp;"'s reply (same party)","Replied "&amp;TEXT(INDEX('Form Calc'!$A:$A,T118),"mm/dd")&amp;" · "&amp;INDEX('Form Calc'!$H:$H,T118)&amp;" adult(s), "&amp;INDEX('Form Calc'!$I:$I,T118)&amp;" child(ren)"&amp;IF(INDEX('Form Calc'!$K:$K,T118)&lt;&gt;""," · "&amp;INDEX('Form Calc'!$K:$K,T118),"")&amp;IF(INDEX('Form Calc'!$M:$M,T118)&lt;&gt;""," · “"&amp;INDEX('Form Calc'!$M:$M,T118)&amp;"”","")))</f>
        <v/>
      </c>
      <c r="R118" s="32">
        <f>SUBSTITUTE(SUBSTITUTE(SUBSTITUTE(SUBSTITUTE(SUBSTITUTE(SUBSTITUTE(SUBSTITUTE(SUBSTITUTE(D118&amp;""," ",""),"-",""),"(",""),")",""),".",""),"+",""),"/",""),CHAR(160),"")</f>
        <v/>
      </c>
      <c r="S118" s="32">
        <f>IF(LEN(R118)&gt;=10,RIGHT(R118,10),R118)</f>
        <v/>
      </c>
      <c r="T118" s="32">
        <f>IF(TRIM(A118&amp;"")="","",IF(S118&lt;&gt;"",IFERROR(MATCH(S118,'Form Calc'!$P:$P,0),IFERROR(MATCH(TRIM(A118&amp;""),'Form Calc'!$Q:$Q,0),"")),IFERROR(MATCH(TRIM(A118&amp;""),'Form Calc'!$Q:$Q,0),"")))</f>
        <v/>
      </c>
      <c r="U118" s="32">
        <f>IF(AND(T118&lt;&gt;"",TRIM(E118&amp;"")&lt;&gt;""),TRIM(E118&amp;""),"")</f>
        <v/>
      </c>
      <c r="V118" s="32">
        <f>IF(TRIM(A118&amp;"")="","",IF(T118&lt;&gt;"",T118,IF(TRIM(E118&amp;"")="","",IFERROR(INDEX($T$6:$T$505,MATCH(TRIM(E118&amp;""),$U$6:$U$505,0)),""))))</f>
        <v/>
      </c>
      <c r="W118" s="32">
        <f>IF(V118="","",INDEX('Form Calc'!$G:$G,V118))</f>
        <v/>
      </c>
      <c r="X118" s="32">
        <f>IF(TRIM(A118&amp;"")="","",IF(T118&lt;&gt;"",IF(INDEX('Form Calc'!$K:$K,T118)&lt;&gt;"",INDEX('Form Calc'!$K:$K,T118),J118&amp;""),J118&amp;""))</f>
        <v/>
      </c>
      <c r="Y118" s="32">
        <f>IF(TRIM(A118&amp;"")="","",IF(TRIM(D118&amp;"")&lt;&gt;"",TRIM(D118&amp;""),IF(T118&lt;&gt;"",INDEX('Form Calc'!$C:$C,T118)&amp;"","")))</f>
        <v/>
      </c>
      <c r="Z118" s="32">
        <f>SUBSTITUTE(SUBSTITUTE(SUBSTITUTE(SUBSTITUTE(SUBSTITUTE(SUBSTITUTE(SUBSTITUTE(SUBSTITUTE(Y118," ",""),"-",""),"(",""),")",""),".",""),"+",""),"/",""),CHAR(160),"")</f>
        <v/>
      </c>
      <c r="AA118" s="32">
        <f>IF(Z118="","",IF(LEN(Z118)=10,"+1"&amp;Z118,IF(AND(LEN(Z118)=11,LEFT(Z118,1)="1"),"+"&amp;Z118,IF(LEFT(Y118,1)="+","+"&amp;Z118,Z118))))</f>
        <v/>
      </c>
      <c r="AB118" s="32">
        <f>IF(TRIM(A118&amp;"")="","",IF(TRIM(M118&amp;"")&lt;&gt;"",TRIM(M118&amp;""),IFERROR(LEFT(TRIM(A118&amp;""),FIND(" ",TRIM(A118&amp;""))-1),TRIM(A118&amp;""))))</f>
        <v/>
      </c>
      <c r="AC118" s="32">
        <f>SUBSTITUTE(SUBSTITUTE(SUBSTITUTE(SUBSTITUTE(SUBSTITUTE(SUBSTITUTE(SUBSTITUTE(SUBSTITUTE(SUBSTITUTE(SUBSTITUTE(AB118,"%","%25"),"&amp;","%26"),"#","%23"),"+","%2B"),"=","%3D"),"?","%3F"),CHAR(34),"%22"),CHAR(10),"%0A"),CHAR(13),"")," ","+")</f>
        <v/>
      </c>
      <c r="AD118" s="32">
        <f>IF(OR(AA118="",AB118=""),"",'Start Here'!$B$20&amp;"#p="&amp;SUBSTITUTE(AA118,"+","%2B")&amp;"&amp;n="&amp;AC118&amp;"&amp;m="&amp;SUBSTITUTE('Start Here'!$B$24,"{name}",AC118))</f>
        <v/>
      </c>
      <c r="AE118" s="32">
        <f>LEN(AD118)</f>
        <v/>
      </c>
      <c r="AF118" s="32">
        <f>IF(AND(TRIM(A118&amp;"")&lt;&gt;"",OR(B118="Awaiting",B118="Not sure yet")),1,0)</f>
        <v/>
      </c>
      <c r="AG118" s="32">
        <f>N(AG117)+AF118</f>
        <v/>
      </c>
      <c r="AH118" s="32">
        <f>IF(AF118=1,AG118,"")</f>
        <v/>
      </c>
      <c r="AI118" s="32">
        <f>IF(AND(TRIM(A118&amp;"")&lt;&gt;"",L118&amp;""&lt;&gt;"",L118&amp;""=Seating!$I$3&amp;"",B118&lt;&gt;"Declined"),1,0)</f>
        <v/>
      </c>
      <c r="AJ118" s="32">
        <f>N(AJ117)+AI118</f>
        <v/>
      </c>
      <c r="AK118" s="32">
        <f>IF(AI118=1,AJ118,"")</f>
        <v/>
      </c>
    </row>
    <row r="119">
      <c r="A119" s="10" t="n"/>
      <c r="B119" s="47">
        <f>IF(TRIM(A119&amp;"")="","",IF(W119&lt;&gt;"",W119,IF(I119="","Awaiting",I119)))</f>
        <v/>
      </c>
      <c r="C119" s="60">
        <f>IF(OR(B119="Awaiting",B119="Not sure yet"),IF(AD119&lt;&gt;"",HYPERLINK(AD119,"💬 Remind"),"add mobile"),"")</f>
        <v/>
      </c>
      <c r="D119" s="58" t="n"/>
      <c r="E119" s="10" t="n"/>
      <c r="F119" s="10" t="n"/>
      <c r="G119" s="10" t="n"/>
      <c r="H119" s="10" t="n"/>
      <c r="I119" s="10" t="n"/>
      <c r="J119" s="10" t="n"/>
      <c r="K119" s="10" t="n"/>
      <c r="L119" s="56" t="n"/>
      <c r="M119" s="10" t="n"/>
      <c r="N119" s="12" t="n"/>
      <c r="O119" s="10" t="n"/>
      <c r="P119" s="10" t="n"/>
      <c r="Q119" s="61">
        <f>IF(V119="","",IF(T119="","Covered by "&amp;INDEX('Form Calc'!$B:$B,V119)&amp;"'s reply (same party)","Replied "&amp;TEXT(INDEX('Form Calc'!$A:$A,T119),"mm/dd")&amp;" · "&amp;INDEX('Form Calc'!$H:$H,T119)&amp;" adult(s), "&amp;INDEX('Form Calc'!$I:$I,T119)&amp;" child(ren)"&amp;IF(INDEX('Form Calc'!$K:$K,T119)&lt;&gt;""," · "&amp;INDEX('Form Calc'!$K:$K,T119),"")&amp;IF(INDEX('Form Calc'!$M:$M,T119)&lt;&gt;""," · “"&amp;INDEX('Form Calc'!$M:$M,T119)&amp;"”","")))</f>
        <v/>
      </c>
      <c r="R119" s="32">
        <f>SUBSTITUTE(SUBSTITUTE(SUBSTITUTE(SUBSTITUTE(SUBSTITUTE(SUBSTITUTE(SUBSTITUTE(SUBSTITUTE(D119&amp;""," ",""),"-",""),"(",""),")",""),".",""),"+",""),"/",""),CHAR(160),"")</f>
        <v/>
      </c>
      <c r="S119" s="32">
        <f>IF(LEN(R119)&gt;=10,RIGHT(R119,10),R119)</f>
        <v/>
      </c>
      <c r="T119" s="32">
        <f>IF(TRIM(A119&amp;"")="","",IF(S119&lt;&gt;"",IFERROR(MATCH(S119,'Form Calc'!$P:$P,0),IFERROR(MATCH(TRIM(A119&amp;""),'Form Calc'!$Q:$Q,0),"")),IFERROR(MATCH(TRIM(A119&amp;""),'Form Calc'!$Q:$Q,0),"")))</f>
        <v/>
      </c>
      <c r="U119" s="32">
        <f>IF(AND(T119&lt;&gt;"",TRIM(E119&amp;"")&lt;&gt;""),TRIM(E119&amp;""),"")</f>
        <v/>
      </c>
      <c r="V119" s="32">
        <f>IF(TRIM(A119&amp;"")="","",IF(T119&lt;&gt;"",T119,IF(TRIM(E119&amp;"")="","",IFERROR(INDEX($T$6:$T$505,MATCH(TRIM(E119&amp;""),$U$6:$U$505,0)),""))))</f>
        <v/>
      </c>
      <c r="W119" s="32">
        <f>IF(V119="","",INDEX('Form Calc'!$G:$G,V119))</f>
        <v/>
      </c>
      <c r="X119" s="32">
        <f>IF(TRIM(A119&amp;"")="","",IF(T119&lt;&gt;"",IF(INDEX('Form Calc'!$K:$K,T119)&lt;&gt;"",INDEX('Form Calc'!$K:$K,T119),J119&amp;""),J119&amp;""))</f>
        <v/>
      </c>
      <c r="Y119" s="32">
        <f>IF(TRIM(A119&amp;"")="","",IF(TRIM(D119&amp;"")&lt;&gt;"",TRIM(D119&amp;""),IF(T119&lt;&gt;"",INDEX('Form Calc'!$C:$C,T119)&amp;"","")))</f>
        <v/>
      </c>
      <c r="Z119" s="32">
        <f>SUBSTITUTE(SUBSTITUTE(SUBSTITUTE(SUBSTITUTE(SUBSTITUTE(SUBSTITUTE(SUBSTITUTE(SUBSTITUTE(Y119," ",""),"-",""),"(",""),")",""),".",""),"+",""),"/",""),CHAR(160),"")</f>
        <v/>
      </c>
      <c r="AA119" s="32">
        <f>IF(Z119="","",IF(LEN(Z119)=10,"+1"&amp;Z119,IF(AND(LEN(Z119)=11,LEFT(Z119,1)="1"),"+"&amp;Z119,IF(LEFT(Y119,1)="+","+"&amp;Z119,Z119))))</f>
        <v/>
      </c>
      <c r="AB119" s="32">
        <f>IF(TRIM(A119&amp;"")="","",IF(TRIM(M119&amp;"")&lt;&gt;"",TRIM(M119&amp;""),IFERROR(LEFT(TRIM(A119&amp;""),FIND(" ",TRIM(A119&amp;""))-1),TRIM(A119&amp;""))))</f>
        <v/>
      </c>
      <c r="AC119" s="32">
        <f>SUBSTITUTE(SUBSTITUTE(SUBSTITUTE(SUBSTITUTE(SUBSTITUTE(SUBSTITUTE(SUBSTITUTE(SUBSTITUTE(SUBSTITUTE(SUBSTITUTE(AB119,"%","%25"),"&amp;","%26"),"#","%23"),"+","%2B"),"=","%3D"),"?","%3F"),CHAR(34),"%22"),CHAR(10),"%0A"),CHAR(13),"")," ","+")</f>
        <v/>
      </c>
      <c r="AD119" s="32">
        <f>IF(OR(AA119="",AB119=""),"",'Start Here'!$B$20&amp;"#p="&amp;SUBSTITUTE(AA119,"+","%2B")&amp;"&amp;n="&amp;AC119&amp;"&amp;m="&amp;SUBSTITUTE('Start Here'!$B$24,"{name}",AC119))</f>
        <v/>
      </c>
      <c r="AE119" s="32">
        <f>LEN(AD119)</f>
        <v/>
      </c>
      <c r="AF119" s="32">
        <f>IF(AND(TRIM(A119&amp;"")&lt;&gt;"",OR(B119="Awaiting",B119="Not sure yet")),1,0)</f>
        <v/>
      </c>
      <c r="AG119" s="32">
        <f>N(AG118)+AF119</f>
        <v/>
      </c>
      <c r="AH119" s="32">
        <f>IF(AF119=1,AG119,"")</f>
        <v/>
      </c>
      <c r="AI119" s="32">
        <f>IF(AND(TRIM(A119&amp;"")&lt;&gt;"",L119&amp;""&lt;&gt;"",L119&amp;""=Seating!$I$3&amp;"",B119&lt;&gt;"Declined"),1,0)</f>
        <v/>
      </c>
      <c r="AJ119" s="32">
        <f>N(AJ118)+AI119</f>
        <v/>
      </c>
      <c r="AK119" s="32">
        <f>IF(AI119=1,AJ119,"")</f>
        <v/>
      </c>
    </row>
    <row r="120">
      <c r="A120" s="10" t="n"/>
      <c r="B120" s="47">
        <f>IF(TRIM(A120&amp;"")="","",IF(W120&lt;&gt;"",W120,IF(I120="","Awaiting",I120)))</f>
        <v/>
      </c>
      <c r="C120" s="60">
        <f>IF(OR(B120="Awaiting",B120="Not sure yet"),IF(AD120&lt;&gt;"",HYPERLINK(AD120,"💬 Remind"),"add mobile"),"")</f>
        <v/>
      </c>
      <c r="D120" s="58" t="n"/>
      <c r="E120" s="10" t="n"/>
      <c r="F120" s="10" t="n"/>
      <c r="G120" s="10" t="n"/>
      <c r="H120" s="10" t="n"/>
      <c r="I120" s="10" t="n"/>
      <c r="J120" s="10" t="n"/>
      <c r="K120" s="10" t="n"/>
      <c r="L120" s="56" t="n"/>
      <c r="M120" s="10" t="n"/>
      <c r="N120" s="12" t="n"/>
      <c r="O120" s="10" t="n"/>
      <c r="P120" s="10" t="n"/>
      <c r="Q120" s="61">
        <f>IF(V120="","",IF(T120="","Covered by "&amp;INDEX('Form Calc'!$B:$B,V120)&amp;"'s reply (same party)","Replied "&amp;TEXT(INDEX('Form Calc'!$A:$A,T120),"mm/dd")&amp;" · "&amp;INDEX('Form Calc'!$H:$H,T120)&amp;" adult(s), "&amp;INDEX('Form Calc'!$I:$I,T120)&amp;" child(ren)"&amp;IF(INDEX('Form Calc'!$K:$K,T120)&lt;&gt;""," · "&amp;INDEX('Form Calc'!$K:$K,T120),"")&amp;IF(INDEX('Form Calc'!$M:$M,T120)&lt;&gt;""," · “"&amp;INDEX('Form Calc'!$M:$M,T120)&amp;"”","")))</f>
        <v/>
      </c>
      <c r="R120" s="32">
        <f>SUBSTITUTE(SUBSTITUTE(SUBSTITUTE(SUBSTITUTE(SUBSTITUTE(SUBSTITUTE(SUBSTITUTE(SUBSTITUTE(D120&amp;""," ",""),"-",""),"(",""),")",""),".",""),"+",""),"/",""),CHAR(160),"")</f>
        <v/>
      </c>
      <c r="S120" s="32">
        <f>IF(LEN(R120)&gt;=10,RIGHT(R120,10),R120)</f>
        <v/>
      </c>
      <c r="T120" s="32">
        <f>IF(TRIM(A120&amp;"")="","",IF(S120&lt;&gt;"",IFERROR(MATCH(S120,'Form Calc'!$P:$P,0),IFERROR(MATCH(TRIM(A120&amp;""),'Form Calc'!$Q:$Q,0),"")),IFERROR(MATCH(TRIM(A120&amp;""),'Form Calc'!$Q:$Q,0),"")))</f>
        <v/>
      </c>
      <c r="U120" s="32">
        <f>IF(AND(T120&lt;&gt;"",TRIM(E120&amp;"")&lt;&gt;""),TRIM(E120&amp;""),"")</f>
        <v/>
      </c>
      <c r="V120" s="32">
        <f>IF(TRIM(A120&amp;"")="","",IF(T120&lt;&gt;"",T120,IF(TRIM(E120&amp;"")="","",IFERROR(INDEX($T$6:$T$505,MATCH(TRIM(E120&amp;""),$U$6:$U$505,0)),""))))</f>
        <v/>
      </c>
      <c r="W120" s="32">
        <f>IF(V120="","",INDEX('Form Calc'!$G:$G,V120))</f>
        <v/>
      </c>
      <c r="X120" s="32">
        <f>IF(TRIM(A120&amp;"")="","",IF(T120&lt;&gt;"",IF(INDEX('Form Calc'!$K:$K,T120)&lt;&gt;"",INDEX('Form Calc'!$K:$K,T120),J120&amp;""),J120&amp;""))</f>
        <v/>
      </c>
      <c r="Y120" s="32">
        <f>IF(TRIM(A120&amp;"")="","",IF(TRIM(D120&amp;"")&lt;&gt;"",TRIM(D120&amp;""),IF(T120&lt;&gt;"",INDEX('Form Calc'!$C:$C,T120)&amp;"","")))</f>
        <v/>
      </c>
      <c r="Z120" s="32">
        <f>SUBSTITUTE(SUBSTITUTE(SUBSTITUTE(SUBSTITUTE(SUBSTITUTE(SUBSTITUTE(SUBSTITUTE(SUBSTITUTE(Y120," ",""),"-",""),"(",""),")",""),".",""),"+",""),"/",""),CHAR(160),"")</f>
        <v/>
      </c>
      <c r="AA120" s="32">
        <f>IF(Z120="","",IF(LEN(Z120)=10,"+1"&amp;Z120,IF(AND(LEN(Z120)=11,LEFT(Z120,1)="1"),"+"&amp;Z120,IF(LEFT(Y120,1)="+","+"&amp;Z120,Z120))))</f>
        <v/>
      </c>
      <c r="AB120" s="32">
        <f>IF(TRIM(A120&amp;"")="","",IF(TRIM(M120&amp;"")&lt;&gt;"",TRIM(M120&amp;""),IFERROR(LEFT(TRIM(A120&amp;""),FIND(" ",TRIM(A120&amp;""))-1),TRIM(A120&amp;""))))</f>
        <v/>
      </c>
      <c r="AC120" s="32">
        <f>SUBSTITUTE(SUBSTITUTE(SUBSTITUTE(SUBSTITUTE(SUBSTITUTE(SUBSTITUTE(SUBSTITUTE(SUBSTITUTE(SUBSTITUTE(SUBSTITUTE(AB120,"%","%25"),"&amp;","%26"),"#","%23"),"+","%2B"),"=","%3D"),"?","%3F"),CHAR(34),"%22"),CHAR(10),"%0A"),CHAR(13),"")," ","+")</f>
        <v/>
      </c>
      <c r="AD120" s="32">
        <f>IF(OR(AA120="",AB120=""),"",'Start Here'!$B$20&amp;"#p="&amp;SUBSTITUTE(AA120,"+","%2B")&amp;"&amp;n="&amp;AC120&amp;"&amp;m="&amp;SUBSTITUTE('Start Here'!$B$24,"{name}",AC120))</f>
        <v/>
      </c>
      <c r="AE120" s="32">
        <f>LEN(AD120)</f>
        <v/>
      </c>
      <c r="AF120" s="32">
        <f>IF(AND(TRIM(A120&amp;"")&lt;&gt;"",OR(B120="Awaiting",B120="Not sure yet")),1,0)</f>
        <v/>
      </c>
      <c r="AG120" s="32">
        <f>N(AG119)+AF120</f>
        <v/>
      </c>
      <c r="AH120" s="32">
        <f>IF(AF120=1,AG120,"")</f>
        <v/>
      </c>
      <c r="AI120" s="32">
        <f>IF(AND(TRIM(A120&amp;"")&lt;&gt;"",L120&amp;""&lt;&gt;"",L120&amp;""=Seating!$I$3&amp;"",B120&lt;&gt;"Declined"),1,0)</f>
        <v/>
      </c>
      <c r="AJ120" s="32">
        <f>N(AJ119)+AI120</f>
        <v/>
      </c>
      <c r="AK120" s="32">
        <f>IF(AI120=1,AJ120,"")</f>
        <v/>
      </c>
    </row>
    <row r="121">
      <c r="A121" s="10" t="n"/>
      <c r="B121" s="47">
        <f>IF(TRIM(A121&amp;"")="","",IF(W121&lt;&gt;"",W121,IF(I121="","Awaiting",I121)))</f>
        <v/>
      </c>
      <c r="C121" s="60">
        <f>IF(OR(B121="Awaiting",B121="Not sure yet"),IF(AD121&lt;&gt;"",HYPERLINK(AD121,"💬 Remind"),"add mobile"),"")</f>
        <v/>
      </c>
      <c r="D121" s="58" t="n"/>
      <c r="E121" s="10" t="n"/>
      <c r="F121" s="10" t="n"/>
      <c r="G121" s="10" t="n"/>
      <c r="H121" s="10" t="n"/>
      <c r="I121" s="10" t="n"/>
      <c r="J121" s="10" t="n"/>
      <c r="K121" s="10" t="n"/>
      <c r="L121" s="56" t="n"/>
      <c r="M121" s="10" t="n"/>
      <c r="N121" s="12" t="n"/>
      <c r="O121" s="10" t="n"/>
      <c r="P121" s="10" t="n"/>
      <c r="Q121" s="61">
        <f>IF(V121="","",IF(T121="","Covered by "&amp;INDEX('Form Calc'!$B:$B,V121)&amp;"'s reply (same party)","Replied "&amp;TEXT(INDEX('Form Calc'!$A:$A,T121),"mm/dd")&amp;" · "&amp;INDEX('Form Calc'!$H:$H,T121)&amp;" adult(s), "&amp;INDEX('Form Calc'!$I:$I,T121)&amp;" child(ren)"&amp;IF(INDEX('Form Calc'!$K:$K,T121)&lt;&gt;""," · "&amp;INDEX('Form Calc'!$K:$K,T121),"")&amp;IF(INDEX('Form Calc'!$M:$M,T121)&lt;&gt;""," · “"&amp;INDEX('Form Calc'!$M:$M,T121)&amp;"”","")))</f>
        <v/>
      </c>
      <c r="R121" s="32">
        <f>SUBSTITUTE(SUBSTITUTE(SUBSTITUTE(SUBSTITUTE(SUBSTITUTE(SUBSTITUTE(SUBSTITUTE(SUBSTITUTE(D121&amp;""," ",""),"-",""),"(",""),")",""),".",""),"+",""),"/",""),CHAR(160),"")</f>
        <v/>
      </c>
      <c r="S121" s="32">
        <f>IF(LEN(R121)&gt;=10,RIGHT(R121,10),R121)</f>
        <v/>
      </c>
      <c r="T121" s="32">
        <f>IF(TRIM(A121&amp;"")="","",IF(S121&lt;&gt;"",IFERROR(MATCH(S121,'Form Calc'!$P:$P,0),IFERROR(MATCH(TRIM(A121&amp;""),'Form Calc'!$Q:$Q,0),"")),IFERROR(MATCH(TRIM(A121&amp;""),'Form Calc'!$Q:$Q,0),"")))</f>
        <v/>
      </c>
      <c r="U121" s="32">
        <f>IF(AND(T121&lt;&gt;"",TRIM(E121&amp;"")&lt;&gt;""),TRIM(E121&amp;""),"")</f>
        <v/>
      </c>
      <c r="V121" s="32">
        <f>IF(TRIM(A121&amp;"")="","",IF(T121&lt;&gt;"",T121,IF(TRIM(E121&amp;"")="","",IFERROR(INDEX($T$6:$T$505,MATCH(TRIM(E121&amp;""),$U$6:$U$505,0)),""))))</f>
        <v/>
      </c>
      <c r="W121" s="32">
        <f>IF(V121="","",INDEX('Form Calc'!$G:$G,V121))</f>
        <v/>
      </c>
      <c r="X121" s="32">
        <f>IF(TRIM(A121&amp;"")="","",IF(T121&lt;&gt;"",IF(INDEX('Form Calc'!$K:$K,T121)&lt;&gt;"",INDEX('Form Calc'!$K:$K,T121),J121&amp;""),J121&amp;""))</f>
        <v/>
      </c>
      <c r="Y121" s="32">
        <f>IF(TRIM(A121&amp;"")="","",IF(TRIM(D121&amp;"")&lt;&gt;"",TRIM(D121&amp;""),IF(T121&lt;&gt;"",INDEX('Form Calc'!$C:$C,T121)&amp;"","")))</f>
        <v/>
      </c>
      <c r="Z121" s="32">
        <f>SUBSTITUTE(SUBSTITUTE(SUBSTITUTE(SUBSTITUTE(SUBSTITUTE(SUBSTITUTE(SUBSTITUTE(SUBSTITUTE(Y121," ",""),"-",""),"(",""),")",""),".",""),"+",""),"/",""),CHAR(160),"")</f>
        <v/>
      </c>
      <c r="AA121" s="32">
        <f>IF(Z121="","",IF(LEN(Z121)=10,"+1"&amp;Z121,IF(AND(LEN(Z121)=11,LEFT(Z121,1)="1"),"+"&amp;Z121,IF(LEFT(Y121,1)="+","+"&amp;Z121,Z121))))</f>
        <v/>
      </c>
      <c r="AB121" s="32">
        <f>IF(TRIM(A121&amp;"")="","",IF(TRIM(M121&amp;"")&lt;&gt;"",TRIM(M121&amp;""),IFERROR(LEFT(TRIM(A121&amp;""),FIND(" ",TRIM(A121&amp;""))-1),TRIM(A121&amp;""))))</f>
        <v/>
      </c>
      <c r="AC121" s="32">
        <f>SUBSTITUTE(SUBSTITUTE(SUBSTITUTE(SUBSTITUTE(SUBSTITUTE(SUBSTITUTE(SUBSTITUTE(SUBSTITUTE(SUBSTITUTE(SUBSTITUTE(AB121,"%","%25"),"&amp;","%26"),"#","%23"),"+","%2B"),"=","%3D"),"?","%3F"),CHAR(34),"%22"),CHAR(10),"%0A"),CHAR(13),"")," ","+")</f>
        <v/>
      </c>
      <c r="AD121" s="32">
        <f>IF(OR(AA121="",AB121=""),"",'Start Here'!$B$20&amp;"#p="&amp;SUBSTITUTE(AA121,"+","%2B")&amp;"&amp;n="&amp;AC121&amp;"&amp;m="&amp;SUBSTITUTE('Start Here'!$B$24,"{name}",AC121))</f>
        <v/>
      </c>
      <c r="AE121" s="32">
        <f>LEN(AD121)</f>
        <v/>
      </c>
      <c r="AF121" s="32">
        <f>IF(AND(TRIM(A121&amp;"")&lt;&gt;"",OR(B121="Awaiting",B121="Not sure yet")),1,0)</f>
        <v/>
      </c>
      <c r="AG121" s="32">
        <f>N(AG120)+AF121</f>
        <v/>
      </c>
      <c r="AH121" s="32">
        <f>IF(AF121=1,AG121,"")</f>
        <v/>
      </c>
      <c r="AI121" s="32">
        <f>IF(AND(TRIM(A121&amp;"")&lt;&gt;"",L121&amp;""&lt;&gt;"",L121&amp;""=Seating!$I$3&amp;"",B121&lt;&gt;"Declined"),1,0)</f>
        <v/>
      </c>
      <c r="AJ121" s="32">
        <f>N(AJ120)+AI121</f>
        <v/>
      </c>
      <c r="AK121" s="32">
        <f>IF(AI121=1,AJ121,"")</f>
        <v/>
      </c>
    </row>
    <row r="122">
      <c r="A122" s="10" t="n"/>
      <c r="B122" s="47">
        <f>IF(TRIM(A122&amp;"")="","",IF(W122&lt;&gt;"",W122,IF(I122="","Awaiting",I122)))</f>
        <v/>
      </c>
      <c r="C122" s="60">
        <f>IF(OR(B122="Awaiting",B122="Not sure yet"),IF(AD122&lt;&gt;"",HYPERLINK(AD122,"💬 Remind"),"add mobile"),"")</f>
        <v/>
      </c>
      <c r="D122" s="58" t="n"/>
      <c r="E122" s="10" t="n"/>
      <c r="F122" s="10" t="n"/>
      <c r="G122" s="10" t="n"/>
      <c r="H122" s="10" t="n"/>
      <c r="I122" s="10" t="n"/>
      <c r="J122" s="10" t="n"/>
      <c r="K122" s="10" t="n"/>
      <c r="L122" s="56" t="n"/>
      <c r="M122" s="10" t="n"/>
      <c r="N122" s="12" t="n"/>
      <c r="O122" s="10" t="n"/>
      <c r="P122" s="10" t="n"/>
      <c r="Q122" s="61">
        <f>IF(V122="","",IF(T122="","Covered by "&amp;INDEX('Form Calc'!$B:$B,V122)&amp;"'s reply (same party)","Replied "&amp;TEXT(INDEX('Form Calc'!$A:$A,T122),"mm/dd")&amp;" · "&amp;INDEX('Form Calc'!$H:$H,T122)&amp;" adult(s), "&amp;INDEX('Form Calc'!$I:$I,T122)&amp;" child(ren)"&amp;IF(INDEX('Form Calc'!$K:$K,T122)&lt;&gt;""," · "&amp;INDEX('Form Calc'!$K:$K,T122),"")&amp;IF(INDEX('Form Calc'!$M:$M,T122)&lt;&gt;""," · “"&amp;INDEX('Form Calc'!$M:$M,T122)&amp;"”","")))</f>
        <v/>
      </c>
      <c r="R122" s="32">
        <f>SUBSTITUTE(SUBSTITUTE(SUBSTITUTE(SUBSTITUTE(SUBSTITUTE(SUBSTITUTE(SUBSTITUTE(SUBSTITUTE(D122&amp;""," ",""),"-",""),"(",""),")",""),".",""),"+",""),"/",""),CHAR(160),"")</f>
        <v/>
      </c>
      <c r="S122" s="32">
        <f>IF(LEN(R122)&gt;=10,RIGHT(R122,10),R122)</f>
        <v/>
      </c>
      <c r="T122" s="32">
        <f>IF(TRIM(A122&amp;"")="","",IF(S122&lt;&gt;"",IFERROR(MATCH(S122,'Form Calc'!$P:$P,0),IFERROR(MATCH(TRIM(A122&amp;""),'Form Calc'!$Q:$Q,0),"")),IFERROR(MATCH(TRIM(A122&amp;""),'Form Calc'!$Q:$Q,0),"")))</f>
        <v/>
      </c>
      <c r="U122" s="32">
        <f>IF(AND(T122&lt;&gt;"",TRIM(E122&amp;"")&lt;&gt;""),TRIM(E122&amp;""),"")</f>
        <v/>
      </c>
      <c r="V122" s="32">
        <f>IF(TRIM(A122&amp;"")="","",IF(T122&lt;&gt;"",T122,IF(TRIM(E122&amp;"")="","",IFERROR(INDEX($T$6:$T$505,MATCH(TRIM(E122&amp;""),$U$6:$U$505,0)),""))))</f>
        <v/>
      </c>
      <c r="W122" s="32">
        <f>IF(V122="","",INDEX('Form Calc'!$G:$G,V122))</f>
        <v/>
      </c>
      <c r="X122" s="32">
        <f>IF(TRIM(A122&amp;"")="","",IF(T122&lt;&gt;"",IF(INDEX('Form Calc'!$K:$K,T122)&lt;&gt;"",INDEX('Form Calc'!$K:$K,T122),J122&amp;""),J122&amp;""))</f>
        <v/>
      </c>
      <c r="Y122" s="32">
        <f>IF(TRIM(A122&amp;"")="","",IF(TRIM(D122&amp;"")&lt;&gt;"",TRIM(D122&amp;""),IF(T122&lt;&gt;"",INDEX('Form Calc'!$C:$C,T122)&amp;"","")))</f>
        <v/>
      </c>
      <c r="Z122" s="32">
        <f>SUBSTITUTE(SUBSTITUTE(SUBSTITUTE(SUBSTITUTE(SUBSTITUTE(SUBSTITUTE(SUBSTITUTE(SUBSTITUTE(Y122," ",""),"-",""),"(",""),")",""),".",""),"+",""),"/",""),CHAR(160),"")</f>
        <v/>
      </c>
      <c r="AA122" s="32">
        <f>IF(Z122="","",IF(LEN(Z122)=10,"+1"&amp;Z122,IF(AND(LEN(Z122)=11,LEFT(Z122,1)="1"),"+"&amp;Z122,IF(LEFT(Y122,1)="+","+"&amp;Z122,Z122))))</f>
        <v/>
      </c>
      <c r="AB122" s="32">
        <f>IF(TRIM(A122&amp;"")="","",IF(TRIM(M122&amp;"")&lt;&gt;"",TRIM(M122&amp;""),IFERROR(LEFT(TRIM(A122&amp;""),FIND(" ",TRIM(A122&amp;""))-1),TRIM(A122&amp;""))))</f>
        <v/>
      </c>
      <c r="AC122" s="32">
        <f>SUBSTITUTE(SUBSTITUTE(SUBSTITUTE(SUBSTITUTE(SUBSTITUTE(SUBSTITUTE(SUBSTITUTE(SUBSTITUTE(SUBSTITUTE(SUBSTITUTE(AB122,"%","%25"),"&amp;","%26"),"#","%23"),"+","%2B"),"=","%3D"),"?","%3F"),CHAR(34),"%22"),CHAR(10),"%0A"),CHAR(13),"")," ","+")</f>
        <v/>
      </c>
      <c r="AD122" s="32">
        <f>IF(OR(AA122="",AB122=""),"",'Start Here'!$B$20&amp;"#p="&amp;SUBSTITUTE(AA122,"+","%2B")&amp;"&amp;n="&amp;AC122&amp;"&amp;m="&amp;SUBSTITUTE('Start Here'!$B$24,"{name}",AC122))</f>
        <v/>
      </c>
      <c r="AE122" s="32">
        <f>LEN(AD122)</f>
        <v/>
      </c>
      <c r="AF122" s="32">
        <f>IF(AND(TRIM(A122&amp;"")&lt;&gt;"",OR(B122="Awaiting",B122="Not sure yet")),1,0)</f>
        <v/>
      </c>
      <c r="AG122" s="32">
        <f>N(AG121)+AF122</f>
        <v/>
      </c>
      <c r="AH122" s="32">
        <f>IF(AF122=1,AG122,"")</f>
        <v/>
      </c>
      <c r="AI122" s="32">
        <f>IF(AND(TRIM(A122&amp;"")&lt;&gt;"",L122&amp;""&lt;&gt;"",L122&amp;""=Seating!$I$3&amp;"",B122&lt;&gt;"Declined"),1,0)</f>
        <v/>
      </c>
      <c r="AJ122" s="32">
        <f>N(AJ121)+AI122</f>
        <v/>
      </c>
      <c r="AK122" s="32">
        <f>IF(AI122=1,AJ122,"")</f>
        <v/>
      </c>
    </row>
    <row r="123">
      <c r="A123" s="10" t="n"/>
      <c r="B123" s="47">
        <f>IF(TRIM(A123&amp;"")="","",IF(W123&lt;&gt;"",W123,IF(I123="","Awaiting",I123)))</f>
        <v/>
      </c>
      <c r="C123" s="60">
        <f>IF(OR(B123="Awaiting",B123="Not sure yet"),IF(AD123&lt;&gt;"",HYPERLINK(AD123,"💬 Remind"),"add mobile"),"")</f>
        <v/>
      </c>
      <c r="D123" s="58" t="n"/>
      <c r="E123" s="10" t="n"/>
      <c r="F123" s="10" t="n"/>
      <c r="G123" s="10" t="n"/>
      <c r="H123" s="10" t="n"/>
      <c r="I123" s="10" t="n"/>
      <c r="J123" s="10" t="n"/>
      <c r="K123" s="10" t="n"/>
      <c r="L123" s="56" t="n"/>
      <c r="M123" s="10" t="n"/>
      <c r="N123" s="12" t="n"/>
      <c r="O123" s="10" t="n"/>
      <c r="P123" s="10" t="n"/>
      <c r="Q123" s="61">
        <f>IF(V123="","",IF(T123="","Covered by "&amp;INDEX('Form Calc'!$B:$B,V123)&amp;"'s reply (same party)","Replied "&amp;TEXT(INDEX('Form Calc'!$A:$A,T123),"mm/dd")&amp;" · "&amp;INDEX('Form Calc'!$H:$H,T123)&amp;" adult(s), "&amp;INDEX('Form Calc'!$I:$I,T123)&amp;" child(ren)"&amp;IF(INDEX('Form Calc'!$K:$K,T123)&lt;&gt;""," · "&amp;INDEX('Form Calc'!$K:$K,T123),"")&amp;IF(INDEX('Form Calc'!$M:$M,T123)&lt;&gt;""," · “"&amp;INDEX('Form Calc'!$M:$M,T123)&amp;"”","")))</f>
        <v/>
      </c>
      <c r="R123" s="32">
        <f>SUBSTITUTE(SUBSTITUTE(SUBSTITUTE(SUBSTITUTE(SUBSTITUTE(SUBSTITUTE(SUBSTITUTE(SUBSTITUTE(D123&amp;""," ",""),"-",""),"(",""),")",""),".",""),"+",""),"/",""),CHAR(160),"")</f>
        <v/>
      </c>
      <c r="S123" s="32">
        <f>IF(LEN(R123)&gt;=10,RIGHT(R123,10),R123)</f>
        <v/>
      </c>
      <c r="T123" s="32">
        <f>IF(TRIM(A123&amp;"")="","",IF(S123&lt;&gt;"",IFERROR(MATCH(S123,'Form Calc'!$P:$P,0),IFERROR(MATCH(TRIM(A123&amp;""),'Form Calc'!$Q:$Q,0),"")),IFERROR(MATCH(TRIM(A123&amp;""),'Form Calc'!$Q:$Q,0),"")))</f>
        <v/>
      </c>
      <c r="U123" s="32">
        <f>IF(AND(T123&lt;&gt;"",TRIM(E123&amp;"")&lt;&gt;""),TRIM(E123&amp;""),"")</f>
        <v/>
      </c>
      <c r="V123" s="32">
        <f>IF(TRIM(A123&amp;"")="","",IF(T123&lt;&gt;"",T123,IF(TRIM(E123&amp;"")="","",IFERROR(INDEX($T$6:$T$505,MATCH(TRIM(E123&amp;""),$U$6:$U$505,0)),""))))</f>
        <v/>
      </c>
      <c r="W123" s="32">
        <f>IF(V123="","",INDEX('Form Calc'!$G:$G,V123))</f>
        <v/>
      </c>
      <c r="X123" s="32">
        <f>IF(TRIM(A123&amp;"")="","",IF(T123&lt;&gt;"",IF(INDEX('Form Calc'!$K:$K,T123)&lt;&gt;"",INDEX('Form Calc'!$K:$K,T123),J123&amp;""),J123&amp;""))</f>
        <v/>
      </c>
      <c r="Y123" s="32">
        <f>IF(TRIM(A123&amp;"")="","",IF(TRIM(D123&amp;"")&lt;&gt;"",TRIM(D123&amp;""),IF(T123&lt;&gt;"",INDEX('Form Calc'!$C:$C,T123)&amp;"","")))</f>
        <v/>
      </c>
      <c r="Z123" s="32">
        <f>SUBSTITUTE(SUBSTITUTE(SUBSTITUTE(SUBSTITUTE(SUBSTITUTE(SUBSTITUTE(SUBSTITUTE(SUBSTITUTE(Y123," ",""),"-",""),"(",""),")",""),".",""),"+",""),"/",""),CHAR(160),"")</f>
        <v/>
      </c>
      <c r="AA123" s="32">
        <f>IF(Z123="","",IF(LEN(Z123)=10,"+1"&amp;Z123,IF(AND(LEN(Z123)=11,LEFT(Z123,1)="1"),"+"&amp;Z123,IF(LEFT(Y123,1)="+","+"&amp;Z123,Z123))))</f>
        <v/>
      </c>
      <c r="AB123" s="32">
        <f>IF(TRIM(A123&amp;"")="","",IF(TRIM(M123&amp;"")&lt;&gt;"",TRIM(M123&amp;""),IFERROR(LEFT(TRIM(A123&amp;""),FIND(" ",TRIM(A123&amp;""))-1),TRIM(A123&amp;""))))</f>
        <v/>
      </c>
      <c r="AC123" s="32">
        <f>SUBSTITUTE(SUBSTITUTE(SUBSTITUTE(SUBSTITUTE(SUBSTITUTE(SUBSTITUTE(SUBSTITUTE(SUBSTITUTE(SUBSTITUTE(SUBSTITUTE(AB123,"%","%25"),"&amp;","%26"),"#","%23"),"+","%2B"),"=","%3D"),"?","%3F"),CHAR(34),"%22"),CHAR(10),"%0A"),CHAR(13),"")," ","+")</f>
        <v/>
      </c>
      <c r="AD123" s="32">
        <f>IF(OR(AA123="",AB123=""),"",'Start Here'!$B$20&amp;"#p="&amp;SUBSTITUTE(AA123,"+","%2B")&amp;"&amp;n="&amp;AC123&amp;"&amp;m="&amp;SUBSTITUTE('Start Here'!$B$24,"{name}",AC123))</f>
        <v/>
      </c>
      <c r="AE123" s="32">
        <f>LEN(AD123)</f>
        <v/>
      </c>
      <c r="AF123" s="32">
        <f>IF(AND(TRIM(A123&amp;"")&lt;&gt;"",OR(B123="Awaiting",B123="Not sure yet")),1,0)</f>
        <v/>
      </c>
      <c r="AG123" s="32">
        <f>N(AG122)+AF123</f>
        <v/>
      </c>
      <c r="AH123" s="32">
        <f>IF(AF123=1,AG123,"")</f>
        <v/>
      </c>
      <c r="AI123" s="32">
        <f>IF(AND(TRIM(A123&amp;"")&lt;&gt;"",L123&amp;""&lt;&gt;"",L123&amp;""=Seating!$I$3&amp;"",B123&lt;&gt;"Declined"),1,0)</f>
        <v/>
      </c>
      <c r="AJ123" s="32">
        <f>N(AJ122)+AI123</f>
        <v/>
      </c>
      <c r="AK123" s="32">
        <f>IF(AI123=1,AJ123,"")</f>
        <v/>
      </c>
    </row>
    <row r="124">
      <c r="A124" s="10" t="n"/>
      <c r="B124" s="47">
        <f>IF(TRIM(A124&amp;"")="","",IF(W124&lt;&gt;"",W124,IF(I124="","Awaiting",I124)))</f>
        <v/>
      </c>
      <c r="C124" s="60">
        <f>IF(OR(B124="Awaiting",B124="Not sure yet"),IF(AD124&lt;&gt;"",HYPERLINK(AD124,"💬 Remind"),"add mobile"),"")</f>
        <v/>
      </c>
      <c r="D124" s="58" t="n"/>
      <c r="E124" s="10" t="n"/>
      <c r="F124" s="10" t="n"/>
      <c r="G124" s="10" t="n"/>
      <c r="H124" s="10" t="n"/>
      <c r="I124" s="10" t="n"/>
      <c r="J124" s="10" t="n"/>
      <c r="K124" s="10" t="n"/>
      <c r="L124" s="56" t="n"/>
      <c r="M124" s="10" t="n"/>
      <c r="N124" s="12" t="n"/>
      <c r="O124" s="10" t="n"/>
      <c r="P124" s="10" t="n"/>
      <c r="Q124" s="61">
        <f>IF(V124="","",IF(T124="","Covered by "&amp;INDEX('Form Calc'!$B:$B,V124)&amp;"'s reply (same party)","Replied "&amp;TEXT(INDEX('Form Calc'!$A:$A,T124),"mm/dd")&amp;" · "&amp;INDEX('Form Calc'!$H:$H,T124)&amp;" adult(s), "&amp;INDEX('Form Calc'!$I:$I,T124)&amp;" child(ren)"&amp;IF(INDEX('Form Calc'!$K:$K,T124)&lt;&gt;""," · "&amp;INDEX('Form Calc'!$K:$K,T124),"")&amp;IF(INDEX('Form Calc'!$M:$M,T124)&lt;&gt;""," · “"&amp;INDEX('Form Calc'!$M:$M,T124)&amp;"”","")))</f>
        <v/>
      </c>
      <c r="R124" s="32">
        <f>SUBSTITUTE(SUBSTITUTE(SUBSTITUTE(SUBSTITUTE(SUBSTITUTE(SUBSTITUTE(SUBSTITUTE(SUBSTITUTE(D124&amp;""," ",""),"-",""),"(",""),")",""),".",""),"+",""),"/",""),CHAR(160),"")</f>
        <v/>
      </c>
      <c r="S124" s="32">
        <f>IF(LEN(R124)&gt;=10,RIGHT(R124,10),R124)</f>
        <v/>
      </c>
      <c r="T124" s="32">
        <f>IF(TRIM(A124&amp;"")="","",IF(S124&lt;&gt;"",IFERROR(MATCH(S124,'Form Calc'!$P:$P,0),IFERROR(MATCH(TRIM(A124&amp;""),'Form Calc'!$Q:$Q,0),"")),IFERROR(MATCH(TRIM(A124&amp;""),'Form Calc'!$Q:$Q,0),"")))</f>
        <v/>
      </c>
      <c r="U124" s="32">
        <f>IF(AND(T124&lt;&gt;"",TRIM(E124&amp;"")&lt;&gt;""),TRIM(E124&amp;""),"")</f>
        <v/>
      </c>
      <c r="V124" s="32">
        <f>IF(TRIM(A124&amp;"")="","",IF(T124&lt;&gt;"",T124,IF(TRIM(E124&amp;"")="","",IFERROR(INDEX($T$6:$T$505,MATCH(TRIM(E124&amp;""),$U$6:$U$505,0)),""))))</f>
        <v/>
      </c>
      <c r="W124" s="32">
        <f>IF(V124="","",INDEX('Form Calc'!$G:$G,V124))</f>
        <v/>
      </c>
      <c r="X124" s="32">
        <f>IF(TRIM(A124&amp;"")="","",IF(T124&lt;&gt;"",IF(INDEX('Form Calc'!$K:$K,T124)&lt;&gt;"",INDEX('Form Calc'!$K:$K,T124),J124&amp;""),J124&amp;""))</f>
        <v/>
      </c>
      <c r="Y124" s="32">
        <f>IF(TRIM(A124&amp;"")="","",IF(TRIM(D124&amp;"")&lt;&gt;"",TRIM(D124&amp;""),IF(T124&lt;&gt;"",INDEX('Form Calc'!$C:$C,T124)&amp;"","")))</f>
        <v/>
      </c>
      <c r="Z124" s="32">
        <f>SUBSTITUTE(SUBSTITUTE(SUBSTITUTE(SUBSTITUTE(SUBSTITUTE(SUBSTITUTE(SUBSTITUTE(SUBSTITUTE(Y124," ",""),"-",""),"(",""),")",""),".",""),"+",""),"/",""),CHAR(160),"")</f>
        <v/>
      </c>
      <c r="AA124" s="32">
        <f>IF(Z124="","",IF(LEN(Z124)=10,"+1"&amp;Z124,IF(AND(LEN(Z124)=11,LEFT(Z124,1)="1"),"+"&amp;Z124,IF(LEFT(Y124,1)="+","+"&amp;Z124,Z124))))</f>
        <v/>
      </c>
      <c r="AB124" s="32">
        <f>IF(TRIM(A124&amp;"")="","",IF(TRIM(M124&amp;"")&lt;&gt;"",TRIM(M124&amp;""),IFERROR(LEFT(TRIM(A124&amp;""),FIND(" ",TRIM(A124&amp;""))-1),TRIM(A124&amp;""))))</f>
        <v/>
      </c>
      <c r="AC124" s="32">
        <f>SUBSTITUTE(SUBSTITUTE(SUBSTITUTE(SUBSTITUTE(SUBSTITUTE(SUBSTITUTE(SUBSTITUTE(SUBSTITUTE(SUBSTITUTE(SUBSTITUTE(AB124,"%","%25"),"&amp;","%26"),"#","%23"),"+","%2B"),"=","%3D"),"?","%3F"),CHAR(34),"%22"),CHAR(10),"%0A"),CHAR(13),"")," ","+")</f>
        <v/>
      </c>
      <c r="AD124" s="32">
        <f>IF(OR(AA124="",AB124=""),"",'Start Here'!$B$20&amp;"#p="&amp;SUBSTITUTE(AA124,"+","%2B")&amp;"&amp;n="&amp;AC124&amp;"&amp;m="&amp;SUBSTITUTE('Start Here'!$B$24,"{name}",AC124))</f>
        <v/>
      </c>
      <c r="AE124" s="32">
        <f>LEN(AD124)</f>
        <v/>
      </c>
      <c r="AF124" s="32">
        <f>IF(AND(TRIM(A124&amp;"")&lt;&gt;"",OR(B124="Awaiting",B124="Not sure yet")),1,0)</f>
        <v/>
      </c>
      <c r="AG124" s="32">
        <f>N(AG123)+AF124</f>
        <v/>
      </c>
      <c r="AH124" s="32">
        <f>IF(AF124=1,AG124,"")</f>
        <v/>
      </c>
      <c r="AI124" s="32">
        <f>IF(AND(TRIM(A124&amp;"")&lt;&gt;"",L124&amp;""&lt;&gt;"",L124&amp;""=Seating!$I$3&amp;"",B124&lt;&gt;"Declined"),1,0)</f>
        <v/>
      </c>
      <c r="AJ124" s="32">
        <f>N(AJ123)+AI124</f>
        <v/>
      </c>
      <c r="AK124" s="32">
        <f>IF(AI124=1,AJ124,"")</f>
        <v/>
      </c>
    </row>
    <row r="125">
      <c r="A125" s="10" t="n"/>
      <c r="B125" s="47">
        <f>IF(TRIM(A125&amp;"")="","",IF(W125&lt;&gt;"",W125,IF(I125="","Awaiting",I125)))</f>
        <v/>
      </c>
      <c r="C125" s="60">
        <f>IF(OR(B125="Awaiting",B125="Not sure yet"),IF(AD125&lt;&gt;"",HYPERLINK(AD125,"💬 Remind"),"add mobile"),"")</f>
        <v/>
      </c>
      <c r="D125" s="58" t="n"/>
      <c r="E125" s="10" t="n"/>
      <c r="F125" s="10" t="n"/>
      <c r="G125" s="10" t="n"/>
      <c r="H125" s="10" t="n"/>
      <c r="I125" s="10" t="n"/>
      <c r="J125" s="10" t="n"/>
      <c r="K125" s="10" t="n"/>
      <c r="L125" s="56" t="n"/>
      <c r="M125" s="10" t="n"/>
      <c r="N125" s="12" t="n"/>
      <c r="O125" s="10" t="n"/>
      <c r="P125" s="10" t="n"/>
      <c r="Q125" s="61">
        <f>IF(V125="","",IF(T125="","Covered by "&amp;INDEX('Form Calc'!$B:$B,V125)&amp;"'s reply (same party)","Replied "&amp;TEXT(INDEX('Form Calc'!$A:$A,T125),"mm/dd")&amp;" · "&amp;INDEX('Form Calc'!$H:$H,T125)&amp;" adult(s), "&amp;INDEX('Form Calc'!$I:$I,T125)&amp;" child(ren)"&amp;IF(INDEX('Form Calc'!$K:$K,T125)&lt;&gt;""," · "&amp;INDEX('Form Calc'!$K:$K,T125),"")&amp;IF(INDEX('Form Calc'!$M:$M,T125)&lt;&gt;""," · “"&amp;INDEX('Form Calc'!$M:$M,T125)&amp;"”","")))</f>
        <v/>
      </c>
      <c r="R125" s="32">
        <f>SUBSTITUTE(SUBSTITUTE(SUBSTITUTE(SUBSTITUTE(SUBSTITUTE(SUBSTITUTE(SUBSTITUTE(SUBSTITUTE(D125&amp;""," ",""),"-",""),"(",""),")",""),".",""),"+",""),"/",""),CHAR(160),"")</f>
        <v/>
      </c>
      <c r="S125" s="32">
        <f>IF(LEN(R125)&gt;=10,RIGHT(R125,10),R125)</f>
        <v/>
      </c>
      <c r="T125" s="32">
        <f>IF(TRIM(A125&amp;"")="","",IF(S125&lt;&gt;"",IFERROR(MATCH(S125,'Form Calc'!$P:$P,0),IFERROR(MATCH(TRIM(A125&amp;""),'Form Calc'!$Q:$Q,0),"")),IFERROR(MATCH(TRIM(A125&amp;""),'Form Calc'!$Q:$Q,0),"")))</f>
        <v/>
      </c>
      <c r="U125" s="32">
        <f>IF(AND(T125&lt;&gt;"",TRIM(E125&amp;"")&lt;&gt;""),TRIM(E125&amp;""),"")</f>
        <v/>
      </c>
      <c r="V125" s="32">
        <f>IF(TRIM(A125&amp;"")="","",IF(T125&lt;&gt;"",T125,IF(TRIM(E125&amp;"")="","",IFERROR(INDEX($T$6:$T$505,MATCH(TRIM(E125&amp;""),$U$6:$U$505,0)),""))))</f>
        <v/>
      </c>
      <c r="W125" s="32">
        <f>IF(V125="","",INDEX('Form Calc'!$G:$G,V125))</f>
        <v/>
      </c>
      <c r="X125" s="32">
        <f>IF(TRIM(A125&amp;"")="","",IF(T125&lt;&gt;"",IF(INDEX('Form Calc'!$K:$K,T125)&lt;&gt;"",INDEX('Form Calc'!$K:$K,T125),J125&amp;""),J125&amp;""))</f>
        <v/>
      </c>
      <c r="Y125" s="32">
        <f>IF(TRIM(A125&amp;"")="","",IF(TRIM(D125&amp;"")&lt;&gt;"",TRIM(D125&amp;""),IF(T125&lt;&gt;"",INDEX('Form Calc'!$C:$C,T125)&amp;"","")))</f>
        <v/>
      </c>
      <c r="Z125" s="32">
        <f>SUBSTITUTE(SUBSTITUTE(SUBSTITUTE(SUBSTITUTE(SUBSTITUTE(SUBSTITUTE(SUBSTITUTE(SUBSTITUTE(Y125," ",""),"-",""),"(",""),")",""),".",""),"+",""),"/",""),CHAR(160),"")</f>
        <v/>
      </c>
      <c r="AA125" s="32">
        <f>IF(Z125="","",IF(LEN(Z125)=10,"+1"&amp;Z125,IF(AND(LEN(Z125)=11,LEFT(Z125,1)="1"),"+"&amp;Z125,IF(LEFT(Y125,1)="+","+"&amp;Z125,Z125))))</f>
        <v/>
      </c>
      <c r="AB125" s="32">
        <f>IF(TRIM(A125&amp;"")="","",IF(TRIM(M125&amp;"")&lt;&gt;"",TRIM(M125&amp;""),IFERROR(LEFT(TRIM(A125&amp;""),FIND(" ",TRIM(A125&amp;""))-1),TRIM(A125&amp;""))))</f>
        <v/>
      </c>
      <c r="AC125" s="32">
        <f>SUBSTITUTE(SUBSTITUTE(SUBSTITUTE(SUBSTITUTE(SUBSTITUTE(SUBSTITUTE(SUBSTITUTE(SUBSTITUTE(SUBSTITUTE(SUBSTITUTE(AB125,"%","%25"),"&amp;","%26"),"#","%23"),"+","%2B"),"=","%3D"),"?","%3F"),CHAR(34),"%22"),CHAR(10),"%0A"),CHAR(13),"")," ","+")</f>
        <v/>
      </c>
      <c r="AD125" s="32">
        <f>IF(OR(AA125="",AB125=""),"",'Start Here'!$B$20&amp;"#p="&amp;SUBSTITUTE(AA125,"+","%2B")&amp;"&amp;n="&amp;AC125&amp;"&amp;m="&amp;SUBSTITUTE('Start Here'!$B$24,"{name}",AC125))</f>
        <v/>
      </c>
      <c r="AE125" s="32">
        <f>LEN(AD125)</f>
        <v/>
      </c>
      <c r="AF125" s="32">
        <f>IF(AND(TRIM(A125&amp;"")&lt;&gt;"",OR(B125="Awaiting",B125="Not sure yet")),1,0)</f>
        <v/>
      </c>
      <c r="AG125" s="32">
        <f>N(AG124)+AF125</f>
        <v/>
      </c>
      <c r="AH125" s="32">
        <f>IF(AF125=1,AG125,"")</f>
        <v/>
      </c>
      <c r="AI125" s="32">
        <f>IF(AND(TRIM(A125&amp;"")&lt;&gt;"",L125&amp;""&lt;&gt;"",L125&amp;""=Seating!$I$3&amp;"",B125&lt;&gt;"Declined"),1,0)</f>
        <v/>
      </c>
      <c r="AJ125" s="32">
        <f>N(AJ124)+AI125</f>
        <v/>
      </c>
      <c r="AK125" s="32">
        <f>IF(AI125=1,AJ125,"")</f>
        <v/>
      </c>
    </row>
    <row r="126">
      <c r="A126" s="10" t="n"/>
      <c r="B126" s="47">
        <f>IF(TRIM(A126&amp;"")="","",IF(W126&lt;&gt;"",W126,IF(I126="","Awaiting",I126)))</f>
        <v/>
      </c>
      <c r="C126" s="60">
        <f>IF(OR(B126="Awaiting",B126="Not sure yet"),IF(AD126&lt;&gt;"",HYPERLINK(AD126,"💬 Remind"),"add mobile"),"")</f>
        <v/>
      </c>
      <c r="D126" s="58" t="n"/>
      <c r="E126" s="10" t="n"/>
      <c r="F126" s="10" t="n"/>
      <c r="G126" s="10" t="n"/>
      <c r="H126" s="10" t="n"/>
      <c r="I126" s="10" t="n"/>
      <c r="J126" s="10" t="n"/>
      <c r="K126" s="10" t="n"/>
      <c r="L126" s="56" t="n"/>
      <c r="M126" s="10" t="n"/>
      <c r="N126" s="12" t="n"/>
      <c r="O126" s="10" t="n"/>
      <c r="P126" s="10" t="n"/>
      <c r="Q126" s="61">
        <f>IF(V126="","",IF(T126="","Covered by "&amp;INDEX('Form Calc'!$B:$B,V126)&amp;"'s reply (same party)","Replied "&amp;TEXT(INDEX('Form Calc'!$A:$A,T126),"mm/dd")&amp;" · "&amp;INDEX('Form Calc'!$H:$H,T126)&amp;" adult(s), "&amp;INDEX('Form Calc'!$I:$I,T126)&amp;" child(ren)"&amp;IF(INDEX('Form Calc'!$K:$K,T126)&lt;&gt;""," · "&amp;INDEX('Form Calc'!$K:$K,T126),"")&amp;IF(INDEX('Form Calc'!$M:$M,T126)&lt;&gt;""," · “"&amp;INDEX('Form Calc'!$M:$M,T126)&amp;"”","")))</f>
        <v/>
      </c>
      <c r="R126" s="32">
        <f>SUBSTITUTE(SUBSTITUTE(SUBSTITUTE(SUBSTITUTE(SUBSTITUTE(SUBSTITUTE(SUBSTITUTE(SUBSTITUTE(D126&amp;""," ",""),"-",""),"(",""),")",""),".",""),"+",""),"/",""),CHAR(160),"")</f>
        <v/>
      </c>
      <c r="S126" s="32">
        <f>IF(LEN(R126)&gt;=10,RIGHT(R126,10),R126)</f>
        <v/>
      </c>
      <c r="T126" s="32">
        <f>IF(TRIM(A126&amp;"")="","",IF(S126&lt;&gt;"",IFERROR(MATCH(S126,'Form Calc'!$P:$P,0),IFERROR(MATCH(TRIM(A126&amp;""),'Form Calc'!$Q:$Q,0),"")),IFERROR(MATCH(TRIM(A126&amp;""),'Form Calc'!$Q:$Q,0),"")))</f>
        <v/>
      </c>
      <c r="U126" s="32">
        <f>IF(AND(T126&lt;&gt;"",TRIM(E126&amp;"")&lt;&gt;""),TRIM(E126&amp;""),"")</f>
        <v/>
      </c>
      <c r="V126" s="32">
        <f>IF(TRIM(A126&amp;"")="","",IF(T126&lt;&gt;"",T126,IF(TRIM(E126&amp;"")="","",IFERROR(INDEX($T$6:$T$505,MATCH(TRIM(E126&amp;""),$U$6:$U$505,0)),""))))</f>
        <v/>
      </c>
      <c r="W126" s="32">
        <f>IF(V126="","",INDEX('Form Calc'!$G:$G,V126))</f>
        <v/>
      </c>
      <c r="X126" s="32">
        <f>IF(TRIM(A126&amp;"")="","",IF(T126&lt;&gt;"",IF(INDEX('Form Calc'!$K:$K,T126)&lt;&gt;"",INDEX('Form Calc'!$K:$K,T126),J126&amp;""),J126&amp;""))</f>
        <v/>
      </c>
      <c r="Y126" s="32">
        <f>IF(TRIM(A126&amp;"")="","",IF(TRIM(D126&amp;"")&lt;&gt;"",TRIM(D126&amp;""),IF(T126&lt;&gt;"",INDEX('Form Calc'!$C:$C,T126)&amp;"","")))</f>
        <v/>
      </c>
      <c r="Z126" s="32">
        <f>SUBSTITUTE(SUBSTITUTE(SUBSTITUTE(SUBSTITUTE(SUBSTITUTE(SUBSTITUTE(SUBSTITUTE(SUBSTITUTE(Y126," ",""),"-",""),"(",""),")",""),".",""),"+",""),"/",""),CHAR(160),"")</f>
        <v/>
      </c>
      <c r="AA126" s="32">
        <f>IF(Z126="","",IF(LEN(Z126)=10,"+1"&amp;Z126,IF(AND(LEN(Z126)=11,LEFT(Z126,1)="1"),"+"&amp;Z126,IF(LEFT(Y126,1)="+","+"&amp;Z126,Z126))))</f>
        <v/>
      </c>
      <c r="AB126" s="32">
        <f>IF(TRIM(A126&amp;"")="","",IF(TRIM(M126&amp;"")&lt;&gt;"",TRIM(M126&amp;""),IFERROR(LEFT(TRIM(A126&amp;""),FIND(" ",TRIM(A126&amp;""))-1),TRIM(A126&amp;""))))</f>
        <v/>
      </c>
      <c r="AC126" s="32">
        <f>SUBSTITUTE(SUBSTITUTE(SUBSTITUTE(SUBSTITUTE(SUBSTITUTE(SUBSTITUTE(SUBSTITUTE(SUBSTITUTE(SUBSTITUTE(SUBSTITUTE(AB126,"%","%25"),"&amp;","%26"),"#","%23"),"+","%2B"),"=","%3D"),"?","%3F"),CHAR(34),"%22"),CHAR(10),"%0A"),CHAR(13),"")," ","+")</f>
        <v/>
      </c>
      <c r="AD126" s="32">
        <f>IF(OR(AA126="",AB126=""),"",'Start Here'!$B$20&amp;"#p="&amp;SUBSTITUTE(AA126,"+","%2B")&amp;"&amp;n="&amp;AC126&amp;"&amp;m="&amp;SUBSTITUTE('Start Here'!$B$24,"{name}",AC126))</f>
        <v/>
      </c>
      <c r="AE126" s="32">
        <f>LEN(AD126)</f>
        <v/>
      </c>
      <c r="AF126" s="32">
        <f>IF(AND(TRIM(A126&amp;"")&lt;&gt;"",OR(B126="Awaiting",B126="Not sure yet")),1,0)</f>
        <v/>
      </c>
      <c r="AG126" s="32">
        <f>N(AG125)+AF126</f>
        <v/>
      </c>
      <c r="AH126" s="32">
        <f>IF(AF126=1,AG126,"")</f>
        <v/>
      </c>
      <c r="AI126" s="32">
        <f>IF(AND(TRIM(A126&amp;"")&lt;&gt;"",L126&amp;""&lt;&gt;"",L126&amp;""=Seating!$I$3&amp;"",B126&lt;&gt;"Declined"),1,0)</f>
        <v/>
      </c>
      <c r="AJ126" s="32">
        <f>N(AJ125)+AI126</f>
        <v/>
      </c>
      <c r="AK126" s="32">
        <f>IF(AI126=1,AJ126,"")</f>
        <v/>
      </c>
    </row>
    <row r="127">
      <c r="A127" s="10" t="n"/>
      <c r="B127" s="47">
        <f>IF(TRIM(A127&amp;"")="","",IF(W127&lt;&gt;"",W127,IF(I127="","Awaiting",I127)))</f>
        <v/>
      </c>
      <c r="C127" s="60">
        <f>IF(OR(B127="Awaiting",B127="Not sure yet"),IF(AD127&lt;&gt;"",HYPERLINK(AD127,"💬 Remind"),"add mobile"),"")</f>
        <v/>
      </c>
      <c r="D127" s="58" t="n"/>
      <c r="E127" s="10" t="n"/>
      <c r="F127" s="10" t="n"/>
      <c r="G127" s="10" t="n"/>
      <c r="H127" s="10" t="n"/>
      <c r="I127" s="10" t="n"/>
      <c r="J127" s="10" t="n"/>
      <c r="K127" s="10" t="n"/>
      <c r="L127" s="56" t="n"/>
      <c r="M127" s="10" t="n"/>
      <c r="N127" s="12" t="n"/>
      <c r="O127" s="10" t="n"/>
      <c r="P127" s="10" t="n"/>
      <c r="Q127" s="61">
        <f>IF(V127="","",IF(T127="","Covered by "&amp;INDEX('Form Calc'!$B:$B,V127)&amp;"'s reply (same party)","Replied "&amp;TEXT(INDEX('Form Calc'!$A:$A,T127),"mm/dd")&amp;" · "&amp;INDEX('Form Calc'!$H:$H,T127)&amp;" adult(s), "&amp;INDEX('Form Calc'!$I:$I,T127)&amp;" child(ren)"&amp;IF(INDEX('Form Calc'!$K:$K,T127)&lt;&gt;""," · "&amp;INDEX('Form Calc'!$K:$K,T127),"")&amp;IF(INDEX('Form Calc'!$M:$M,T127)&lt;&gt;""," · “"&amp;INDEX('Form Calc'!$M:$M,T127)&amp;"”","")))</f>
        <v/>
      </c>
      <c r="R127" s="32">
        <f>SUBSTITUTE(SUBSTITUTE(SUBSTITUTE(SUBSTITUTE(SUBSTITUTE(SUBSTITUTE(SUBSTITUTE(SUBSTITUTE(D127&amp;""," ",""),"-",""),"(",""),")",""),".",""),"+",""),"/",""),CHAR(160),"")</f>
        <v/>
      </c>
      <c r="S127" s="32">
        <f>IF(LEN(R127)&gt;=10,RIGHT(R127,10),R127)</f>
        <v/>
      </c>
      <c r="T127" s="32">
        <f>IF(TRIM(A127&amp;"")="","",IF(S127&lt;&gt;"",IFERROR(MATCH(S127,'Form Calc'!$P:$P,0),IFERROR(MATCH(TRIM(A127&amp;""),'Form Calc'!$Q:$Q,0),"")),IFERROR(MATCH(TRIM(A127&amp;""),'Form Calc'!$Q:$Q,0),"")))</f>
        <v/>
      </c>
      <c r="U127" s="32">
        <f>IF(AND(T127&lt;&gt;"",TRIM(E127&amp;"")&lt;&gt;""),TRIM(E127&amp;""),"")</f>
        <v/>
      </c>
      <c r="V127" s="32">
        <f>IF(TRIM(A127&amp;"")="","",IF(T127&lt;&gt;"",T127,IF(TRIM(E127&amp;"")="","",IFERROR(INDEX($T$6:$T$505,MATCH(TRIM(E127&amp;""),$U$6:$U$505,0)),""))))</f>
        <v/>
      </c>
      <c r="W127" s="32">
        <f>IF(V127="","",INDEX('Form Calc'!$G:$G,V127))</f>
        <v/>
      </c>
      <c r="X127" s="32">
        <f>IF(TRIM(A127&amp;"")="","",IF(T127&lt;&gt;"",IF(INDEX('Form Calc'!$K:$K,T127)&lt;&gt;"",INDEX('Form Calc'!$K:$K,T127),J127&amp;""),J127&amp;""))</f>
        <v/>
      </c>
      <c r="Y127" s="32">
        <f>IF(TRIM(A127&amp;"")="","",IF(TRIM(D127&amp;"")&lt;&gt;"",TRIM(D127&amp;""),IF(T127&lt;&gt;"",INDEX('Form Calc'!$C:$C,T127)&amp;"","")))</f>
        <v/>
      </c>
      <c r="Z127" s="32">
        <f>SUBSTITUTE(SUBSTITUTE(SUBSTITUTE(SUBSTITUTE(SUBSTITUTE(SUBSTITUTE(SUBSTITUTE(SUBSTITUTE(Y127," ",""),"-",""),"(",""),")",""),".",""),"+",""),"/",""),CHAR(160),"")</f>
        <v/>
      </c>
      <c r="AA127" s="32">
        <f>IF(Z127="","",IF(LEN(Z127)=10,"+1"&amp;Z127,IF(AND(LEN(Z127)=11,LEFT(Z127,1)="1"),"+"&amp;Z127,IF(LEFT(Y127,1)="+","+"&amp;Z127,Z127))))</f>
        <v/>
      </c>
      <c r="AB127" s="32">
        <f>IF(TRIM(A127&amp;"")="","",IF(TRIM(M127&amp;"")&lt;&gt;"",TRIM(M127&amp;""),IFERROR(LEFT(TRIM(A127&amp;""),FIND(" ",TRIM(A127&amp;""))-1),TRIM(A127&amp;""))))</f>
        <v/>
      </c>
      <c r="AC127" s="32">
        <f>SUBSTITUTE(SUBSTITUTE(SUBSTITUTE(SUBSTITUTE(SUBSTITUTE(SUBSTITUTE(SUBSTITUTE(SUBSTITUTE(SUBSTITUTE(SUBSTITUTE(AB127,"%","%25"),"&amp;","%26"),"#","%23"),"+","%2B"),"=","%3D"),"?","%3F"),CHAR(34),"%22"),CHAR(10),"%0A"),CHAR(13),"")," ","+")</f>
        <v/>
      </c>
      <c r="AD127" s="32">
        <f>IF(OR(AA127="",AB127=""),"",'Start Here'!$B$20&amp;"#p="&amp;SUBSTITUTE(AA127,"+","%2B")&amp;"&amp;n="&amp;AC127&amp;"&amp;m="&amp;SUBSTITUTE('Start Here'!$B$24,"{name}",AC127))</f>
        <v/>
      </c>
      <c r="AE127" s="32">
        <f>LEN(AD127)</f>
        <v/>
      </c>
      <c r="AF127" s="32">
        <f>IF(AND(TRIM(A127&amp;"")&lt;&gt;"",OR(B127="Awaiting",B127="Not sure yet")),1,0)</f>
        <v/>
      </c>
      <c r="AG127" s="32">
        <f>N(AG126)+AF127</f>
        <v/>
      </c>
      <c r="AH127" s="32">
        <f>IF(AF127=1,AG127,"")</f>
        <v/>
      </c>
      <c r="AI127" s="32">
        <f>IF(AND(TRIM(A127&amp;"")&lt;&gt;"",L127&amp;""&lt;&gt;"",L127&amp;""=Seating!$I$3&amp;"",B127&lt;&gt;"Declined"),1,0)</f>
        <v/>
      </c>
      <c r="AJ127" s="32">
        <f>N(AJ126)+AI127</f>
        <v/>
      </c>
      <c r="AK127" s="32">
        <f>IF(AI127=1,AJ127,"")</f>
        <v/>
      </c>
    </row>
    <row r="128">
      <c r="A128" s="10" t="n"/>
      <c r="B128" s="47">
        <f>IF(TRIM(A128&amp;"")="","",IF(W128&lt;&gt;"",W128,IF(I128="","Awaiting",I128)))</f>
        <v/>
      </c>
      <c r="C128" s="60">
        <f>IF(OR(B128="Awaiting",B128="Not sure yet"),IF(AD128&lt;&gt;"",HYPERLINK(AD128,"💬 Remind"),"add mobile"),"")</f>
        <v/>
      </c>
      <c r="D128" s="58" t="n"/>
      <c r="E128" s="10" t="n"/>
      <c r="F128" s="10" t="n"/>
      <c r="G128" s="10" t="n"/>
      <c r="H128" s="10" t="n"/>
      <c r="I128" s="10" t="n"/>
      <c r="J128" s="10" t="n"/>
      <c r="K128" s="10" t="n"/>
      <c r="L128" s="56" t="n"/>
      <c r="M128" s="10" t="n"/>
      <c r="N128" s="12" t="n"/>
      <c r="O128" s="10" t="n"/>
      <c r="P128" s="10" t="n"/>
      <c r="Q128" s="61">
        <f>IF(V128="","",IF(T128="","Covered by "&amp;INDEX('Form Calc'!$B:$B,V128)&amp;"'s reply (same party)","Replied "&amp;TEXT(INDEX('Form Calc'!$A:$A,T128),"mm/dd")&amp;" · "&amp;INDEX('Form Calc'!$H:$H,T128)&amp;" adult(s), "&amp;INDEX('Form Calc'!$I:$I,T128)&amp;" child(ren)"&amp;IF(INDEX('Form Calc'!$K:$K,T128)&lt;&gt;""," · "&amp;INDEX('Form Calc'!$K:$K,T128),"")&amp;IF(INDEX('Form Calc'!$M:$M,T128)&lt;&gt;""," · “"&amp;INDEX('Form Calc'!$M:$M,T128)&amp;"”","")))</f>
        <v/>
      </c>
      <c r="R128" s="32">
        <f>SUBSTITUTE(SUBSTITUTE(SUBSTITUTE(SUBSTITUTE(SUBSTITUTE(SUBSTITUTE(SUBSTITUTE(SUBSTITUTE(D128&amp;""," ",""),"-",""),"(",""),")",""),".",""),"+",""),"/",""),CHAR(160),"")</f>
        <v/>
      </c>
      <c r="S128" s="32">
        <f>IF(LEN(R128)&gt;=10,RIGHT(R128,10),R128)</f>
        <v/>
      </c>
      <c r="T128" s="32">
        <f>IF(TRIM(A128&amp;"")="","",IF(S128&lt;&gt;"",IFERROR(MATCH(S128,'Form Calc'!$P:$P,0),IFERROR(MATCH(TRIM(A128&amp;""),'Form Calc'!$Q:$Q,0),"")),IFERROR(MATCH(TRIM(A128&amp;""),'Form Calc'!$Q:$Q,0),"")))</f>
        <v/>
      </c>
      <c r="U128" s="32">
        <f>IF(AND(T128&lt;&gt;"",TRIM(E128&amp;"")&lt;&gt;""),TRIM(E128&amp;""),"")</f>
        <v/>
      </c>
      <c r="V128" s="32">
        <f>IF(TRIM(A128&amp;"")="","",IF(T128&lt;&gt;"",T128,IF(TRIM(E128&amp;"")="","",IFERROR(INDEX($T$6:$T$505,MATCH(TRIM(E128&amp;""),$U$6:$U$505,0)),""))))</f>
        <v/>
      </c>
      <c r="W128" s="32">
        <f>IF(V128="","",INDEX('Form Calc'!$G:$G,V128))</f>
        <v/>
      </c>
      <c r="X128" s="32">
        <f>IF(TRIM(A128&amp;"")="","",IF(T128&lt;&gt;"",IF(INDEX('Form Calc'!$K:$K,T128)&lt;&gt;"",INDEX('Form Calc'!$K:$K,T128),J128&amp;""),J128&amp;""))</f>
        <v/>
      </c>
      <c r="Y128" s="32">
        <f>IF(TRIM(A128&amp;"")="","",IF(TRIM(D128&amp;"")&lt;&gt;"",TRIM(D128&amp;""),IF(T128&lt;&gt;"",INDEX('Form Calc'!$C:$C,T128)&amp;"","")))</f>
        <v/>
      </c>
      <c r="Z128" s="32">
        <f>SUBSTITUTE(SUBSTITUTE(SUBSTITUTE(SUBSTITUTE(SUBSTITUTE(SUBSTITUTE(SUBSTITUTE(SUBSTITUTE(Y128," ",""),"-",""),"(",""),")",""),".",""),"+",""),"/",""),CHAR(160),"")</f>
        <v/>
      </c>
      <c r="AA128" s="32">
        <f>IF(Z128="","",IF(LEN(Z128)=10,"+1"&amp;Z128,IF(AND(LEN(Z128)=11,LEFT(Z128,1)="1"),"+"&amp;Z128,IF(LEFT(Y128,1)="+","+"&amp;Z128,Z128))))</f>
        <v/>
      </c>
      <c r="AB128" s="32">
        <f>IF(TRIM(A128&amp;"")="","",IF(TRIM(M128&amp;"")&lt;&gt;"",TRIM(M128&amp;""),IFERROR(LEFT(TRIM(A128&amp;""),FIND(" ",TRIM(A128&amp;""))-1),TRIM(A128&amp;""))))</f>
        <v/>
      </c>
      <c r="AC128" s="32">
        <f>SUBSTITUTE(SUBSTITUTE(SUBSTITUTE(SUBSTITUTE(SUBSTITUTE(SUBSTITUTE(SUBSTITUTE(SUBSTITUTE(SUBSTITUTE(SUBSTITUTE(AB128,"%","%25"),"&amp;","%26"),"#","%23"),"+","%2B"),"=","%3D"),"?","%3F"),CHAR(34),"%22"),CHAR(10),"%0A"),CHAR(13),"")," ","+")</f>
        <v/>
      </c>
      <c r="AD128" s="32">
        <f>IF(OR(AA128="",AB128=""),"",'Start Here'!$B$20&amp;"#p="&amp;SUBSTITUTE(AA128,"+","%2B")&amp;"&amp;n="&amp;AC128&amp;"&amp;m="&amp;SUBSTITUTE('Start Here'!$B$24,"{name}",AC128))</f>
        <v/>
      </c>
      <c r="AE128" s="32">
        <f>LEN(AD128)</f>
        <v/>
      </c>
      <c r="AF128" s="32">
        <f>IF(AND(TRIM(A128&amp;"")&lt;&gt;"",OR(B128="Awaiting",B128="Not sure yet")),1,0)</f>
        <v/>
      </c>
      <c r="AG128" s="32">
        <f>N(AG127)+AF128</f>
        <v/>
      </c>
      <c r="AH128" s="32">
        <f>IF(AF128=1,AG128,"")</f>
        <v/>
      </c>
      <c r="AI128" s="32">
        <f>IF(AND(TRIM(A128&amp;"")&lt;&gt;"",L128&amp;""&lt;&gt;"",L128&amp;""=Seating!$I$3&amp;"",B128&lt;&gt;"Declined"),1,0)</f>
        <v/>
      </c>
      <c r="AJ128" s="32">
        <f>N(AJ127)+AI128</f>
        <v/>
      </c>
      <c r="AK128" s="32">
        <f>IF(AI128=1,AJ128,"")</f>
        <v/>
      </c>
    </row>
    <row r="129">
      <c r="A129" s="10" t="n"/>
      <c r="B129" s="47">
        <f>IF(TRIM(A129&amp;"")="","",IF(W129&lt;&gt;"",W129,IF(I129="","Awaiting",I129)))</f>
        <v/>
      </c>
      <c r="C129" s="60">
        <f>IF(OR(B129="Awaiting",B129="Not sure yet"),IF(AD129&lt;&gt;"",HYPERLINK(AD129,"💬 Remind"),"add mobile"),"")</f>
        <v/>
      </c>
      <c r="D129" s="58" t="n"/>
      <c r="E129" s="10" t="n"/>
      <c r="F129" s="10" t="n"/>
      <c r="G129" s="10" t="n"/>
      <c r="H129" s="10" t="n"/>
      <c r="I129" s="10" t="n"/>
      <c r="J129" s="10" t="n"/>
      <c r="K129" s="10" t="n"/>
      <c r="L129" s="56" t="n"/>
      <c r="M129" s="10" t="n"/>
      <c r="N129" s="12" t="n"/>
      <c r="O129" s="10" t="n"/>
      <c r="P129" s="10" t="n"/>
      <c r="Q129" s="61">
        <f>IF(V129="","",IF(T129="","Covered by "&amp;INDEX('Form Calc'!$B:$B,V129)&amp;"'s reply (same party)","Replied "&amp;TEXT(INDEX('Form Calc'!$A:$A,T129),"mm/dd")&amp;" · "&amp;INDEX('Form Calc'!$H:$H,T129)&amp;" adult(s), "&amp;INDEX('Form Calc'!$I:$I,T129)&amp;" child(ren)"&amp;IF(INDEX('Form Calc'!$K:$K,T129)&lt;&gt;""," · "&amp;INDEX('Form Calc'!$K:$K,T129),"")&amp;IF(INDEX('Form Calc'!$M:$M,T129)&lt;&gt;""," · “"&amp;INDEX('Form Calc'!$M:$M,T129)&amp;"”","")))</f>
        <v/>
      </c>
      <c r="R129" s="32">
        <f>SUBSTITUTE(SUBSTITUTE(SUBSTITUTE(SUBSTITUTE(SUBSTITUTE(SUBSTITUTE(SUBSTITUTE(SUBSTITUTE(D129&amp;""," ",""),"-",""),"(",""),")",""),".",""),"+",""),"/",""),CHAR(160),"")</f>
        <v/>
      </c>
      <c r="S129" s="32">
        <f>IF(LEN(R129)&gt;=10,RIGHT(R129,10),R129)</f>
        <v/>
      </c>
      <c r="T129" s="32">
        <f>IF(TRIM(A129&amp;"")="","",IF(S129&lt;&gt;"",IFERROR(MATCH(S129,'Form Calc'!$P:$P,0),IFERROR(MATCH(TRIM(A129&amp;""),'Form Calc'!$Q:$Q,0),"")),IFERROR(MATCH(TRIM(A129&amp;""),'Form Calc'!$Q:$Q,0),"")))</f>
        <v/>
      </c>
      <c r="U129" s="32">
        <f>IF(AND(T129&lt;&gt;"",TRIM(E129&amp;"")&lt;&gt;""),TRIM(E129&amp;""),"")</f>
        <v/>
      </c>
      <c r="V129" s="32">
        <f>IF(TRIM(A129&amp;"")="","",IF(T129&lt;&gt;"",T129,IF(TRIM(E129&amp;"")="","",IFERROR(INDEX($T$6:$T$505,MATCH(TRIM(E129&amp;""),$U$6:$U$505,0)),""))))</f>
        <v/>
      </c>
      <c r="W129" s="32">
        <f>IF(V129="","",INDEX('Form Calc'!$G:$G,V129))</f>
        <v/>
      </c>
      <c r="X129" s="32">
        <f>IF(TRIM(A129&amp;"")="","",IF(T129&lt;&gt;"",IF(INDEX('Form Calc'!$K:$K,T129)&lt;&gt;"",INDEX('Form Calc'!$K:$K,T129),J129&amp;""),J129&amp;""))</f>
        <v/>
      </c>
      <c r="Y129" s="32">
        <f>IF(TRIM(A129&amp;"")="","",IF(TRIM(D129&amp;"")&lt;&gt;"",TRIM(D129&amp;""),IF(T129&lt;&gt;"",INDEX('Form Calc'!$C:$C,T129)&amp;"","")))</f>
        <v/>
      </c>
      <c r="Z129" s="32">
        <f>SUBSTITUTE(SUBSTITUTE(SUBSTITUTE(SUBSTITUTE(SUBSTITUTE(SUBSTITUTE(SUBSTITUTE(SUBSTITUTE(Y129," ",""),"-",""),"(",""),")",""),".",""),"+",""),"/",""),CHAR(160),"")</f>
        <v/>
      </c>
      <c r="AA129" s="32">
        <f>IF(Z129="","",IF(LEN(Z129)=10,"+1"&amp;Z129,IF(AND(LEN(Z129)=11,LEFT(Z129,1)="1"),"+"&amp;Z129,IF(LEFT(Y129,1)="+","+"&amp;Z129,Z129))))</f>
        <v/>
      </c>
      <c r="AB129" s="32">
        <f>IF(TRIM(A129&amp;"")="","",IF(TRIM(M129&amp;"")&lt;&gt;"",TRIM(M129&amp;""),IFERROR(LEFT(TRIM(A129&amp;""),FIND(" ",TRIM(A129&amp;""))-1),TRIM(A129&amp;""))))</f>
        <v/>
      </c>
      <c r="AC129" s="32">
        <f>SUBSTITUTE(SUBSTITUTE(SUBSTITUTE(SUBSTITUTE(SUBSTITUTE(SUBSTITUTE(SUBSTITUTE(SUBSTITUTE(SUBSTITUTE(SUBSTITUTE(AB129,"%","%25"),"&amp;","%26"),"#","%23"),"+","%2B"),"=","%3D"),"?","%3F"),CHAR(34),"%22"),CHAR(10),"%0A"),CHAR(13),"")," ","+")</f>
        <v/>
      </c>
      <c r="AD129" s="32">
        <f>IF(OR(AA129="",AB129=""),"",'Start Here'!$B$20&amp;"#p="&amp;SUBSTITUTE(AA129,"+","%2B")&amp;"&amp;n="&amp;AC129&amp;"&amp;m="&amp;SUBSTITUTE('Start Here'!$B$24,"{name}",AC129))</f>
        <v/>
      </c>
      <c r="AE129" s="32">
        <f>LEN(AD129)</f>
        <v/>
      </c>
      <c r="AF129" s="32">
        <f>IF(AND(TRIM(A129&amp;"")&lt;&gt;"",OR(B129="Awaiting",B129="Not sure yet")),1,0)</f>
        <v/>
      </c>
      <c r="AG129" s="32">
        <f>N(AG128)+AF129</f>
        <v/>
      </c>
      <c r="AH129" s="32">
        <f>IF(AF129=1,AG129,"")</f>
        <v/>
      </c>
      <c r="AI129" s="32">
        <f>IF(AND(TRIM(A129&amp;"")&lt;&gt;"",L129&amp;""&lt;&gt;"",L129&amp;""=Seating!$I$3&amp;"",B129&lt;&gt;"Declined"),1,0)</f>
        <v/>
      </c>
      <c r="AJ129" s="32">
        <f>N(AJ128)+AI129</f>
        <v/>
      </c>
      <c r="AK129" s="32">
        <f>IF(AI129=1,AJ129,"")</f>
        <v/>
      </c>
    </row>
    <row r="130">
      <c r="A130" s="10" t="n"/>
      <c r="B130" s="47">
        <f>IF(TRIM(A130&amp;"")="","",IF(W130&lt;&gt;"",W130,IF(I130="","Awaiting",I130)))</f>
        <v/>
      </c>
      <c r="C130" s="60">
        <f>IF(OR(B130="Awaiting",B130="Not sure yet"),IF(AD130&lt;&gt;"",HYPERLINK(AD130,"💬 Remind"),"add mobile"),"")</f>
        <v/>
      </c>
      <c r="D130" s="58" t="n"/>
      <c r="E130" s="10" t="n"/>
      <c r="F130" s="10" t="n"/>
      <c r="G130" s="10" t="n"/>
      <c r="H130" s="10" t="n"/>
      <c r="I130" s="10" t="n"/>
      <c r="J130" s="10" t="n"/>
      <c r="K130" s="10" t="n"/>
      <c r="L130" s="56" t="n"/>
      <c r="M130" s="10" t="n"/>
      <c r="N130" s="12" t="n"/>
      <c r="O130" s="10" t="n"/>
      <c r="P130" s="10" t="n"/>
      <c r="Q130" s="61">
        <f>IF(V130="","",IF(T130="","Covered by "&amp;INDEX('Form Calc'!$B:$B,V130)&amp;"'s reply (same party)","Replied "&amp;TEXT(INDEX('Form Calc'!$A:$A,T130),"mm/dd")&amp;" · "&amp;INDEX('Form Calc'!$H:$H,T130)&amp;" adult(s), "&amp;INDEX('Form Calc'!$I:$I,T130)&amp;" child(ren)"&amp;IF(INDEX('Form Calc'!$K:$K,T130)&lt;&gt;""," · "&amp;INDEX('Form Calc'!$K:$K,T130),"")&amp;IF(INDEX('Form Calc'!$M:$M,T130)&lt;&gt;""," · “"&amp;INDEX('Form Calc'!$M:$M,T130)&amp;"”","")))</f>
        <v/>
      </c>
      <c r="R130" s="32">
        <f>SUBSTITUTE(SUBSTITUTE(SUBSTITUTE(SUBSTITUTE(SUBSTITUTE(SUBSTITUTE(SUBSTITUTE(SUBSTITUTE(D130&amp;""," ",""),"-",""),"(",""),")",""),".",""),"+",""),"/",""),CHAR(160),"")</f>
        <v/>
      </c>
      <c r="S130" s="32">
        <f>IF(LEN(R130)&gt;=10,RIGHT(R130,10),R130)</f>
        <v/>
      </c>
      <c r="T130" s="32">
        <f>IF(TRIM(A130&amp;"")="","",IF(S130&lt;&gt;"",IFERROR(MATCH(S130,'Form Calc'!$P:$P,0),IFERROR(MATCH(TRIM(A130&amp;""),'Form Calc'!$Q:$Q,0),"")),IFERROR(MATCH(TRIM(A130&amp;""),'Form Calc'!$Q:$Q,0),"")))</f>
        <v/>
      </c>
      <c r="U130" s="32">
        <f>IF(AND(T130&lt;&gt;"",TRIM(E130&amp;"")&lt;&gt;""),TRIM(E130&amp;""),"")</f>
        <v/>
      </c>
      <c r="V130" s="32">
        <f>IF(TRIM(A130&amp;"")="","",IF(T130&lt;&gt;"",T130,IF(TRIM(E130&amp;"")="","",IFERROR(INDEX($T$6:$T$505,MATCH(TRIM(E130&amp;""),$U$6:$U$505,0)),""))))</f>
        <v/>
      </c>
      <c r="W130" s="32">
        <f>IF(V130="","",INDEX('Form Calc'!$G:$G,V130))</f>
        <v/>
      </c>
      <c r="X130" s="32">
        <f>IF(TRIM(A130&amp;"")="","",IF(T130&lt;&gt;"",IF(INDEX('Form Calc'!$K:$K,T130)&lt;&gt;"",INDEX('Form Calc'!$K:$K,T130),J130&amp;""),J130&amp;""))</f>
        <v/>
      </c>
      <c r="Y130" s="32">
        <f>IF(TRIM(A130&amp;"")="","",IF(TRIM(D130&amp;"")&lt;&gt;"",TRIM(D130&amp;""),IF(T130&lt;&gt;"",INDEX('Form Calc'!$C:$C,T130)&amp;"","")))</f>
        <v/>
      </c>
      <c r="Z130" s="32">
        <f>SUBSTITUTE(SUBSTITUTE(SUBSTITUTE(SUBSTITUTE(SUBSTITUTE(SUBSTITUTE(SUBSTITUTE(SUBSTITUTE(Y130," ",""),"-",""),"(",""),")",""),".",""),"+",""),"/",""),CHAR(160),"")</f>
        <v/>
      </c>
      <c r="AA130" s="32">
        <f>IF(Z130="","",IF(LEN(Z130)=10,"+1"&amp;Z130,IF(AND(LEN(Z130)=11,LEFT(Z130,1)="1"),"+"&amp;Z130,IF(LEFT(Y130,1)="+","+"&amp;Z130,Z130))))</f>
        <v/>
      </c>
      <c r="AB130" s="32">
        <f>IF(TRIM(A130&amp;"")="","",IF(TRIM(M130&amp;"")&lt;&gt;"",TRIM(M130&amp;""),IFERROR(LEFT(TRIM(A130&amp;""),FIND(" ",TRIM(A130&amp;""))-1),TRIM(A130&amp;""))))</f>
        <v/>
      </c>
      <c r="AC130" s="32">
        <f>SUBSTITUTE(SUBSTITUTE(SUBSTITUTE(SUBSTITUTE(SUBSTITUTE(SUBSTITUTE(SUBSTITUTE(SUBSTITUTE(SUBSTITUTE(SUBSTITUTE(AB130,"%","%25"),"&amp;","%26"),"#","%23"),"+","%2B"),"=","%3D"),"?","%3F"),CHAR(34),"%22"),CHAR(10),"%0A"),CHAR(13),"")," ","+")</f>
        <v/>
      </c>
      <c r="AD130" s="32">
        <f>IF(OR(AA130="",AB130=""),"",'Start Here'!$B$20&amp;"#p="&amp;SUBSTITUTE(AA130,"+","%2B")&amp;"&amp;n="&amp;AC130&amp;"&amp;m="&amp;SUBSTITUTE('Start Here'!$B$24,"{name}",AC130))</f>
        <v/>
      </c>
      <c r="AE130" s="32">
        <f>LEN(AD130)</f>
        <v/>
      </c>
      <c r="AF130" s="32">
        <f>IF(AND(TRIM(A130&amp;"")&lt;&gt;"",OR(B130="Awaiting",B130="Not sure yet")),1,0)</f>
        <v/>
      </c>
      <c r="AG130" s="32">
        <f>N(AG129)+AF130</f>
        <v/>
      </c>
      <c r="AH130" s="32">
        <f>IF(AF130=1,AG130,"")</f>
        <v/>
      </c>
      <c r="AI130" s="32">
        <f>IF(AND(TRIM(A130&amp;"")&lt;&gt;"",L130&amp;""&lt;&gt;"",L130&amp;""=Seating!$I$3&amp;"",B130&lt;&gt;"Declined"),1,0)</f>
        <v/>
      </c>
      <c r="AJ130" s="32">
        <f>N(AJ129)+AI130</f>
        <v/>
      </c>
      <c r="AK130" s="32">
        <f>IF(AI130=1,AJ130,"")</f>
        <v/>
      </c>
    </row>
    <row r="131">
      <c r="A131" s="10" t="n"/>
      <c r="B131" s="47">
        <f>IF(TRIM(A131&amp;"")="","",IF(W131&lt;&gt;"",W131,IF(I131="","Awaiting",I131)))</f>
        <v/>
      </c>
      <c r="C131" s="60">
        <f>IF(OR(B131="Awaiting",B131="Not sure yet"),IF(AD131&lt;&gt;"",HYPERLINK(AD131,"💬 Remind"),"add mobile"),"")</f>
        <v/>
      </c>
      <c r="D131" s="58" t="n"/>
      <c r="E131" s="10" t="n"/>
      <c r="F131" s="10" t="n"/>
      <c r="G131" s="10" t="n"/>
      <c r="H131" s="10" t="n"/>
      <c r="I131" s="10" t="n"/>
      <c r="J131" s="10" t="n"/>
      <c r="K131" s="10" t="n"/>
      <c r="L131" s="56" t="n"/>
      <c r="M131" s="10" t="n"/>
      <c r="N131" s="12" t="n"/>
      <c r="O131" s="10" t="n"/>
      <c r="P131" s="10" t="n"/>
      <c r="Q131" s="61">
        <f>IF(V131="","",IF(T131="","Covered by "&amp;INDEX('Form Calc'!$B:$B,V131)&amp;"'s reply (same party)","Replied "&amp;TEXT(INDEX('Form Calc'!$A:$A,T131),"mm/dd")&amp;" · "&amp;INDEX('Form Calc'!$H:$H,T131)&amp;" adult(s), "&amp;INDEX('Form Calc'!$I:$I,T131)&amp;" child(ren)"&amp;IF(INDEX('Form Calc'!$K:$K,T131)&lt;&gt;""," · "&amp;INDEX('Form Calc'!$K:$K,T131),"")&amp;IF(INDEX('Form Calc'!$M:$M,T131)&lt;&gt;""," · “"&amp;INDEX('Form Calc'!$M:$M,T131)&amp;"”","")))</f>
        <v/>
      </c>
      <c r="R131" s="32">
        <f>SUBSTITUTE(SUBSTITUTE(SUBSTITUTE(SUBSTITUTE(SUBSTITUTE(SUBSTITUTE(SUBSTITUTE(SUBSTITUTE(D131&amp;""," ",""),"-",""),"(",""),")",""),".",""),"+",""),"/",""),CHAR(160),"")</f>
        <v/>
      </c>
      <c r="S131" s="32">
        <f>IF(LEN(R131)&gt;=10,RIGHT(R131,10),R131)</f>
        <v/>
      </c>
      <c r="T131" s="32">
        <f>IF(TRIM(A131&amp;"")="","",IF(S131&lt;&gt;"",IFERROR(MATCH(S131,'Form Calc'!$P:$P,0),IFERROR(MATCH(TRIM(A131&amp;""),'Form Calc'!$Q:$Q,0),"")),IFERROR(MATCH(TRIM(A131&amp;""),'Form Calc'!$Q:$Q,0),"")))</f>
        <v/>
      </c>
      <c r="U131" s="32">
        <f>IF(AND(T131&lt;&gt;"",TRIM(E131&amp;"")&lt;&gt;""),TRIM(E131&amp;""),"")</f>
        <v/>
      </c>
      <c r="V131" s="32">
        <f>IF(TRIM(A131&amp;"")="","",IF(T131&lt;&gt;"",T131,IF(TRIM(E131&amp;"")="","",IFERROR(INDEX($T$6:$T$505,MATCH(TRIM(E131&amp;""),$U$6:$U$505,0)),""))))</f>
        <v/>
      </c>
      <c r="W131" s="32">
        <f>IF(V131="","",INDEX('Form Calc'!$G:$G,V131))</f>
        <v/>
      </c>
      <c r="X131" s="32">
        <f>IF(TRIM(A131&amp;"")="","",IF(T131&lt;&gt;"",IF(INDEX('Form Calc'!$K:$K,T131)&lt;&gt;"",INDEX('Form Calc'!$K:$K,T131),J131&amp;""),J131&amp;""))</f>
        <v/>
      </c>
      <c r="Y131" s="32">
        <f>IF(TRIM(A131&amp;"")="","",IF(TRIM(D131&amp;"")&lt;&gt;"",TRIM(D131&amp;""),IF(T131&lt;&gt;"",INDEX('Form Calc'!$C:$C,T131)&amp;"","")))</f>
        <v/>
      </c>
      <c r="Z131" s="32">
        <f>SUBSTITUTE(SUBSTITUTE(SUBSTITUTE(SUBSTITUTE(SUBSTITUTE(SUBSTITUTE(SUBSTITUTE(SUBSTITUTE(Y131," ",""),"-",""),"(",""),")",""),".",""),"+",""),"/",""),CHAR(160),"")</f>
        <v/>
      </c>
      <c r="AA131" s="32">
        <f>IF(Z131="","",IF(LEN(Z131)=10,"+1"&amp;Z131,IF(AND(LEN(Z131)=11,LEFT(Z131,1)="1"),"+"&amp;Z131,IF(LEFT(Y131,1)="+","+"&amp;Z131,Z131))))</f>
        <v/>
      </c>
      <c r="AB131" s="32">
        <f>IF(TRIM(A131&amp;"")="","",IF(TRIM(M131&amp;"")&lt;&gt;"",TRIM(M131&amp;""),IFERROR(LEFT(TRIM(A131&amp;""),FIND(" ",TRIM(A131&amp;""))-1),TRIM(A131&amp;""))))</f>
        <v/>
      </c>
      <c r="AC131" s="32">
        <f>SUBSTITUTE(SUBSTITUTE(SUBSTITUTE(SUBSTITUTE(SUBSTITUTE(SUBSTITUTE(SUBSTITUTE(SUBSTITUTE(SUBSTITUTE(SUBSTITUTE(AB131,"%","%25"),"&amp;","%26"),"#","%23"),"+","%2B"),"=","%3D"),"?","%3F"),CHAR(34),"%22"),CHAR(10),"%0A"),CHAR(13),"")," ","+")</f>
        <v/>
      </c>
      <c r="AD131" s="32">
        <f>IF(OR(AA131="",AB131=""),"",'Start Here'!$B$20&amp;"#p="&amp;SUBSTITUTE(AA131,"+","%2B")&amp;"&amp;n="&amp;AC131&amp;"&amp;m="&amp;SUBSTITUTE('Start Here'!$B$24,"{name}",AC131))</f>
        <v/>
      </c>
      <c r="AE131" s="32">
        <f>LEN(AD131)</f>
        <v/>
      </c>
      <c r="AF131" s="32">
        <f>IF(AND(TRIM(A131&amp;"")&lt;&gt;"",OR(B131="Awaiting",B131="Not sure yet")),1,0)</f>
        <v/>
      </c>
      <c r="AG131" s="32">
        <f>N(AG130)+AF131</f>
        <v/>
      </c>
      <c r="AH131" s="32">
        <f>IF(AF131=1,AG131,"")</f>
        <v/>
      </c>
      <c r="AI131" s="32">
        <f>IF(AND(TRIM(A131&amp;"")&lt;&gt;"",L131&amp;""&lt;&gt;"",L131&amp;""=Seating!$I$3&amp;"",B131&lt;&gt;"Declined"),1,0)</f>
        <v/>
      </c>
      <c r="AJ131" s="32">
        <f>N(AJ130)+AI131</f>
        <v/>
      </c>
      <c r="AK131" s="32">
        <f>IF(AI131=1,AJ131,"")</f>
        <v/>
      </c>
    </row>
    <row r="132">
      <c r="A132" s="10" t="n"/>
      <c r="B132" s="47">
        <f>IF(TRIM(A132&amp;"")="","",IF(W132&lt;&gt;"",W132,IF(I132="","Awaiting",I132)))</f>
        <v/>
      </c>
      <c r="C132" s="60">
        <f>IF(OR(B132="Awaiting",B132="Not sure yet"),IF(AD132&lt;&gt;"",HYPERLINK(AD132,"💬 Remind"),"add mobile"),"")</f>
        <v/>
      </c>
      <c r="D132" s="58" t="n"/>
      <c r="E132" s="10" t="n"/>
      <c r="F132" s="10" t="n"/>
      <c r="G132" s="10" t="n"/>
      <c r="H132" s="10" t="n"/>
      <c r="I132" s="10" t="n"/>
      <c r="J132" s="10" t="n"/>
      <c r="K132" s="10" t="n"/>
      <c r="L132" s="56" t="n"/>
      <c r="M132" s="10" t="n"/>
      <c r="N132" s="12" t="n"/>
      <c r="O132" s="10" t="n"/>
      <c r="P132" s="10" t="n"/>
      <c r="Q132" s="61">
        <f>IF(V132="","",IF(T132="","Covered by "&amp;INDEX('Form Calc'!$B:$B,V132)&amp;"'s reply (same party)","Replied "&amp;TEXT(INDEX('Form Calc'!$A:$A,T132),"mm/dd")&amp;" · "&amp;INDEX('Form Calc'!$H:$H,T132)&amp;" adult(s), "&amp;INDEX('Form Calc'!$I:$I,T132)&amp;" child(ren)"&amp;IF(INDEX('Form Calc'!$K:$K,T132)&lt;&gt;""," · "&amp;INDEX('Form Calc'!$K:$K,T132),"")&amp;IF(INDEX('Form Calc'!$M:$M,T132)&lt;&gt;""," · “"&amp;INDEX('Form Calc'!$M:$M,T132)&amp;"”","")))</f>
        <v/>
      </c>
      <c r="R132" s="32">
        <f>SUBSTITUTE(SUBSTITUTE(SUBSTITUTE(SUBSTITUTE(SUBSTITUTE(SUBSTITUTE(SUBSTITUTE(SUBSTITUTE(D132&amp;""," ",""),"-",""),"(",""),")",""),".",""),"+",""),"/",""),CHAR(160),"")</f>
        <v/>
      </c>
      <c r="S132" s="32">
        <f>IF(LEN(R132)&gt;=10,RIGHT(R132,10),R132)</f>
        <v/>
      </c>
      <c r="T132" s="32">
        <f>IF(TRIM(A132&amp;"")="","",IF(S132&lt;&gt;"",IFERROR(MATCH(S132,'Form Calc'!$P:$P,0),IFERROR(MATCH(TRIM(A132&amp;""),'Form Calc'!$Q:$Q,0),"")),IFERROR(MATCH(TRIM(A132&amp;""),'Form Calc'!$Q:$Q,0),"")))</f>
        <v/>
      </c>
      <c r="U132" s="32">
        <f>IF(AND(T132&lt;&gt;"",TRIM(E132&amp;"")&lt;&gt;""),TRIM(E132&amp;""),"")</f>
        <v/>
      </c>
      <c r="V132" s="32">
        <f>IF(TRIM(A132&amp;"")="","",IF(T132&lt;&gt;"",T132,IF(TRIM(E132&amp;"")="","",IFERROR(INDEX($T$6:$T$505,MATCH(TRIM(E132&amp;""),$U$6:$U$505,0)),""))))</f>
        <v/>
      </c>
      <c r="W132" s="32">
        <f>IF(V132="","",INDEX('Form Calc'!$G:$G,V132))</f>
        <v/>
      </c>
      <c r="X132" s="32">
        <f>IF(TRIM(A132&amp;"")="","",IF(T132&lt;&gt;"",IF(INDEX('Form Calc'!$K:$K,T132)&lt;&gt;"",INDEX('Form Calc'!$K:$K,T132),J132&amp;""),J132&amp;""))</f>
        <v/>
      </c>
      <c r="Y132" s="32">
        <f>IF(TRIM(A132&amp;"")="","",IF(TRIM(D132&amp;"")&lt;&gt;"",TRIM(D132&amp;""),IF(T132&lt;&gt;"",INDEX('Form Calc'!$C:$C,T132)&amp;"","")))</f>
        <v/>
      </c>
      <c r="Z132" s="32">
        <f>SUBSTITUTE(SUBSTITUTE(SUBSTITUTE(SUBSTITUTE(SUBSTITUTE(SUBSTITUTE(SUBSTITUTE(SUBSTITUTE(Y132," ",""),"-",""),"(",""),")",""),".",""),"+",""),"/",""),CHAR(160),"")</f>
        <v/>
      </c>
      <c r="AA132" s="32">
        <f>IF(Z132="","",IF(LEN(Z132)=10,"+1"&amp;Z132,IF(AND(LEN(Z132)=11,LEFT(Z132,1)="1"),"+"&amp;Z132,IF(LEFT(Y132,1)="+","+"&amp;Z132,Z132))))</f>
        <v/>
      </c>
      <c r="AB132" s="32">
        <f>IF(TRIM(A132&amp;"")="","",IF(TRIM(M132&amp;"")&lt;&gt;"",TRIM(M132&amp;""),IFERROR(LEFT(TRIM(A132&amp;""),FIND(" ",TRIM(A132&amp;""))-1),TRIM(A132&amp;""))))</f>
        <v/>
      </c>
      <c r="AC132" s="32">
        <f>SUBSTITUTE(SUBSTITUTE(SUBSTITUTE(SUBSTITUTE(SUBSTITUTE(SUBSTITUTE(SUBSTITUTE(SUBSTITUTE(SUBSTITUTE(SUBSTITUTE(AB132,"%","%25"),"&amp;","%26"),"#","%23"),"+","%2B"),"=","%3D"),"?","%3F"),CHAR(34),"%22"),CHAR(10),"%0A"),CHAR(13),"")," ","+")</f>
        <v/>
      </c>
      <c r="AD132" s="32">
        <f>IF(OR(AA132="",AB132=""),"",'Start Here'!$B$20&amp;"#p="&amp;SUBSTITUTE(AA132,"+","%2B")&amp;"&amp;n="&amp;AC132&amp;"&amp;m="&amp;SUBSTITUTE('Start Here'!$B$24,"{name}",AC132))</f>
        <v/>
      </c>
      <c r="AE132" s="32">
        <f>LEN(AD132)</f>
        <v/>
      </c>
      <c r="AF132" s="32">
        <f>IF(AND(TRIM(A132&amp;"")&lt;&gt;"",OR(B132="Awaiting",B132="Not sure yet")),1,0)</f>
        <v/>
      </c>
      <c r="AG132" s="32">
        <f>N(AG131)+AF132</f>
        <v/>
      </c>
      <c r="AH132" s="32">
        <f>IF(AF132=1,AG132,"")</f>
        <v/>
      </c>
      <c r="AI132" s="32">
        <f>IF(AND(TRIM(A132&amp;"")&lt;&gt;"",L132&amp;""&lt;&gt;"",L132&amp;""=Seating!$I$3&amp;"",B132&lt;&gt;"Declined"),1,0)</f>
        <v/>
      </c>
      <c r="AJ132" s="32">
        <f>N(AJ131)+AI132</f>
        <v/>
      </c>
      <c r="AK132" s="32">
        <f>IF(AI132=1,AJ132,"")</f>
        <v/>
      </c>
    </row>
    <row r="133">
      <c r="A133" s="10" t="n"/>
      <c r="B133" s="47">
        <f>IF(TRIM(A133&amp;"")="","",IF(W133&lt;&gt;"",W133,IF(I133="","Awaiting",I133)))</f>
        <v/>
      </c>
      <c r="C133" s="60">
        <f>IF(OR(B133="Awaiting",B133="Not sure yet"),IF(AD133&lt;&gt;"",HYPERLINK(AD133,"💬 Remind"),"add mobile"),"")</f>
        <v/>
      </c>
      <c r="D133" s="58" t="n"/>
      <c r="E133" s="10" t="n"/>
      <c r="F133" s="10" t="n"/>
      <c r="G133" s="10" t="n"/>
      <c r="H133" s="10" t="n"/>
      <c r="I133" s="10" t="n"/>
      <c r="J133" s="10" t="n"/>
      <c r="K133" s="10" t="n"/>
      <c r="L133" s="56" t="n"/>
      <c r="M133" s="10" t="n"/>
      <c r="N133" s="12" t="n"/>
      <c r="O133" s="10" t="n"/>
      <c r="P133" s="10" t="n"/>
      <c r="Q133" s="61">
        <f>IF(V133="","",IF(T133="","Covered by "&amp;INDEX('Form Calc'!$B:$B,V133)&amp;"'s reply (same party)","Replied "&amp;TEXT(INDEX('Form Calc'!$A:$A,T133),"mm/dd")&amp;" · "&amp;INDEX('Form Calc'!$H:$H,T133)&amp;" adult(s), "&amp;INDEX('Form Calc'!$I:$I,T133)&amp;" child(ren)"&amp;IF(INDEX('Form Calc'!$K:$K,T133)&lt;&gt;""," · "&amp;INDEX('Form Calc'!$K:$K,T133),"")&amp;IF(INDEX('Form Calc'!$M:$M,T133)&lt;&gt;""," · “"&amp;INDEX('Form Calc'!$M:$M,T133)&amp;"”","")))</f>
        <v/>
      </c>
      <c r="R133" s="32">
        <f>SUBSTITUTE(SUBSTITUTE(SUBSTITUTE(SUBSTITUTE(SUBSTITUTE(SUBSTITUTE(SUBSTITUTE(SUBSTITUTE(D133&amp;""," ",""),"-",""),"(",""),")",""),".",""),"+",""),"/",""),CHAR(160),"")</f>
        <v/>
      </c>
      <c r="S133" s="32">
        <f>IF(LEN(R133)&gt;=10,RIGHT(R133,10),R133)</f>
        <v/>
      </c>
      <c r="T133" s="32">
        <f>IF(TRIM(A133&amp;"")="","",IF(S133&lt;&gt;"",IFERROR(MATCH(S133,'Form Calc'!$P:$P,0),IFERROR(MATCH(TRIM(A133&amp;""),'Form Calc'!$Q:$Q,0),"")),IFERROR(MATCH(TRIM(A133&amp;""),'Form Calc'!$Q:$Q,0),"")))</f>
        <v/>
      </c>
      <c r="U133" s="32">
        <f>IF(AND(T133&lt;&gt;"",TRIM(E133&amp;"")&lt;&gt;""),TRIM(E133&amp;""),"")</f>
        <v/>
      </c>
      <c r="V133" s="32">
        <f>IF(TRIM(A133&amp;"")="","",IF(T133&lt;&gt;"",T133,IF(TRIM(E133&amp;"")="","",IFERROR(INDEX($T$6:$T$505,MATCH(TRIM(E133&amp;""),$U$6:$U$505,0)),""))))</f>
        <v/>
      </c>
      <c r="W133" s="32">
        <f>IF(V133="","",INDEX('Form Calc'!$G:$G,V133))</f>
        <v/>
      </c>
      <c r="X133" s="32">
        <f>IF(TRIM(A133&amp;"")="","",IF(T133&lt;&gt;"",IF(INDEX('Form Calc'!$K:$K,T133)&lt;&gt;"",INDEX('Form Calc'!$K:$K,T133),J133&amp;""),J133&amp;""))</f>
        <v/>
      </c>
      <c r="Y133" s="32">
        <f>IF(TRIM(A133&amp;"")="","",IF(TRIM(D133&amp;"")&lt;&gt;"",TRIM(D133&amp;""),IF(T133&lt;&gt;"",INDEX('Form Calc'!$C:$C,T133)&amp;"","")))</f>
        <v/>
      </c>
      <c r="Z133" s="32">
        <f>SUBSTITUTE(SUBSTITUTE(SUBSTITUTE(SUBSTITUTE(SUBSTITUTE(SUBSTITUTE(SUBSTITUTE(SUBSTITUTE(Y133," ",""),"-",""),"(",""),")",""),".",""),"+",""),"/",""),CHAR(160),"")</f>
        <v/>
      </c>
      <c r="AA133" s="32">
        <f>IF(Z133="","",IF(LEN(Z133)=10,"+1"&amp;Z133,IF(AND(LEN(Z133)=11,LEFT(Z133,1)="1"),"+"&amp;Z133,IF(LEFT(Y133,1)="+","+"&amp;Z133,Z133))))</f>
        <v/>
      </c>
      <c r="AB133" s="32">
        <f>IF(TRIM(A133&amp;"")="","",IF(TRIM(M133&amp;"")&lt;&gt;"",TRIM(M133&amp;""),IFERROR(LEFT(TRIM(A133&amp;""),FIND(" ",TRIM(A133&amp;""))-1),TRIM(A133&amp;""))))</f>
        <v/>
      </c>
      <c r="AC133" s="32">
        <f>SUBSTITUTE(SUBSTITUTE(SUBSTITUTE(SUBSTITUTE(SUBSTITUTE(SUBSTITUTE(SUBSTITUTE(SUBSTITUTE(SUBSTITUTE(SUBSTITUTE(AB133,"%","%25"),"&amp;","%26"),"#","%23"),"+","%2B"),"=","%3D"),"?","%3F"),CHAR(34),"%22"),CHAR(10),"%0A"),CHAR(13),"")," ","+")</f>
        <v/>
      </c>
      <c r="AD133" s="32">
        <f>IF(OR(AA133="",AB133=""),"",'Start Here'!$B$20&amp;"#p="&amp;SUBSTITUTE(AA133,"+","%2B")&amp;"&amp;n="&amp;AC133&amp;"&amp;m="&amp;SUBSTITUTE('Start Here'!$B$24,"{name}",AC133))</f>
        <v/>
      </c>
      <c r="AE133" s="32">
        <f>LEN(AD133)</f>
        <v/>
      </c>
      <c r="AF133" s="32">
        <f>IF(AND(TRIM(A133&amp;"")&lt;&gt;"",OR(B133="Awaiting",B133="Not sure yet")),1,0)</f>
        <v/>
      </c>
      <c r="AG133" s="32">
        <f>N(AG132)+AF133</f>
        <v/>
      </c>
      <c r="AH133" s="32">
        <f>IF(AF133=1,AG133,"")</f>
        <v/>
      </c>
      <c r="AI133" s="32">
        <f>IF(AND(TRIM(A133&amp;"")&lt;&gt;"",L133&amp;""&lt;&gt;"",L133&amp;""=Seating!$I$3&amp;"",B133&lt;&gt;"Declined"),1,0)</f>
        <v/>
      </c>
      <c r="AJ133" s="32">
        <f>N(AJ132)+AI133</f>
        <v/>
      </c>
      <c r="AK133" s="32">
        <f>IF(AI133=1,AJ133,"")</f>
        <v/>
      </c>
    </row>
    <row r="134">
      <c r="A134" s="10" t="n"/>
      <c r="B134" s="47">
        <f>IF(TRIM(A134&amp;"")="","",IF(W134&lt;&gt;"",W134,IF(I134="","Awaiting",I134)))</f>
        <v/>
      </c>
      <c r="C134" s="60">
        <f>IF(OR(B134="Awaiting",B134="Not sure yet"),IF(AD134&lt;&gt;"",HYPERLINK(AD134,"💬 Remind"),"add mobile"),"")</f>
        <v/>
      </c>
      <c r="D134" s="58" t="n"/>
      <c r="E134" s="10" t="n"/>
      <c r="F134" s="10" t="n"/>
      <c r="G134" s="10" t="n"/>
      <c r="H134" s="10" t="n"/>
      <c r="I134" s="10" t="n"/>
      <c r="J134" s="10" t="n"/>
      <c r="K134" s="10" t="n"/>
      <c r="L134" s="56" t="n"/>
      <c r="M134" s="10" t="n"/>
      <c r="N134" s="12" t="n"/>
      <c r="O134" s="10" t="n"/>
      <c r="P134" s="10" t="n"/>
      <c r="Q134" s="61">
        <f>IF(V134="","",IF(T134="","Covered by "&amp;INDEX('Form Calc'!$B:$B,V134)&amp;"'s reply (same party)","Replied "&amp;TEXT(INDEX('Form Calc'!$A:$A,T134),"mm/dd")&amp;" · "&amp;INDEX('Form Calc'!$H:$H,T134)&amp;" adult(s), "&amp;INDEX('Form Calc'!$I:$I,T134)&amp;" child(ren)"&amp;IF(INDEX('Form Calc'!$K:$K,T134)&lt;&gt;""," · "&amp;INDEX('Form Calc'!$K:$K,T134),"")&amp;IF(INDEX('Form Calc'!$M:$M,T134)&lt;&gt;""," · “"&amp;INDEX('Form Calc'!$M:$M,T134)&amp;"”","")))</f>
        <v/>
      </c>
      <c r="R134" s="32">
        <f>SUBSTITUTE(SUBSTITUTE(SUBSTITUTE(SUBSTITUTE(SUBSTITUTE(SUBSTITUTE(SUBSTITUTE(SUBSTITUTE(D134&amp;""," ",""),"-",""),"(",""),")",""),".",""),"+",""),"/",""),CHAR(160),"")</f>
        <v/>
      </c>
      <c r="S134" s="32">
        <f>IF(LEN(R134)&gt;=10,RIGHT(R134,10),R134)</f>
        <v/>
      </c>
      <c r="T134" s="32">
        <f>IF(TRIM(A134&amp;"")="","",IF(S134&lt;&gt;"",IFERROR(MATCH(S134,'Form Calc'!$P:$P,0),IFERROR(MATCH(TRIM(A134&amp;""),'Form Calc'!$Q:$Q,0),"")),IFERROR(MATCH(TRIM(A134&amp;""),'Form Calc'!$Q:$Q,0),"")))</f>
        <v/>
      </c>
      <c r="U134" s="32">
        <f>IF(AND(T134&lt;&gt;"",TRIM(E134&amp;"")&lt;&gt;""),TRIM(E134&amp;""),"")</f>
        <v/>
      </c>
      <c r="V134" s="32">
        <f>IF(TRIM(A134&amp;"")="","",IF(T134&lt;&gt;"",T134,IF(TRIM(E134&amp;"")="","",IFERROR(INDEX($T$6:$T$505,MATCH(TRIM(E134&amp;""),$U$6:$U$505,0)),""))))</f>
        <v/>
      </c>
      <c r="W134" s="32">
        <f>IF(V134="","",INDEX('Form Calc'!$G:$G,V134))</f>
        <v/>
      </c>
      <c r="X134" s="32">
        <f>IF(TRIM(A134&amp;"")="","",IF(T134&lt;&gt;"",IF(INDEX('Form Calc'!$K:$K,T134)&lt;&gt;"",INDEX('Form Calc'!$K:$K,T134),J134&amp;""),J134&amp;""))</f>
        <v/>
      </c>
      <c r="Y134" s="32">
        <f>IF(TRIM(A134&amp;"")="","",IF(TRIM(D134&amp;"")&lt;&gt;"",TRIM(D134&amp;""),IF(T134&lt;&gt;"",INDEX('Form Calc'!$C:$C,T134)&amp;"","")))</f>
        <v/>
      </c>
      <c r="Z134" s="32">
        <f>SUBSTITUTE(SUBSTITUTE(SUBSTITUTE(SUBSTITUTE(SUBSTITUTE(SUBSTITUTE(SUBSTITUTE(SUBSTITUTE(Y134," ",""),"-",""),"(",""),")",""),".",""),"+",""),"/",""),CHAR(160),"")</f>
        <v/>
      </c>
      <c r="AA134" s="32">
        <f>IF(Z134="","",IF(LEN(Z134)=10,"+1"&amp;Z134,IF(AND(LEN(Z134)=11,LEFT(Z134,1)="1"),"+"&amp;Z134,IF(LEFT(Y134,1)="+","+"&amp;Z134,Z134))))</f>
        <v/>
      </c>
      <c r="AB134" s="32">
        <f>IF(TRIM(A134&amp;"")="","",IF(TRIM(M134&amp;"")&lt;&gt;"",TRIM(M134&amp;""),IFERROR(LEFT(TRIM(A134&amp;""),FIND(" ",TRIM(A134&amp;""))-1),TRIM(A134&amp;""))))</f>
        <v/>
      </c>
      <c r="AC134" s="32">
        <f>SUBSTITUTE(SUBSTITUTE(SUBSTITUTE(SUBSTITUTE(SUBSTITUTE(SUBSTITUTE(SUBSTITUTE(SUBSTITUTE(SUBSTITUTE(SUBSTITUTE(AB134,"%","%25"),"&amp;","%26"),"#","%23"),"+","%2B"),"=","%3D"),"?","%3F"),CHAR(34),"%22"),CHAR(10),"%0A"),CHAR(13),"")," ","+")</f>
        <v/>
      </c>
      <c r="AD134" s="32">
        <f>IF(OR(AA134="",AB134=""),"",'Start Here'!$B$20&amp;"#p="&amp;SUBSTITUTE(AA134,"+","%2B")&amp;"&amp;n="&amp;AC134&amp;"&amp;m="&amp;SUBSTITUTE('Start Here'!$B$24,"{name}",AC134))</f>
        <v/>
      </c>
      <c r="AE134" s="32">
        <f>LEN(AD134)</f>
        <v/>
      </c>
      <c r="AF134" s="32">
        <f>IF(AND(TRIM(A134&amp;"")&lt;&gt;"",OR(B134="Awaiting",B134="Not sure yet")),1,0)</f>
        <v/>
      </c>
      <c r="AG134" s="32">
        <f>N(AG133)+AF134</f>
        <v/>
      </c>
      <c r="AH134" s="32">
        <f>IF(AF134=1,AG134,"")</f>
        <v/>
      </c>
      <c r="AI134" s="32">
        <f>IF(AND(TRIM(A134&amp;"")&lt;&gt;"",L134&amp;""&lt;&gt;"",L134&amp;""=Seating!$I$3&amp;"",B134&lt;&gt;"Declined"),1,0)</f>
        <v/>
      </c>
      <c r="AJ134" s="32">
        <f>N(AJ133)+AI134</f>
        <v/>
      </c>
      <c r="AK134" s="32">
        <f>IF(AI134=1,AJ134,"")</f>
        <v/>
      </c>
    </row>
    <row r="135">
      <c r="A135" s="10" t="n"/>
      <c r="B135" s="47">
        <f>IF(TRIM(A135&amp;"")="","",IF(W135&lt;&gt;"",W135,IF(I135="","Awaiting",I135)))</f>
        <v/>
      </c>
      <c r="C135" s="60">
        <f>IF(OR(B135="Awaiting",B135="Not sure yet"),IF(AD135&lt;&gt;"",HYPERLINK(AD135,"💬 Remind"),"add mobile"),"")</f>
        <v/>
      </c>
      <c r="D135" s="58" t="n"/>
      <c r="E135" s="10" t="n"/>
      <c r="F135" s="10" t="n"/>
      <c r="G135" s="10" t="n"/>
      <c r="H135" s="10" t="n"/>
      <c r="I135" s="10" t="n"/>
      <c r="J135" s="10" t="n"/>
      <c r="K135" s="10" t="n"/>
      <c r="L135" s="56" t="n"/>
      <c r="M135" s="10" t="n"/>
      <c r="N135" s="12" t="n"/>
      <c r="O135" s="10" t="n"/>
      <c r="P135" s="10" t="n"/>
      <c r="Q135" s="61">
        <f>IF(V135="","",IF(T135="","Covered by "&amp;INDEX('Form Calc'!$B:$B,V135)&amp;"'s reply (same party)","Replied "&amp;TEXT(INDEX('Form Calc'!$A:$A,T135),"mm/dd")&amp;" · "&amp;INDEX('Form Calc'!$H:$H,T135)&amp;" adult(s), "&amp;INDEX('Form Calc'!$I:$I,T135)&amp;" child(ren)"&amp;IF(INDEX('Form Calc'!$K:$K,T135)&lt;&gt;""," · "&amp;INDEX('Form Calc'!$K:$K,T135),"")&amp;IF(INDEX('Form Calc'!$M:$M,T135)&lt;&gt;""," · “"&amp;INDEX('Form Calc'!$M:$M,T135)&amp;"”","")))</f>
        <v/>
      </c>
      <c r="R135" s="32">
        <f>SUBSTITUTE(SUBSTITUTE(SUBSTITUTE(SUBSTITUTE(SUBSTITUTE(SUBSTITUTE(SUBSTITUTE(SUBSTITUTE(D135&amp;""," ",""),"-",""),"(",""),")",""),".",""),"+",""),"/",""),CHAR(160),"")</f>
        <v/>
      </c>
      <c r="S135" s="32">
        <f>IF(LEN(R135)&gt;=10,RIGHT(R135,10),R135)</f>
        <v/>
      </c>
      <c r="T135" s="32">
        <f>IF(TRIM(A135&amp;"")="","",IF(S135&lt;&gt;"",IFERROR(MATCH(S135,'Form Calc'!$P:$P,0),IFERROR(MATCH(TRIM(A135&amp;""),'Form Calc'!$Q:$Q,0),"")),IFERROR(MATCH(TRIM(A135&amp;""),'Form Calc'!$Q:$Q,0),"")))</f>
        <v/>
      </c>
      <c r="U135" s="32">
        <f>IF(AND(T135&lt;&gt;"",TRIM(E135&amp;"")&lt;&gt;""),TRIM(E135&amp;""),"")</f>
        <v/>
      </c>
      <c r="V135" s="32">
        <f>IF(TRIM(A135&amp;"")="","",IF(T135&lt;&gt;"",T135,IF(TRIM(E135&amp;"")="","",IFERROR(INDEX($T$6:$T$505,MATCH(TRIM(E135&amp;""),$U$6:$U$505,0)),""))))</f>
        <v/>
      </c>
      <c r="W135" s="32">
        <f>IF(V135="","",INDEX('Form Calc'!$G:$G,V135))</f>
        <v/>
      </c>
      <c r="X135" s="32">
        <f>IF(TRIM(A135&amp;"")="","",IF(T135&lt;&gt;"",IF(INDEX('Form Calc'!$K:$K,T135)&lt;&gt;"",INDEX('Form Calc'!$K:$K,T135),J135&amp;""),J135&amp;""))</f>
        <v/>
      </c>
      <c r="Y135" s="32">
        <f>IF(TRIM(A135&amp;"")="","",IF(TRIM(D135&amp;"")&lt;&gt;"",TRIM(D135&amp;""),IF(T135&lt;&gt;"",INDEX('Form Calc'!$C:$C,T135)&amp;"","")))</f>
        <v/>
      </c>
      <c r="Z135" s="32">
        <f>SUBSTITUTE(SUBSTITUTE(SUBSTITUTE(SUBSTITUTE(SUBSTITUTE(SUBSTITUTE(SUBSTITUTE(SUBSTITUTE(Y135," ",""),"-",""),"(",""),")",""),".",""),"+",""),"/",""),CHAR(160),"")</f>
        <v/>
      </c>
      <c r="AA135" s="32">
        <f>IF(Z135="","",IF(LEN(Z135)=10,"+1"&amp;Z135,IF(AND(LEN(Z135)=11,LEFT(Z135,1)="1"),"+"&amp;Z135,IF(LEFT(Y135,1)="+","+"&amp;Z135,Z135))))</f>
        <v/>
      </c>
      <c r="AB135" s="32">
        <f>IF(TRIM(A135&amp;"")="","",IF(TRIM(M135&amp;"")&lt;&gt;"",TRIM(M135&amp;""),IFERROR(LEFT(TRIM(A135&amp;""),FIND(" ",TRIM(A135&amp;""))-1),TRIM(A135&amp;""))))</f>
        <v/>
      </c>
      <c r="AC135" s="32">
        <f>SUBSTITUTE(SUBSTITUTE(SUBSTITUTE(SUBSTITUTE(SUBSTITUTE(SUBSTITUTE(SUBSTITUTE(SUBSTITUTE(SUBSTITUTE(SUBSTITUTE(AB135,"%","%25"),"&amp;","%26"),"#","%23"),"+","%2B"),"=","%3D"),"?","%3F"),CHAR(34),"%22"),CHAR(10),"%0A"),CHAR(13),"")," ","+")</f>
        <v/>
      </c>
      <c r="AD135" s="32">
        <f>IF(OR(AA135="",AB135=""),"",'Start Here'!$B$20&amp;"#p="&amp;SUBSTITUTE(AA135,"+","%2B")&amp;"&amp;n="&amp;AC135&amp;"&amp;m="&amp;SUBSTITUTE('Start Here'!$B$24,"{name}",AC135))</f>
        <v/>
      </c>
      <c r="AE135" s="32">
        <f>LEN(AD135)</f>
        <v/>
      </c>
      <c r="AF135" s="32">
        <f>IF(AND(TRIM(A135&amp;"")&lt;&gt;"",OR(B135="Awaiting",B135="Not sure yet")),1,0)</f>
        <v/>
      </c>
      <c r="AG135" s="32">
        <f>N(AG134)+AF135</f>
        <v/>
      </c>
      <c r="AH135" s="32">
        <f>IF(AF135=1,AG135,"")</f>
        <v/>
      </c>
      <c r="AI135" s="32">
        <f>IF(AND(TRIM(A135&amp;"")&lt;&gt;"",L135&amp;""&lt;&gt;"",L135&amp;""=Seating!$I$3&amp;"",B135&lt;&gt;"Declined"),1,0)</f>
        <v/>
      </c>
      <c r="AJ135" s="32">
        <f>N(AJ134)+AI135</f>
        <v/>
      </c>
      <c r="AK135" s="32">
        <f>IF(AI135=1,AJ135,"")</f>
        <v/>
      </c>
    </row>
    <row r="136">
      <c r="A136" s="10" t="n"/>
      <c r="B136" s="47">
        <f>IF(TRIM(A136&amp;"")="","",IF(W136&lt;&gt;"",W136,IF(I136="","Awaiting",I136)))</f>
        <v/>
      </c>
      <c r="C136" s="60">
        <f>IF(OR(B136="Awaiting",B136="Not sure yet"),IF(AD136&lt;&gt;"",HYPERLINK(AD136,"💬 Remind"),"add mobile"),"")</f>
        <v/>
      </c>
      <c r="D136" s="58" t="n"/>
      <c r="E136" s="10" t="n"/>
      <c r="F136" s="10" t="n"/>
      <c r="G136" s="10" t="n"/>
      <c r="H136" s="10" t="n"/>
      <c r="I136" s="10" t="n"/>
      <c r="J136" s="10" t="n"/>
      <c r="K136" s="10" t="n"/>
      <c r="L136" s="56" t="n"/>
      <c r="M136" s="10" t="n"/>
      <c r="N136" s="12" t="n"/>
      <c r="O136" s="10" t="n"/>
      <c r="P136" s="10" t="n"/>
      <c r="Q136" s="61">
        <f>IF(V136="","",IF(T136="","Covered by "&amp;INDEX('Form Calc'!$B:$B,V136)&amp;"'s reply (same party)","Replied "&amp;TEXT(INDEX('Form Calc'!$A:$A,T136),"mm/dd")&amp;" · "&amp;INDEX('Form Calc'!$H:$H,T136)&amp;" adult(s), "&amp;INDEX('Form Calc'!$I:$I,T136)&amp;" child(ren)"&amp;IF(INDEX('Form Calc'!$K:$K,T136)&lt;&gt;""," · "&amp;INDEX('Form Calc'!$K:$K,T136),"")&amp;IF(INDEX('Form Calc'!$M:$M,T136)&lt;&gt;""," · “"&amp;INDEX('Form Calc'!$M:$M,T136)&amp;"”","")))</f>
        <v/>
      </c>
      <c r="R136" s="32">
        <f>SUBSTITUTE(SUBSTITUTE(SUBSTITUTE(SUBSTITUTE(SUBSTITUTE(SUBSTITUTE(SUBSTITUTE(SUBSTITUTE(D136&amp;""," ",""),"-",""),"(",""),")",""),".",""),"+",""),"/",""),CHAR(160),"")</f>
        <v/>
      </c>
      <c r="S136" s="32">
        <f>IF(LEN(R136)&gt;=10,RIGHT(R136,10),R136)</f>
        <v/>
      </c>
      <c r="T136" s="32">
        <f>IF(TRIM(A136&amp;"")="","",IF(S136&lt;&gt;"",IFERROR(MATCH(S136,'Form Calc'!$P:$P,0),IFERROR(MATCH(TRIM(A136&amp;""),'Form Calc'!$Q:$Q,0),"")),IFERROR(MATCH(TRIM(A136&amp;""),'Form Calc'!$Q:$Q,0),"")))</f>
        <v/>
      </c>
      <c r="U136" s="32">
        <f>IF(AND(T136&lt;&gt;"",TRIM(E136&amp;"")&lt;&gt;""),TRIM(E136&amp;""),"")</f>
        <v/>
      </c>
      <c r="V136" s="32">
        <f>IF(TRIM(A136&amp;"")="","",IF(T136&lt;&gt;"",T136,IF(TRIM(E136&amp;"")="","",IFERROR(INDEX($T$6:$T$505,MATCH(TRIM(E136&amp;""),$U$6:$U$505,0)),""))))</f>
        <v/>
      </c>
      <c r="W136" s="32">
        <f>IF(V136="","",INDEX('Form Calc'!$G:$G,V136))</f>
        <v/>
      </c>
      <c r="X136" s="32">
        <f>IF(TRIM(A136&amp;"")="","",IF(T136&lt;&gt;"",IF(INDEX('Form Calc'!$K:$K,T136)&lt;&gt;"",INDEX('Form Calc'!$K:$K,T136),J136&amp;""),J136&amp;""))</f>
        <v/>
      </c>
      <c r="Y136" s="32">
        <f>IF(TRIM(A136&amp;"")="","",IF(TRIM(D136&amp;"")&lt;&gt;"",TRIM(D136&amp;""),IF(T136&lt;&gt;"",INDEX('Form Calc'!$C:$C,T136)&amp;"","")))</f>
        <v/>
      </c>
      <c r="Z136" s="32">
        <f>SUBSTITUTE(SUBSTITUTE(SUBSTITUTE(SUBSTITUTE(SUBSTITUTE(SUBSTITUTE(SUBSTITUTE(SUBSTITUTE(Y136," ",""),"-",""),"(",""),")",""),".",""),"+",""),"/",""),CHAR(160),"")</f>
        <v/>
      </c>
      <c r="AA136" s="32">
        <f>IF(Z136="","",IF(LEN(Z136)=10,"+1"&amp;Z136,IF(AND(LEN(Z136)=11,LEFT(Z136,1)="1"),"+"&amp;Z136,IF(LEFT(Y136,1)="+","+"&amp;Z136,Z136))))</f>
        <v/>
      </c>
      <c r="AB136" s="32">
        <f>IF(TRIM(A136&amp;"")="","",IF(TRIM(M136&amp;"")&lt;&gt;"",TRIM(M136&amp;""),IFERROR(LEFT(TRIM(A136&amp;""),FIND(" ",TRIM(A136&amp;""))-1),TRIM(A136&amp;""))))</f>
        <v/>
      </c>
      <c r="AC136" s="32">
        <f>SUBSTITUTE(SUBSTITUTE(SUBSTITUTE(SUBSTITUTE(SUBSTITUTE(SUBSTITUTE(SUBSTITUTE(SUBSTITUTE(SUBSTITUTE(SUBSTITUTE(AB136,"%","%25"),"&amp;","%26"),"#","%23"),"+","%2B"),"=","%3D"),"?","%3F"),CHAR(34),"%22"),CHAR(10),"%0A"),CHAR(13),"")," ","+")</f>
        <v/>
      </c>
      <c r="AD136" s="32">
        <f>IF(OR(AA136="",AB136=""),"",'Start Here'!$B$20&amp;"#p="&amp;SUBSTITUTE(AA136,"+","%2B")&amp;"&amp;n="&amp;AC136&amp;"&amp;m="&amp;SUBSTITUTE('Start Here'!$B$24,"{name}",AC136))</f>
        <v/>
      </c>
      <c r="AE136" s="32">
        <f>LEN(AD136)</f>
        <v/>
      </c>
      <c r="AF136" s="32">
        <f>IF(AND(TRIM(A136&amp;"")&lt;&gt;"",OR(B136="Awaiting",B136="Not sure yet")),1,0)</f>
        <v/>
      </c>
      <c r="AG136" s="32">
        <f>N(AG135)+AF136</f>
        <v/>
      </c>
      <c r="AH136" s="32">
        <f>IF(AF136=1,AG136,"")</f>
        <v/>
      </c>
      <c r="AI136" s="32">
        <f>IF(AND(TRIM(A136&amp;"")&lt;&gt;"",L136&amp;""&lt;&gt;"",L136&amp;""=Seating!$I$3&amp;"",B136&lt;&gt;"Declined"),1,0)</f>
        <v/>
      </c>
      <c r="AJ136" s="32">
        <f>N(AJ135)+AI136</f>
        <v/>
      </c>
      <c r="AK136" s="32">
        <f>IF(AI136=1,AJ136,"")</f>
        <v/>
      </c>
    </row>
    <row r="137">
      <c r="A137" s="10" t="n"/>
      <c r="B137" s="47">
        <f>IF(TRIM(A137&amp;"")="","",IF(W137&lt;&gt;"",W137,IF(I137="","Awaiting",I137)))</f>
        <v/>
      </c>
      <c r="C137" s="60">
        <f>IF(OR(B137="Awaiting",B137="Not sure yet"),IF(AD137&lt;&gt;"",HYPERLINK(AD137,"💬 Remind"),"add mobile"),"")</f>
        <v/>
      </c>
      <c r="D137" s="58" t="n"/>
      <c r="E137" s="10" t="n"/>
      <c r="F137" s="10" t="n"/>
      <c r="G137" s="10" t="n"/>
      <c r="H137" s="10" t="n"/>
      <c r="I137" s="10" t="n"/>
      <c r="J137" s="10" t="n"/>
      <c r="K137" s="10" t="n"/>
      <c r="L137" s="56" t="n"/>
      <c r="M137" s="10" t="n"/>
      <c r="N137" s="12" t="n"/>
      <c r="O137" s="10" t="n"/>
      <c r="P137" s="10" t="n"/>
      <c r="Q137" s="61">
        <f>IF(V137="","",IF(T137="","Covered by "&amp;INDEX('Form Calc'!$B:$B,V137)&amp;"'s reply (same party)","Replied "&amp;TEXT(INDEX('Form Calc'!$A:$A,T137),"mm/dd")&amp;" · "&amp;INDEX('Form Calc'!$H:$H,T137)&amp;" adult(s), "&amp;INDEX('Form Calc'!$I:$I,T137)&amp;" child(ren)"&amp;IF(INDEX('Form Calc'!$K:$K,T137)&lt;&gt;""," · "&amp;INDEX('Form Calc'!$K:$K,T137),"")&amp;IF(INDEX('Form Calc'!$M:$M,T137)&lt;&gt;""," · “"&amp;INDEX('Form Calc'!$M:$M,T137)&amp;"”","")))</f>
        <v/>
      </c>
      <c r="R137" s="32">
        <f>SUBSTITUTE(SUBSTITUTE(SUBSTITUTE(SUBSTITUTE(SUBSTITUTE(SUBSTITUTE(SUBSTITUTE(SUBSTITUTE(D137&amp;""," ",""),"-",""),"(",""),")",""),".",""),"+",""),"/",""),CHAR(160),"")</f>
        <v/>
      </c>
      <c r="S137" s="32">
        <f>IF(LEN(R137)&gt;=10,RIGHT(R137,10),R137)</f>
        <v/>
      </c>
      <c r="T137" s="32">
        <f>IF(TRIM(A137&amp;"")="","",IF(S137&lt;&gt;"",IFERROR(MATCH(S137,'Form Calc'!$P:$P,0),IFERROR(MATCH(TRIM(A137&amp;""),'Form Calc'!$Q:$Q,0),"")),IFERROR(MATCH(TRIM(A137&amp;""),'Form Calc'!$Q:$Q,0),"")))</f>
        <v/>
      </c>
      <c r="U137" s="32">
        <f>IF(AND(T137&lt;&gt;"",TRIM(E137&amp;"")&lt;&gt;""),TRIM(E137&amp;""),"")</f>
        <v/>
      </c>
      <c r="V137" s="32">
        <f>IF(TRIM(A137&amp;"")="","",IF(T137&lt;&gt;"",T137,IF(TRIM(E137&amp;"")="","",IFERROR(INDEX($T$6:$T$505,MATCH(TRIM(E137&amp;""),$U$6:$U$505,0)),""))))</f>
        <v/>
      </c>
      <c r="W137" s="32">
        <f>IF(V137="","",INDEX('Form Calc'!$G:$G,V137))</f>
        <v/>
      </c>
      <c r="X137" s="32">
        <f>IF(TRIM(A137&amp;"")="","",IF(T137&lt;&gt;"",IF(INDEX('Form Calc'!$K:$K,T137)&lt;&gt;"",INDEX('Form Calc'!$K:$K,T137),J137&amp;""),J137&amp;""))</f>
        <v/>
      </c>
      <c r="Y137" s="32">
        <f>IF(TRIM(A137&amp;"")="","",IF(TRIM(D137&amp;"")&lt;&gt;"",TRIM(D137&amp;""),IF(T137&lt;&gt;"",INDEX('Form Calc'!$C:$C,T137)&amp;"","")))</f>
        <v/>
      </c>
      <c r="Z137" s="32">
        <f>SUBSTITUTE(SUBSTITUTE(SUBSTITUTE(SUBSTITUTE(SUBSTITUTE(SUBSTITUTE(SUBSTITUTE(SUBSTITUTE(Y137," ",""),"-",""),"(",""),")",""),".",""),"+",""),"/",""),CHAR(160),"")</f>
        <v/>
      </c>
      <c r="AA137" s="32">
        <f>IF(Z137="","",IF(LEN(Z137)=10,"+1"&amp;Z137,IF(AND(LEN(Z137)=11,LEFT(Z137,1)="1"),"+"&amp;Z137,IF(LEFT(Y137,1)="+","+"&amp;Z137,Z137))))</f>
        <v/>
      </c>
      <c r="AB137" s="32">
        <f>IF(TRIM(A137&amp;"")="","",IF(TRIM(M137&amp;"")&lt;&gt;"",TRIM(M137&amp;""),IFERROR(LEFT(TRIM(A137&amp;""),FIND(" ",TRIM(A137&amp;""))-1),TRIM(A137&amp;""))))</f>
        <v/>
      </c>
      <c r="AC137" s="32">
        <f>SUBSTITUTE(SUBSTITUTE(SUBSTITUTE(SUBSTITUTE(SUBSTITUTE(SUBSTITUTE(SUBSTITUTE(SUBSTITUTE(SUBSTITUTE(SUBSTITUTE(AB137,"%","%25"),"&amp;","%26"),"#","%23"),"+","%2B"),"=","%3D"),"?","%3F"),CHAR(34),"%22"),CHAR(10),"%0A"),CHAR(13),"")," ","+")</f>
        <v/>
      </c>
      <c r="AD137" s="32">
        <f>IF(OR(AA137="",AB137=""),"",'Start Here'!$B$20&amp;"#p="&amp;SUBSTITUTE(AA137,"+","%2B")&amp;"&amp;n="&amp;AC137&amp;"&amp;m="&amp;SUBSTITUTE('Start Here'!$B$24,"{name}",AC137))</f>
        <v/>
      </c>
      <c r="AE137" s="32">
        <f>LEN(AD137)</f>
        <v/>
      </c>
      <c r="AF137" s="32">
        <f>IF(AND(TRIM(A137&amp;"")&lt;&gt;"",OR(B137="Awaiting",B137="Not sure yet")),1,0)</f>
        <v/>
      </c>
      <c r="AG137" s="32">
        <f>N(AG136)+AF137</f>
        <v/>
      </c>
      <c r="AH137" s="32">
        <f>IF(AF137=1,AG137,"")</f>
        <v/>
      </c>
      <c r="AI137" s="32">
        <f>IF(AND(TRIM(A137&amp;"")&lt;&gt;"",L137&amp;""&lt;&gt;"",L137&amp;""=Seating!$I$3&amp;"",B137&lt;&gt;"Declined"),1,0)</f>
        <v/>
      </c>
      <c r="AJ137" s="32">
        <f>N(AJ136)+AI137</f>
        <v/>
      </c>
      <c r="AK137" s="32">
        <f>IF(AI137=1,AJ137,"")</f>
        <v/>
      </c>
    </row>
    <row r="138">
      <c r="A138" s="10" t="n"/>
      <c r="B138" s="47">
        <f>IF(TRIM(A138&amp;"")="","",IF(W138&lt;&gt;"",W138,IF(I138="","Awaiting",I138)))</f>
        <v/>
      </c>
      <c r="C138" s="60">
        <f>IF(OR(B138="Awaiting",B138="Not sure yet"),IF(AD138&lt;&gt;"",HYPERLINK(AD138,"💬 Remind"),"add mobile"),"")</f>
        <v/>
      </c>
      <c r="D138" s="58" t="n"/>
      <c r="E138" s="10" t="n"/>
      <c r="F138" s="10" t="n"/>
      <c r="G138" s="10" t="n"/>
      <c r="H138" s="10" t="n"/>
      <c r="I138" s="10" t="n"/>
      <c r="J138" s="10" t="n"/>
      <c r="K138" s="10" t="n"/>
      <c r="L138" s="56" t="n"/>
      <c r="M138" s="10" t="n"/>
      <c r="N138" s="12" t="n"/>
      <c r="O138" s="10" t="n"/>
      <c r="P138" s="10" t="n"/>
      <c r="Q138" s="61">
        <f>IF(V138="","",IF(T138="","Covered by "&amp;INDEX('Form Calc'!$B:$B,V138)&amp;"'s reply (same party)","Replied "&amp;TEXT(INDEX('Form Calc'!$A:$A,T138),"mm/dd")&amp;" · "&amp;INDEX('Form Calc'!$H:$H,T138)&amp;" adult(s), "&amp;INDEX('Form Calc'!$I:$I,T138)&amp;" child(ren)"&amp;IF(INDEX('Form Calc'!$K:$K,T138)&lt;&gt;""," · "&amp;INDEX('Form Calc'!$K:$K,T138),"")&amp;IF(INDEX('Form Calc'!$M:$M,T138)&lt;&gt;""," · “"&amp;INDEX('Form Calc'!$M:$M,T138)&amp;"”","")))</f>
        <v/>
      </c>
      <c r="R138" s="32">
        <f>SUBSTITUTE(SUBSTITUTE(SUBSTITUTE(SUBSTITUTE(SUBSTITUTE(SUBSTITUTE(SUBSTITUTE(SUBSTITUTE(D138&amp;""," ",""),"-",""),"(",""),")",""),".",""),"+",""),"/",""),CHAR(160),"")</f>
        <v/>
      </c>
      <c r="S138" s="32">
        <f>IF(LEN(R138)&gt;=10,RIGHT(R138,10),R138)</f>
        <v/>
      </c>
      <c r="T138" s="32">
        <f>IF(TRIM(A138&amp;"")="","",IF(S138&lt;&gt;"",IFERROR(MATCH(S138,'Form Calc'!$P:$P,0),IFERROR(MATCH(TRIM(A138&amp;""),'Form Calc'!$Q:$Q,0),"")),IFERROR(MATCH(TRIM(A138&amp;""),'Form Calc'!$Q:$Q,0),"")))</f>
        <v/>
      </c>
      <c r="U138" s="32">
        <f>IF(AND(T138&lt;&gt;"",TRIM(E138&amp;"")&lt;&gt;""),TRIM(E138&amp;""),"")</f>
        <v/>
      </c>
      <c r="V138" s="32">
        <f>IF(TRIM(A138&amp;"")="","",IF(T138&lt;&gt;"",T138,IF(TRIM(E138&amp;"")="","",IFERROR(INDEX($T$6:$T$505,MATCH(TRIM(E138&amp;""),$U$6:$U$505,0)),""))))</f>
        <v/>
      </c>
      <c r="W138" s="32">
        <f>IF(V138="","",INDEX('Form Calc'!$G:$G,V138))</f>
        <v/>
      </c>
      <c r="X138" s="32">
        <f>IF(TRIM(A138&amp;"")="","",IF(T138&lt;&gt;"",IF(INDEX('Form Calc'!$K:$K,T138)&lt;&gt;"",INDEX('Form Calc'!$K:$K,T138),J138&amp;""),J138&amp;""))</f>
        <v/>
      </c>
      <c r="Y138" s="32">
        <f>IF(TRIM(A138&amp;"")="","",IF(TRIM(D138&amp;"")&lt;&gt;"",TRIM(D138&amp;""),IF(T138&lt;&gt;"",INDEX('Form Calc'!$C:$C,T138)&amp;"","")))</f>
        <v/>
      </c>
      <c r="Z138" s="32">
        <f>SUBSTITUTE(SUBSTITUTE(SUBSTITUTE(SUBSTITUTE(SUBSTITUTE(SUBSTITUTE(SUBSTITUTE(SUBSTITUTE(Y138," ",""),"-",""),"(",""),")",""),".",""),"+",""),"/",""),CHAR(160),"")</f>
        <v/>
      </c>
      <c r="AA138" s="32">
        <f>IF(Z138="","",IF(LEN(Z138)=10,"+1"&amp;Z138,IF(AND(LEN(Z138)=11,LEFT(Z138,1)="1"),"+"&amp;Z138,IF(LEFT(Y138,1)="+","+"&amp;Z138,Z138))))</f>
        <v/>
      </c>
      <c r="AB138" s="32">
        <f>IF(TRIM(A138&amp;"")="","",IF(TRIM(M138&amp;"")&lt;&gt;"",TRIM(M138&amp;""),IFERROR(LEFT(TRIM(A138&amp;""),FIND(" ",TRIM(A138&amp;""))-1),TRIM(A138&amp;""))))</f>
        <v/>
      </c>
      <c r="AC138" s="32">
        <f>SUBSTITUTE(SUBSTITUTE(SUBSTITUTE(SUBSTITUTE(SUBSTITUTE(SUBSTITUTE(SUBSTITUTE(SUBSTITUTE(SUBSTITUTE(SUBSTITUTE(AB138,"%","%25"),"&amp;","%26"),"#","%23"),"+","%2B"),"=","%3D"),"?","%3F"),CHAR(34),"%22"),CHAR(10),"%0A"),CHAR(13),"")," ","+")</f>
        <v/>
      </c>
      <c r="AD138" s="32">
        <f>IF(OR(AA138="",AB138=""),"",'Start Here'!$B$20&amp;"#p="&amp;SUBSTITUTE(AA138,"+","%2B")&amp;"&amp;n="&amp;AC138&amp;"&amp;m="&amp;SUBSTITUTE('Start Here'!$B$24,"{name}",AC138))</f>
        <v/>
      </c>
      <c r="AE138" s="32">
        <f>LEN(AD138)</f>
        <v/>
      </c>
      <c r="AF138" s="32">
        <f>IF(AND(TRIM(A138&amp;"")&lt;&gt;"",OR(B138="Awaiting",B138="Not sure yet")),1,0)</f>
        <v/>
      </c>
      <c r="AG138" s="32">
        <f>N(AG137)+AF138</f>
        <v/>
      </c>
      <c r="AH138" s="32">
        <f>IF(AF138=1,AG138,"")</f>
        <v/>
      </c>
      <c r="AI138" s="32">
        <f>IF(AND(TRIM(A138&amp;"")&lt;&gt;"",L138&amp;""&lt;&gt;"",L138&amp;""=Seating!$I$3&amp;"",B138&lt;&gt;"Declined"),1,0)</f>
        <v/>
      </c>
      <c r="AJ138" s="32">
        <f>N(AJ137)+AI138</f>
        <v/>
      </c>
      <c r="AK138" s="32">
        <f>IF(AI138=1,AJ138,"")</f>
        <v/>
      </c>
    </row>
    <row r="139">
      <c r="A139" s="10" t="n"/>
      <c r="B139" s="47">
        <f>IF(TRIM(A139&amp;"")="","",IF(W139&lt;&gt;"",W139,IF(I139="","Awaiting",I139)))</f>
        <v/>
      </c>
      <c r="C139" s="60">
        <f>IF(OR(B139="Awaiting",B139="Not sure yet"),IF(AD139&lt;&gt;"",HYPERLINK(AD139,"💬 Remind"),"add mobile"),"")</f>
        <v/>
      </c>
      <c r="D139" s="58" t="n"/>
      <c r="E139" s="10" t="n"/>
      <c r="F139" s="10" t="n"/>
      <c r="G139" s="10" t="n"/>
      <c r="H139" s="10" t="n"/>
      <c r="I139" s="10" t="n"/>
      <c r="J139" s="10" t="n"/>
      <c r="K139" s="10" t="n"/>
      <c r="L139" s="56" t="n"/>
      <c r="M139" s="10" t="n"/>
      <c r="N139" s="12" t="n"/>
      <c r="O139" s="10" t="n"/>
      <c r="P139" s="10" t="n"/>
      <c r="Q139" s="61">
        <f>IF(V139="","",IF(T139="","Covered by "&amp;INDEX('Form Calc'!$B:$B,V139)&amp;"'s reply (same party)","Replied "&amp;TEXT(INDEX('Form Calc'!$A:$A,T139),"mm/dd")&amp;" · "&amp;INDEX('Form Calc'!$H:$H,T139)&amp;" adult(s), "&amp;INDEX('Form Calc'!$I:$I,T139)&amp;" child(ren)"&amp;IF(INDEX('Form Calc'!$K:$K,T139)&lt;&gt;""," · "&amp;INDEX('Form Calc'!$K:$K,T139),"")&amp;IF(INDEX('Form Calc'!$M:$M,T139)&lt;&gt;""," · “"&amp;INDEX('Form Calc'!$M:$M,T139)&amp;"”","")))</f>
        <v/>
      </c>
      <c r="R139" s="32">
        <f>SUBSTITUTE(SUBSTITUTE(SUBSTITUTE(SUBSTITUTE(SUBSTITUTE(SUBSTITUTE(SUBSTITUTE(SUBSTITUTE(D139&amp;""," ",""),"-",""),"(",""),")",""),".",""),"+",""),"/",""),CHAR(160),"")</f>
        <v/>
      </c>
      <c r="S139" s="32">
        <f>IF(LEN(R139)&gt;=10,RIGHT(R139,10),R139)</f>
        <v/>
      </c>
      <c r="T139" s="32">
        <f>IF(TRIM(A139&amp;"")="","",IF(S139&lt;&gt;"",IFERROR(MATCH(S139,'Form Calc'!$P:$P,0),IFERROR(MATCH(TRIM(A139&amp;""),'Form Calc'!$Q:$Q,0),"")),IFERROR(MATCH(TRIM(A139&amp;""),'Form Calc'!$Q:$Q,0),"")))</f>
        <v/>
      </c>
      <c r="U139" s="32">
        <f>IF(AND(T139&lt;&gt;"",TRIM(E139&amp;"")&lt;&gt;""),TRIM(E139&amp;""),"")</f>
        <v/>
      </c>
      <c r="V139" s="32">
        <f>IF(TRIM(A139&amp;"")="","",IF(T139&lt;&gt;"",T139,IF(TRIM(E139&amp;"")="","",IFERROR(INDEX($T$6:$T$505,MATCH(TRIM(E139&amp;""),$U$6:$U$505,0)),""))))</f>
        <v/>
      </c>
      <c r="W139" s="32">
        <f>IF(V139="","",INDEX('Form Calc'!$G:$G,V139))</f>
        <v/>
      </c>
      <c r="X139" s="32">
        <f>IF(TRIM(A139&amp;"")="","",IF(T139&lt;&gt;"",IF(INDEX('Form Calc'!$K:$K,T139)&lt;&gt;"",INDEX('Form Calc'!$K:$K,T139),J139&amp;""),J139&amp;""))</f>
        <v/>
      </c>
      <c r="Y139" s="32">
        <f>IF(TRIM(A139&amp;"")="","",IF(TRIM(D139&amp;"")&lt;&gt;"",TRIM(D139&amp;""),IF(T139&lt;&gt;"",INDEX('Form Calc'!$C:$C,T139)&amp;"","")))</f>
        <v/>
      </c>
      <c r="Z139" s="32">
        <f>SUBSTITUTE(SUBSTITUTE(SUBSTITUTE(SUBSTITUTE(SUBSTITUTE(SUBSTITUTE(SUBSTITUTE(SUBSTITUTE(Y139," ",""),"-",""),"(",""),")",""),".",""),"+",""),"/",""),CHAR(160),"")</f>
        <v/>
      </c>
      <c r="AA139" s="32">
        <f>IF(Z139="","",IF(LEN(Z139)=10,"+1"&amp;Z139,IF(AND(LEN(Z139)=11,LEFT(Z139,1)="1"),"+"&amp;Z139,IF(LEFT(Y139,1)="+","+"&amp;Z139,Z139))))</f>
        <v/>
      </c>
      <c r="AB139" s="32">
        <f>IF(TRIM(A139&amp;"")="","",IF(TRIM(M139&amp;"")&lt;&gt;"",TRIM(M139&amp;""),IFERROR(LEFT(TRIM(A139&amp;""),FIND(" ",TRIM(A139&amp;""))-1),TRIM(A139&amp;""))))</f>
        <v/>
      </c>
      <c r="AC139" s="32">
        <f>SUBSTITUTE(SUBSTITUTE(SUBSTITUTE(SUBSTITUTE(SUBSTITUTE(SUBSTITUTE(SUBSTITUTE(SUBSTITUTE(SUBSTITUTE(SUBSTITUTE(AB139,"%","%25"),"&amp;","%26"),"#","%23"),"+","%2B"),"=","%3D"),"?","%3F"),CHAR(34),"%22"),CHAR(10),"%0A"),CHAR(13),"")," ","+")</f>
        <v/>
      </c>
      <c r="AD139" s="32">
        <f>IF(OR(AA139="",AB139=""),"",'Start Here'!$B$20&amp;"#p="&amp;SUBSTITUTE(AA139,"+","%2B")&amp;"&amp;n="&amp;AC139&amp;"&amp;m="&amp;SUBSTITUTE('Start Here'!$B$24,"{name}",AC139))</f>
        <v/>
      </c>
      <c r="AE139" s="32">
        <f>LEN(AD139)</f>
        <v/>
      </c>
      <c r="AF139" s="32">
        <f>IF(AND(TRIM(A139&amp;"")&lt;&gt;"",OR(B139="Awaiting",B139="Not sure yet")),1,0)</f>
        <v/>
      </c>
      <c r="AG139" s="32">
        <f>N(AG138)+AF139</f>
        <v/>
      </c>
      <c r="AH139" s="32">
        <f>IF(AF139=1,AG139,"")</f>
        <v/>
      </c>
      <c r="AI139" s="32">
        <f>IF(AND(TRIM(A139&amp;"")&lt;&gt;"",L139&amp;""&lt;&gt;"",L139&amp;""=Seating!$I$3&amp;"",B139&lt;&gt;"Declined"),1,0)</f>
        <v/>
      </c>
      <c r="AJ139" s="32">
        <f>N(AJ138)+AI139</f>
        <v/>
      </c>
      <c r="AK139" s="32">
        <f>IF(AI139=1,AJ139,"")</f>
        <v/>
      </c>
    </row>
    <row r="140">
      <c r="A140" s="10" t="n"/>
      <c r="B140" s="47">
        <f>IF(TRIM(A140&amp;"")="","",IF(W140&lt;&gt;"",W140,IF(I140="","Awaiting",I140)))</f>
        <v/>
      </c>
      <c r="C140" s="60">
        <f>IF(OR(B140="Awaiting",B140="Not sure yet"),IF(AD140&lt;&gt;"",HYPERLINK(AD140,"💬 Remind"),"add mobile"),"")</f>
        <v/>
      </c>
      <c r="D140" s="58" t="n"/>
      <c r="E140" s="10" t="n"/>
      <c r="F140" s="10" t="n"/>
      <c r="G140" s="10" t="n"/>
      <c r="H140" s="10" t="n"/>
      <c r="I140" s="10" t="n"/>
      <c r="J140" s="10" t="n"/>
      <c r="K140" s="10" t="n"/>
      <c r="L140" s="56" t="n"/>
      <c r="M140" s="10" t="n"/>
      <c r="N140" s="12" t="n"/>
      <c r="O140" s="10" t="n"/>
      <c r="P140" s="10" t="n"/>
      <c r="Q140" s="61">
        <f>IF(V140="","",IF(T140="","Covered by "&amp;INDEX('Form Calc'!$B:$B,V140)&amp;"'s reply (same party)","Replied "&amp;TEXT(INDEX('Form Calc'!$A:$A,T140),"mm/dd")&amp;" · "&amp;INDEX('Form Calc'!$H:$H,T140)&amp;" adult(s), "&amp;INDEX('Form Calc'!$I:$I,T140)&amp;" child(ren)"&amp;IF(INDEX('Form Calc'!$K:$K,T140)&lt;&gt;""," · "&amp;INDEX('Form Calc'!$K:$K,T140),"")&amp;IF(INDEX('Form Calc'!$M:$M,T140)&lt;&gt;""," · “"&amp;INDEX('Form Calc'!$M:$M,T140)&amp;"”","")))</f>
        <v/>
      </c>
      <c r="R140" s="32">
        <f>SUBSTITUTE(SUBSTITUTE(SUBSTITUTE(SUBSTITUTE(SUBSTITUTE(SUBSTITUTE(SUBSTITUTE(SUBSTITUTE(D140&amp;""," ",""),"-",""),"(",""),")",""),".",""),"+",""),"/",""),CHAR(160),"")</f>
        <v/>
      </c>
      <c r="S140" s="32">
        <f>IF(LEN(R140)&gt;=10,RIGHT(R140,10),R140)</f>
        <v/>
      </c>
      <c r="T140" s="32">
        <f>IF(TRIM(A140&amp;"")="","",IF(S140&lt;&gt;"",IFERROR(MATCH(S140,'Form Calc'!$P:$P,0),IFERROR(MATCH(TRIM(A140&amp;""),'Form Calc'!$Q:$Q,0),"")),IFERROR(MATCH(TRIM(A140&amp;""),'Form Calc'!$Q:$Q,0),"")))</f>
        <v/>
      </c>
      <c r="U140" s="32">
        <f>IF(AND(T140&lt;&gt;"",TRIM(E140&amp;"")&lt;&gt;""),TRIM(E140&amp;""),"")</f>
        <v/>
      </c>
      <c r="V140" s="32">
        <f>IF(TRIM(A140&amp;"")="","",IF(T140&lt;&gt;"",T140,IF(TRIM(E140&amp;"")="","",IFERROR(INDEX($T$6:$T$505,MATCH(TRIM(E140&amp;""),$U$6:$U$505,0)),""))))</f>
        <v/>
      </c>
      <c r="W140" s="32">
        <f>IF(V140="","",INDEX('Form Calc'!$G:$G,V140))</f>
        <v/>
      </c>
      <c r="X140" s="32">
        <f>IF(TRIM(A140&amp;"")="","",IF(T140&lt;&gt;"",IF(INDEX('Form Calc'!$K:$K,T140)&lt;&gt;"",INDEX('Form Calc'!$K:$K,T140),J140&amp;""),J140&amp;""))</f>
        <v/>
      </c>
      <c r="Y140" s="32">
        <f>IF(TRIM(A140&amp;"")="","",IF(TRIM(D140&amp;"")&lt;&gt;"",TRIM(D140&amp;""),IF(T140&lt;&gt;"",INDEX('Form Calc'!$C:$C,T140)&amp;"","")))</f>
        <v/>
      </c>
      <c r="Z140" s="32">
        <f>SUBSTITUTE(SUBSTITUTE(SUBSTITUTE(SUBSTITUTE(SUBSTITUTE(SUBSTITUTE(SUBSTITUTE(SUBSTITUTE(Y140," ",""),"-",""),"(",""),")",""),".",""),"+",""),"/",""),CHAR(160),"")</f>
        <v/>
      </c>
      <c r="AA140" s="32">
        <f>IF(Z140="","",IF(LEN(Z140)=10,"+1"&amp;Z140,IF(AND(LEN(Z140)=11,LEFT(Z140,1)="1"),"+"&amp;Z140,IF(LEFT(Y140,1)="+","+"&amp;Z140,Z140))))</f>
        <v/>
      </c>
      <c r="AB140" s="32">
        <f>IF(TRIM(A140&amp;"")="","",IF(TRIM(M140&amp;"")&lt;&gt;"",TRIM(M140&amp;""),IFERROR(LEFT(TRIM(A140&amp;""),FIND(" ",TRIM(A140&amp;""))-1),TRIM(A140&amp;""))))</f>
        <v/>
      </c>
      <c r="AC140" s="32">
        <f>SUBSTITUTE(SUBSTITUTE(SUBSTITUTE(SUBSTITUTE(SUBSTITUTE(SUBSTITUTE(SUBSTITUTE(SUBSTITUTE(SUBSTITUTE(SUBSTITUTE(AB140,"%","%25"),"&amp;","%26"),"#","%23"),"+","%2B"),"=","%3D"),"?","%3F"),CHAR(34),"%22"),CHAR(10),"%0A"),CHAR(13),"")," ","+")</f>
        <v/>
      </c>
      <c r="AD140" s="32">
        <f>IF(OR(AA140="",AB140=""),"",'Start Here'!$B$20&amp;"#p="&amp;SUBSTITUTE(AA140,"+","%2B")&amp;"&amp;n="&amp;AC140&amp;"&amp;m="&amp;SUBSTITUTE('Start Here'!$B$24,"{name}",AC140))</f>
        <v/>
      </c>
      <c r="AE140" s="32">
        <f>LEN(AD140)</f>
        <v/>
      </c>
      <c r="AF140" s="32">
        <f>IF(AND(TRIM(A140&amp;"")&lt;&gt;"",OR(B140="Awaiting",B140="Not sure yet")),1,0)</f>
        <v/>
      </c>
      <c r="AG140" s="32">
        <f>N(AG139)+AF140</f>
        <v/>
      </c>
      <c r="AH140" s="32">
        <f>IF(AF140=1,AG140,"")</f>
        <v/>
      </c>
      <c r="AI140" s="32">
        <f>IF(AND(TRIM(A140&amp;"")&lt;&gt;"",L140&amp;""&lt;&gt;"",L140&amp;""=Seating!$I$3&amp;"",B140&lt;&gt;"Declined"),1,0)</f>
        <v/>
      </c>
      <c r="AJ140" s="32">
        <f>N(AJ139)+AI140</f>
        <v/>
      </c>
      <c r="AK140" s="32">
        <f>IF(AI140=1,AJ140,"")</f>
        <v/>
      </c>
    </row>
    <row r="141">
      <c r="A141" s="10" t="n"/>
      <c r="B141" s="47">
        <f>IF(TRIM(A141&amp;"")="","",IF(W141&lt;&gt;"",W141,IF(I141="","Awaiting",I141)))</f>
        <v/>
      </c>
      <c r="C141" s="60">
        <f>IF(OR(B141="Awaiting",B141="Not sure yet"),IF(AD141&lt;&gt;"",HYPERLINK(AD141,"💬 Remind"),"add mobile"),"")</f>
        <v/>
      </c>
      <c r="D141" s="58" t="n"/>
      <c r="E141" s="10" t="n"/>
      <c r="F141" s="10" t="n"/>
      <c r="G141" s="10" t="n"/>
      <c r="H141" s="10" t="n"/>
      <c r="I141" s="10" t="n"/>
      <c r="J141" s="10" t="n"/>
      <c r="K141" s="10" t="n"/>
      <c r="L141" s="56" t="n"/>
      <c r="M141" s="10" t="n"/>
      <c r="N141" s="12" t="n"/>
      <c r="O141" s="10" t="n"/>
      <c r="P141" s="10" t="n"/>
      <c r="Q141" s="61">
        <f>IF(V141="","",IF(T141="","Covered by "&amp;INDEX('Form Calc'!$B:$B,V141)&amp;"'s reply (same party)","Replied "&amp;TEXT(INDEX('Form Calc'!$A:$A,T141),"mm/dd")&amp;" · "&amp;INDEX('Form Calc'!$H:$H,T141)&amp;" adult(s), "&amp;INDEX('Form Calc'!$I:$I,T141)&amp;" child(ren)"&amp;IF(INDEX('Form Calc'!$K:$K,T141)&lt;&gt;""," · "&amp;INDEX('Form Calc'!$K:$K,T141),"")&amp;IF(INDEX('Form Calc'!$M:$M,T141)&lt;&gt;""," · “"&amp;INDEX('Form Calc'!$M:$M,T141)&amp;"”","")))</f>
        <v/>
      </c>
      <c r="R141" s="32">
        <f>SUBSTITUTE(SUBSTITUTE(SUBSTITUTE(SUBSTITUTE(SUBSTITUTE(SUBSTITUTE(SUBSTITUTE(SUBSTITUTE(D141&amp;""," ",""),"-",""),"(",""),")",""),".",""),"+",""),"/",""),CHAR(160),"")</f>
        <v/>
      </c>
      <c r="S141" s="32">
        <f>IF(LEN(R141)&gt;=10,RIGHT(R141,10),R141)</f>
        <v/>
      </c>
      <c r="T141" s="32">
        <f>IF(TRIM(A141&amp;"")="","",IF(S141&lt;&gt;"",IFERROR(MATCH(S141,'Form Calc'!$P:$P,0),IFERROR(MATCH(TRIM(A141&amp;""),'Form Calc'!$Q:$Q,0),"")),IFERROR(MATCH(TRIM(A141&amp;""),'Form Calc'!$Q:$Q,0),"")))</f>
        <v/>
      </c>
      <c r="U141" s="32">
        <f>IF(AND(T141&lt;&gt;"",TRIM(E141&amp;"")&lt;&gt;""),TRIM(E141&amp;""),"")</f>
        <v/>
      </c>
      <c r="V141" s="32">
        <f>IF(TRIM(A141&amp;"")="","",IF(T141&lt;&gt;"",T141,IF(TRIM(E141&amp;"")="","",IFERROR(INDEX($T$6:$T$505,MATCH(TRIM(E141&amp;""),$U$6:$U$505,0)),""))))</f>
        <v/>
      </c>
      <c r="W141" s="32">
        <f>IF(V141="","",INDEX('Form Calc'!$G:$G,V141))</f>
        <v/>
      </c>
      <c r="X141" s="32">
        <f>IF(TRIM(A141&amp;"")="","",IF(T141&lt;&gt;"",IF(INDEX('Form Calc'!$K:$K,T141)&lt;&gt;"",INDEX('Form Calc'!$K:$K,T141),J141&amp;""),J141&amp;""))</f>
        <v/>
      </c>
      <c r="Y141" s="32">
        <f>IF(TRIM(A141&amp;"")="","",IF(TRIM(D141&amp;"")&lt;&gt;"",TRIM(D141&amp;""),IF(T141&lt;&gt;"",INDEX('Form Calc'!$C:$C,T141)&amp;"","")))</f>
        <v/>
      </c>
      <c r="Z141" s="32">
        <f>SUBSTITUTE(SUBSTITUTE(SUBSTITUTE(SUBSTITUTE(SUBSTITUTE(SUBSTITUTE(SUBSTITUTE(SUBSTITUTE(Y141," ",""),"-",""),"(",""),")",""),".",""),"+",""),"/",""),CHAR(160),"")</f>
        <v/>
      </c>
      <c r="AA141" s="32">
        <f>IF(Z141="","",IF(LEN(Z141)=10,"+1"&amp;Z141,IF(AND(LEN(Z141)=11,LEFT(Z141,1)="1"),"+"&amp;Z141,IF(LEFT(Y141,1)="+","+"&amp;Z141,Z141))))</f>
        <v/>
      </c>
      <c r="AB141" s="32">
        <f>IF(TRIM(A141&amp;"")="","",IF(TRIM(M141&amp;"")&lt;&gt;"",TRIM(M141&amp;""),IFERROR(LEFT(TRIM(A141&amp;""),FIND(" ",TRIM(A141&amp;""))-1),TRIM(A141&amp;""))))</f>
        <v/>
      </c>
      <c r="AC141" s="32">
        <f>SUBSTITUTE(SUBSTITUTE(SUBSTITUTE(SUBSTITUTE(SUBSTITUTE(SUBSTITUTE(SUBSTITUTE(SUBSTITUTE(SUBSTITUTE(SUBSTITUTE(AB141,"%","%25"),"&amp;","%26"),"#","%23"),"+","%2B"),"=","%3D"),"?","%3F"),CHAR(34),"%22"),CHAR(10),"%0A"),CHAR(13),"")," ","+")</f>
        <v/>
      </c>
      <c r="AD141" s="32">
        <f>IF(OR(AA141="",AB141=""),"",'Start Here'!$B$20&amp;"#p="&amp;SUBSTITUTE(AA141,"+","%2B")&amp;"&amp;n="&amp;AC141&amp;"&amp;m="&amp;SUBSTITUTE('Start Here'!$B$24,"{name}",AC141))</f>
        <v/>
      </c>
      <c r="AE141" s="32">
        <f>LEN(AD141)</f>
        <v/>
      </c>
      <c r="AF141" s="32">
        <f>IF(AND(TRIM(A141&amp;"")&lt;&gt;"",OR(B141="Awaiting",B141="Not sure yet")),1,0)</f>
        <v/>
      </c>
      <c r="AG141" s="32">
        <f>N(AG140)+AF141</f>
        <v/>
      </c>
      <c r="AH141" s="32">
        <f>IF(AF141=1,AG141,"")</f>
        <v/>
      </c>
      <c r="AI141" s="32">
        <f>IF(AND(TRIM(A141&amp;"")&lt;&gt;"",L141&amp;""&lt;&gt;"",L141&amp;""=Seating!$I$3&amp;"",B141&lt;&gt;"Declined"),1,0)</f>
        <v/>
      </c>
      <c r="AJ141" s="32">
        <f>N(AJ140)+AI141</f>
        <v/>
      </c>
      <c r="AK141" s="32">
        <f>IF(AI141=1,AJ141,"")</f>
        <v/>
      </c>
    </row>
    <row r="142">
      <c r="A142" s="10" t="n"/>
      <c r="B142" s="47">
        <f>IF(TRIM(A142&amp;"")="","",IF(W142&lt;&gt;"",W142,IF(I142="","Awaiting",I142)))</f>
        <v/>
      </c>
      <c r="C142" s="60">
        <f>IF(OR(B142="Awaiting",B142="Not sure yet"),IF(AD142&lt;&gt;"",HYPERLINK(AD142,"💬 Remind"),"add mobile"),"")</f>
        <v/>
      </c>
      <c r="D142" s="58" t="n"/>
      <c r="E142" s="10" t="n"/>
      <c r="F142" s="10" t="n"/>
      <c r="G142" s="10" t="n"/>
      <c r="H142" s="10" t="n"/>
      <c r="I142" s="10" t="n"/>
      <c r="J142" s="10" t="n"/>
      <c r="K142" s="10" t="n"/>
      <c r="L142" s="56" t="n"/>
      <c r="M142" s="10" t="n"/>
      <c r="N142" s="12" t="n"/>
      <c r="O142" s="10" t="n"/>
      <c r="P142" s="10" t="n"/>
      <c r="Q142" s="61">
        <f>IF(V142="","",IF(T142="","Covered by "&amp;INDEX('Form Calc'!$B:$B,V142)&amp;"'s reply (same party)","Replied "&amp;TEXT(INDEX('Form Calc'!$A:$A,T142),"mm/dd")&amp;" · "&amp;INDEX('Form Calc'!$H:$H,T142)&amp;" adult(s), "&amp;INDEX('Form Calc'!$I:$I,T142)&amp;" child(ren)"&amp;IF(INDEX('Form Calc'!$K:$K,T142)&lt;&gt;""," · "&amp;INDEX('Form Calc'!$K:$K,T142),"")&amp;IF(INDEX('Form Calc'!$M:$M,T142)&lt;&gt;""," · “"&amp;INDEX('Form Calc'!$M:$M,T142)&amp;"”","")))</f>
        <v/>
      </c>
      <c r="R142" s="32">
        <f>SUBSTITUTE(SUBSTITUTE(SUBSTITUTE(SUBSTITUTE(SUBSTITUTE(SUBSTITUTE(SUBSTITUTE(SUBSTITUTE(D142&amp;""," ",""),"-",""),"(",""),")",""),".",""),"+",""),"/",""),CHAR(160),"")</f>
        <v/>
      </c>
      <c r="S142" s="32">
        <f>IF(LEN(R142)&gt;=10,RIGHT(R142,10),R142)</f>
        <v/>
      </c>
      <c r="T142" s="32">
        <f>IF(TRIM(A142&amp;"")="","",IF(S142&lt;&gt;"",IFERROR(MATCH(S142,'Form Calc'!$P:$P,0),IFERROR(MATCH(TRIM(A142&amp;""),'Form Calc'!$Q:$Q,0),"")),IFERROR(MATCH(TRIM(A142&amp;""),'Form Calc'!$Q:$Q,0),"")))</f>
        <v/>
      </c>
      <c r="U142" s="32">
        <f>IF(AND(T142&lt;&gt;"",TRIM(E142&amp;"")&lt;&gt;""),TRIM(E142&amp;""),"")</f>
        <v/>
      </c>
      <c r="V142" s="32">
        <f>IF(TRIM(A142&amp;"")="","",IF(T142&lt;&gt;"",T142,IF(TRIM(E142&amp;"")="","",IFERROR(INDEX($T$6:$T$505,MATCH(TRIM(E142&amp;""),$U$6:$U$505,0)),""))))</f>
        <v/>
      </c>
      <c r="W142" s="32">
        <f>IF(V142="","",INDEX('Form Calc'!$G:$G,V142))</f>
        <v/>
      </c>
      <c r="X142" s="32">
        <f>IF(TRIM(A142&amp;"")="","",IF(T142&lt;&gt;"",IF(INDEX('Form Calc'!$K:$K,T142)&lt;&gt;"",INDEX('Form Calc'!$K:$K,T142),J142&amp;""),J142&amp;""))</f>
        <v/>
      </c>
      <c r="Y142" s="32">
        <f>IF(TRIM(A142&amp;"")="","",IF(TRIM(D142&amp;"")&lt;&gt;"",TRIM(D142&amp;""),IF(T142&lt;&gt;"",INDEX('Form Calc'!$C:$C,T142)&amp;"","")))</f>
        <v/>
      </c>
      <c r="Z142" s="32">
        <f>SUBSTITUTE(SUBSTITUTE(SUBSTITUTE(SUBSTITUTE(SUBSTITUTE(SUBSTITUTE(SUBSTITUTE(SUBSTITUTE(Y142," ",""),"-",""),"(",""),")",""),".",""),"+",""),"/",""),CHAR(160),"")</f>
        <v/>
      </c>
      <c r="AA142" s="32">
        <f>IF(Z142="","",IF(LEN(Z142)=10,"+1"&amp;Z142,IF(AND(LEN(Z142)=11,LEFT(Z142,1)="1"),"+"&amp;Z142,IF(LEFT(Y142,1)="+","+"&amp;Z142,Z142))))</f>
        <v/>
      </c>
      <c r="AB142" s="32">
        <f>IF(TRIM(A142&amp;"")="","",IF(TRIM(M142&amp;"")&lt;&gt;"",TRIM(M142&amp;""),IFERROR(LEFT(TRIM(A142&amp;""),FIND(" ",TRIM(A142&amp;""))-1),TRIM(A142&amp;""))))</f>
        <v/>
      </c>
      <c r="AC142" s="32">
        <f>SUBSTITUTE(SUBSTITUTE(SUBSTITUTE(SUBSTITUTE(SUBSTITUTE(SUBSTITUTE(SUBSTITUTE(SUBSTITUTE(SUBSTITUTE(SUBSTITUTE(AB142,"%","%25"),"&amp;","%26"),"#","%23"),"+","%2B"),"=","%3D"),"?","%3F"),CHAR(34),"%22"),CHAR(10),"%0A"),CHAR(13),"")," ","+")</f>
        <v/>
      </c>
      <c r="AD142" s="32">
        <f>IF(OR(AA142="",AB142=""),"",'Start Here'!$B$20&amp;"#p="&amp;SUBSTITUTE(AA142,"+","%2B")&amp;"&amp;n="&amp;AC142&amp;"&amp;m="&amp;SUBSTITUTE('Start Here'!$B$24,"{name}",AC142))</f>
        <v/>
      </c>
      <c r="AE142" s="32">
        <f>LEN(AD142)</f>
        <v/>
      </c>
      <c r="AF142" s="32">
        <f>IF(AND(TRIM(A142&amp;"")&lt;&gt;"",OR(B142="Awaiting",B142="Not sure yet")),1,0)</f>
        <v/>
      </c>
      <c r="AG142" s="32">
        <f>N(AG141)+AF142</f>
        <v/>
      </c>
      <c r="AH142" s="32">
        <f>IF(AF142=1,AG142,"")</f>
        <v/>
      </c>
      <c r="AI142" s="32">
        <f>IF(AND(TRIM(A142&amp;"")&lt;&gt;"",L142&amp;""&lt;&gt;"",L142&amp;""=Seating!$I$3&amp;"",B142&lt;&gt;"Declined"),1,0)</f>
        <v/>
      </c>
      <c r="AJ142" s="32">
        <f>N(AJ141)+AI142</f>
        <v/>
      </c>
      <c r="AK142" s="32">
        <f>IF(AI142=1,AJ142,"")</f>
        <v/>
      </c>
    </row>
    <row r="143">
      <c r="A143" s="10" t="n"/>
      <c r="B143" s="47">
        <f>IF(TRIM(A143&amp;"")="","",IF(W143&lt;&gt;"",W143,IF(I143="","Awaiting",I143)))</f>
        <v/>
      </c>
      <c r="C143" s="60">
        <f>IF(OR(B143="Awaiting",B143="Not sure yet"),IF(AD143&lt;&gt;"",HYPERLINK(AD143,"💬 Remind"),"add mobile"),"")</f>
        <v/>
      </c>
      <c r="D143" s="58" t="n"/>
      <c r="E143" s="10" t="n"/>
      <c r="F143" s="10" t="n"/>
      <c r="G143" s="10" t="n"/>
      <c r="H143" s="10" t="n"/>
      <c r="I143" s="10" t="n"/>
      <c r="J143" s="10" t="n"/>
      <c r="K143" s="10" t="n"/>
      <c r="L143" s="56" t="n"/>
      <c r="M143" s="10" t="n"/>
      <c r="N143" s="12" t="n"/>
      <c r="O143" s="10" t="n"/>
      <c r="P143" s="10" t="n"/>
      <c r="Q143" s="61">
        <f>IF(V143="","",IF(T143="","Covered by "&amp;INDEX('Form Calc'!$B:$B,V143)&amp;"'s reply (same party)","Replied "&amp;TEXT(INDEX('Form Calc'!$A:$A,T143),"mm/dd")&amp;" · "&amp;INDEX('Form Calc'!$H:$H,T143)&amp;" adult(s), "&amp;INDEX('Form Calc'!$I:$I,T143)&amp;" child(ren)"&amp;IF(INDEX('Form Calc'!$K:$K,T143)&lt;&gt;""," · "&amp;INDEX('Form Calc'!$K:$K,T143),"")&amp;IF(INDEX('Form Calc'!$M:$M,T143)&lt;&gt;""," · “"&amp;INDEX('Form Calc'!$M:$M,T143)&amp;"”","")))</f>
        <v/>
      </c>
      <c r="R143" s="32">
        <f>SUBSTITUTE(SUBSTITUTE(SUBSTITUTE(SUBSTITUTE(SUBSTITUTE(SUBSTITUTE(SUBSTITUTE(SUBSTITUTE(D143&amp;""," ",""),"-",""),"(",""),")",""),".",""),"+",""),"/",""),CHAR(160),"")</f>
        <v/>
      </c>
      <c r="S143" s="32">
        <f>IF(LEN(R143)&gt;=10,RIGHT(R143,10),R143)</f>
        <v/>
      </c>
      <c r="T143" s="32">
        <f>IF(TRIM(A143&amp;"")="","",IF(S143&lt;&gt;"",IFERROR(MATCH(S143,'Form Calc'!$P:$P,0),IFERROR(MATCH(TRIM(A143&amp;""),'Form Calc'!$Q:$Q,0),"")),IFERROR(MATCH(TRIM(A143&amp;""),'Form Calc'!$Q:$Q,0),"")))</f>
        <v/>
      </c>
      <c r="U143" s="32">
        <f>IF(AND(T143&lt;&gt;"",TRIM(E143&amp;"")&lt;&gt;""),TRIM(E143&amp;""),"")</f>
        <v/>
      </c>
      <c r="V143" s="32">
        <f>IF(TRIM(A143&amp;"")="","",IF(T143&lt;&gt;"",T143,IF(TRIM(E143&amp;"")="","",IFERROR(INDEX($T$6:$T$505,MATCH(TRIM(E143&amp;""),$U$6:$U$505,0)),""))))</f>
        <v/>
      </c>
      <c r="W143" s="32">
        <f>IF(V143="","",INDEX('Form Calc'!$G:$G,V143))</f>
        <v/>
      </c>
      <c r="X143" s="32">
        <f>IF(TRIM(A143&amp;"")="","",IF(T143&lt;&gt;"",IF(INDEX('Form Calc'!$K:$K,T143)&lt;&gt;"",INDEX('Form Calc'!$K:$K,T143),J143&amp;""),J143&amp;""))</f>
        <v/>
      </c>
      <c r="Y143" s="32">
        <f>IF(TRIM(A143&amp;"")="","",IF(TRIM(D143&amp;"")&lt;&gt;"",TRIM(D143&amp;""),IF(T143&lt;&gt;"",INDEX('Form Calc'!$C:$C,T143)&amp;"","")))</f>
        <v/>
      </c>
      <c r="Z143" s="32">
        <f>SUBSTITUTE(SUBSTITUTE(SUBSTITUTE(SUBSTITUTE(SUBSTITUTE(SUBSTITUTE(SUBSTITUTE(SUBSTITUTE(Y143," ",""),"-",""),"(",""),")",""),".",""),"+",""),"/",""),CHAR(160),"")</f>
        <v/>
      </c>
      <c r="AA143" s="32">
        <f>IF(Z143="","",IF(LEN(Z143)=10,"+1"&amp;Z143,IF(AND(LEN(Z143)=11,LEFT(Z143,1)="1"),"+"&amp;Z143,IF(LEFT(Y143,1)="+","+"&amp;Z143,Z143))))</f>
        <v/>
      </c>
      <c r="AB143" s="32">
        <f>IF(TRIM(A143&amp;"")="","",IF(TRIM(M143&amp;"")&lt;&gt;"",TRIM(M143&amp;""),IFERROR(LEFT(TRIM(A143&amp;""),FIND(" ",TRIM(A143&amp;""))-1),TRIM(A143&amp;""))))</f>
        <v/>
      </c>
      <c r="AC143" s="32">
        <f>SUBSTITUTE(SUBSTITUTE(SUBSTITUTE(SUBSTITUTE(SUBSTITUTE(SUBSTITUTE(SUBSTITUTE(SUBSTITUTE(SUBSTITUTE(SUBSTITUTE(AB143,"%","%25"),"&amp;","%26"),"#","%23"),"+","%2B"),"=","%3D"),"?","%3F"),CHAR(34),"%22"),CHAR(10),"%0A"),CHAR(13),"")," ","+")</f>
        <v/>
      </c>
      <c r="AD143" s="32">
        <f>IF(OR(AA143="",AB143=""),"",'Start Here'!$B$20&amp;"#p="&amp;SUBSTITUTE(AA143,"+","%2B")&amp;"&amp;n="&amp;AC143&amp;"&amp;m="&amp;SUBSTITUTE('Start Here'!$B$24,"{name}",AC143))</f>
        <v/>
      </c>
      <c r="AE143" s="32">
        <f>LEN(AD143)</f>
        <v/>
      </c>
      <c r="AF143" s="32">
        <f>IF(AND(TRIM(A143&amp;"")&lt;&gt;"",OR(B143="Awaiting",B143="Not sure yet")),1,0)</f>
        <v/>
      </c>
      <c r="AG143" s="32">
        <f>N(AG142)+AF143</f>
        <v/>
      </c>
      <c r="AH143" s="32">
        <f>IF(AF143=1,AG143,"")</f>
        <v/>
      </c>
      <c r="AI143" s="32">
        <f>IF(AND(TRIM(A143&amp;"")&lt;&gt;"",L143&amp;""&lt;&gt;"",L143&amp;""=Seating!$I$3&amp;"",B143&lt;&gt;"Declined"),1,0)</f>
        <v/>
      </c>
      <c r="AJ143" s="32">
        <f>N(AJ142)+AI143</f>
        <v/>
      </c>
      <c r="AK143" s="32">
        <f>IF(AI143=1,AJ143,"")</f>
        <v/>
      </c>
    </row>
    <row r="144">
      <c r="A144" s="10" t="n"/>
      <c r="B144" s="47">
        <f>IF(TRIM(A144&amp;"")="","",IF(W144&lt;&gt;"",W144,IF(I144="","Awaiting",I144)))</f>
        <v/>
      </c>
      <c r="C144" s="60">
        <f>IF(OR(B144="Awaiting",B144="Not sure yet"),IF(AD144&lt;&gt;"",HYPERLINK(AD144,"💬 Remind"),"add mobile"),"")</f>
        <v/>
      </c>
      <c r="D144" s="58" t="n"/>
      <c r="E144" s="10" t="n"/>
      <c r="F144" s="10" t="n"/>
      <c r="G144" s="10" t="n"/>
      <c r="H144" s="10" t="n"/>
      <c r="I144" s="10" t="n"/>
      <c r="J144" s="10" t="n"/>
      <c r="K144" s="10" t="n"/>
      <c r="L144" s="56" t="n"/>
      <c r="M144" s="10" t="n"/>
      <c r="N144" s="12" t="n"/>
      <c r="O144" s="10" t="n"/>
      <c r="P144" s="10" t="n"/>
      <c r="Q144" s="61">
        <f>IF(V144="","",IF(T144="","Covered by "&amp;INDEX('Form Calc'!$B:$B,V144)&amp;"'s reply (same party)","Replied "&amp;TEXT(INDEX('Form Calc'!$A:$A,T144),"mm/dd")&amp;" · "&amp;INDEX('Form Calc'!$H:$H,T144)&amp;" adult(s), "&amp;INDEX('Form Calc'!$I:$I,T144)&amp;" child(ren)"&amp;IF(INDEX('Form Calc'!$K:$K,T144)&lt;&gt;""," · "&amp;INDEX('Form Calc'!$K:$K,T144),"")&amp;IF(INDEX('Form Calc'!$M:$M,T144)&lt;&gt;""," · “"&amp;INDEX('Form Calc'!$M:$M,T144)&amp;"”","")))</f>
        <v/>
      </c>
      <c r="R144" s="32">
        <f>SUBSTITUTE(SUBSTITUTE(SUBSTITUTE(SUBSTITUTE(SUBSTITUTE(SUBSTITUTE(SUBSTITUTE(SUBSTITUTE(D144&amp;""," ",""),"-",""),"(",""),")",""),".",""),"+",""),"/",""),CHAR(160),"")</f>
        <v/>
      </c>
      <c r="S144" s="32">
        <f>IF(LEN(R144)&gt;=10,RIGHT(R144,10),R144)</f>
        <v/>
      </c>
      <c r="T144" s="32">
        <f>IF(TRIM(A144&amp;"")="","",IF(S144&lt;&gt;"",IFERROR(MATCH(S144,'Form Calc'!$P:$P,0),IFERROR(MATCH(TRIM(A144&amp;""),'Form Calc'!$Q:$Q,0),"")),IFERROR(MATCH(TRIM(A144&amp;""),'Form Calc'!$Q:$Q,0),"")))</f>
        <v/>
      </c>
      <c r="U144" s="32">
        <f>IF(AND(T144&lt;&gt;"",TRIM(E144&amp;"")&lt;&gt;""),TRIM(E144&amp;""),"")</f>
        <v/>
      </c>
      <c r="V144" s="32">
        <f>IF(TRIM(A144&amp;"")="","",IF(T144&lt;&gt;"",T144,IF(TRIM(E144&amp;"")="","",IFERROR(INDEX($T$6:$T$505,MATCH(TRIM(E144&amp;""),$U$6:$U$505,0)),""))))</f>
        <v/>
      </c>
      <c r="W144" s="32">
        <f>IF(V144="","",INDEX('Form Calc'!$G:$G,V144))</f>
        <v/>
      </c>
      <c r="X144" s="32">
        <f>IF(TRIM(A144&amp;"")="","",IF(T144&lt;&gt;"",IF(INDEX('Form Calc'!$K:$K,T144)&lt;&gt;"",INDEX('Form Calc'!$K:$K,T144),J144&amp;""),J144&amp;""))</f>
        <v/>
      </c>
      <c r="Y144" s="32">
        <f>IF(TRIM(A144&amp;"")="","",IF(TRIM(D144&amp;"")&lt;&gt;"",TRIM(D144&amp;""),IF(T144&lt;&gt;"",INDEX('Form Calc'!$C:$C,T144)&amp;"","")))</f>
        <v/>
      </c>
      <c r="Z144" s="32">
        <f>SUBSTITUTE(SUBSTITUTE(SUBSTITUTE(SUBSTITUTE(SUBSTITUTE(SUBSTITUTE(SUBSTITUTE(SUBSTITUTE(Y144," ",""),"-",""),"(",""),")",""),".",""),"+",""),"/",""),CHAR(160),"")</f>
        <v/>
      </c>
      <c r="AA144" s="32">
        <f>IF(Z144="","",IF(LEN(Z144)=10,"+1"&amp;Z144,IF(AND(LEN(Z144)=11,LEFT(Z144,1)="1"),"+"&amp;Z144,IF(LEFT(Y144,1)="+","+"&amp;Z144,Z144))))</f>
        <v/>
      </c>
      <c r="AB144" s="32">
        <f>IF(TRIM(A144&amp;"")="","",IF(TRIM(M144&amp;"")&lt;&gt;"",TRIM(M144&amp;""),IFERROR(LEFT(TRIM(A144&amp;""),FIND(" ",TRIM(A144&amp;""))-1),TRIM(A144&amp;""))))</f>
        <v/>
      </c>
      <c r="AC144" s="32">
        <f>SUBSTITUTE(SUBSTITUTE(SUBSTITUTE(SUBSTITUTE(SUBSTITUTE(SUBSTITUTE(SUBSTITUTE(SUBSTITUTE(SUBSTITUTE(SUBSTITUTE(AB144,"%","%25"),"&amp;","%26"),"#","%23"),"+","%2B"),"=","%3D"),"?","%3F"),CHAR(34),"%22"),CHAR(10),"%0A"),CHAR(13),"")," ","+")</f>
        <v/>
      </c>
      <c r="AD144" s="32">
        <f>IF(OR(AA144="",AB144=""),"",'Start Here'!$B$20&amp;"#p="&amp;SUBSTITUTE(AA144,"+","%2B")&amp;"&amp;n="&amp;AC144&amp;"&amp;m="&amp;SUBSTITUTE('Start Here'!$B$24,"{name}",AC144))</f>
        <v/>
      </c>
      <c r="AE144" s="32">
        <f>LEN(AD144)</f>
        <v/>
      </c>
      <c r="AF144" s="32">
        <f>IF(AND(TRIM(A144&amp;"")&lt;&gt;"",OR(B144="Awaiting",B144="Not sure yet")),1,0)</f>
        <v/>
      </c>
      <c r="AG144" s="32">
        <f>N(AG143)+AF144</f>
        <v/>
      </c>
      <c r="AH144" s="32">
        <f>IF(AF144=1,AG144,"")</f>
        <v/>
      </c>
      <c r="AI144" s="32">
        <f>IF(AND(TRIM(A144&amp;"")&lt;&gt;"",L144&amp;""&lt;&gt;"",L144&amp;""=Seating!$I$3&amp;"",B144&lt;&gt;"Declined"),1,0)</f>
        <v/>
      </c>
      <c r="AJ144" s="32">
        <f>N(AJ143)+AI144</f>
        <v/>
      </c>
      <c r="AK144" s="32">
        <f>IF(AI144=1,AJ144,"")</f>
        <v/>
      </c>
    </row>
    <row r="145">
      <c r="A145" s="10" t="n"/>
      <c r="B145" s="47">
        <f>IF(TRIM(A145&amp;"")="","",IF(W145&lt;&gt;"",W145,IF(I145="","Awaiting",I145)))</f>
        <v/>
      </c>
      <c r="C145" s="60">
        <f>IF(OR(B145="Awaiting",B145="Not sure yet"),IF(AD145&lt;&gt;"",HYPERLINK(AD145,"💬 Remind"),"add mobile"),"")</f>
        <v/>
      </c>
      <c r="D145" s="58" t="n"/>
      <c r="E145" s="10" t="n"/>
      <c r="F145" s="10" t="n"/>
      <c r="G145" s="10" t="n"/>
      <c r="H145" s="10" t="n"/>
      <c r="I145" s="10" t="n"/>
      <c r="J145" s="10" t="n"/>
      <c r="K145" s="10" t="n"/>
      <c r="L145" s="56" t="n"/>
      <c r="M145" s="10" t="n"/>
      <c r="N145" s="12" t="n"/>
      <c r="O145" s="10" t="n"/>
      <c r="P145" s="10" t="n"/>
      <c r="Q145" s="61">
        <f>IF(V145="","",IF(T145="","Covered by "&amp;INDEX('Form Calc'!$B:$B,V145)&amp;"'s reply (same party)","Replied "&amp;TEXT(INDEX('Form Calc'!$A:$A,T145),"mm/dd")&amp;" · "&amp;INDEX('Form Calc'!$H:$H,T145)&amp;" adult(s), "&amp;INDEX('Form Calc'!$I:$I,T145)&amp;" child(ren)"&amp;IF(INDEX('Form Calc'!$K:$K,T145)&lt;&gt;""," · "&amp;INDEX('Form Calc'!$K:$K,T145),"")&amp;IF(INDEX('Form Calc'!$M:$M,T145)&lt;&gt;""," · “"&amp;INDEX('Form Calc'!$M:$M,T145)&amp;"”","")))</f>
        <v/>
      </c>
      <c r="R145" s="32">
        <f>SUBSTITUTE(SUBSTITUTE(SUBSTITUTE(SUBSTITUTE(SUBSTITUTE(SUBSTITUTE(SUBSTITUTE(SUBSTITUTE(D145&amp;""," ",""),"-",""),"(",""),")",""),".",""),"+",""),"/",""),CHAR(160),"")</f>
        <v/>
      </c>
      <c r="S145" s="32">
        <f>IF(LEN(R145)&gt;=10,RIGHT(R145,10),R145)</f>
        <v/>
      </c>
      <c r="T145" s="32">
        <f>IF(TRIM(A145&amp;"")="","",IF(S145&lt;&gt;"",IFERROR(MATCH(S145,'Form Calc'!$P:$P,0),IFERROR(MATCH(TRIM(A145&amp;""),'Form Calc'!$Q:$Q,0),"")),IFERROR(MATCH(TRIM(A145&amp;""),'Form Calc'!$Q:$Q,0),"")))</f>
        <v/>
      </c>
      <c r="U145" s="32">
        <f>IF(AND(T145&lt;&gt;"",TRIM(E145&amp;"")&lt;&gt;""),TRIM(E145&amp;""),"")</f>
        <v/>
      </c>
      <c r="V145" s="32">
        <f>IF(TRIM(A145&amp;"")="","",IF(T145&lt;&gt;"",T145,IF(TRIM(E145&amp;"")="","",IFERROR(INDEX($T$6:$T$505,MATCH(TRIM(E145&amp;""),$U$6:$U$505,0)),""))))</f>
        <v/>
      </c>
      <c r="W145" s="32">
        <f>IF(V145="","",INDEX('Form Calc'!$G:$G,V145))</f>
        <v/>
      </c>
      <c r="X145" s="32">
        <f>IF(TRIM(A145&amp;"")="","",IF(T145&lt;&gt;"",IF(INDEX('Form Calc'!$K:$K,T145)&lt;&gt;"",INDEX('Form Calc'!$K:$K,T145),J145&amp;""),J145&amp;""))</f>
        <v/>
      </c>
      <c r="Y145" s="32">
        <f>IF(TRIM(A145&amp;"")="","",IF(TRIM(D145&amp;"")&lt;&gt;"",TRIM(D145&amp;""),IF(T145&lt;&gt;"",INDEX('Form Calc'!$C:$C,T145)&amp;"","")))</f>
        <v/>
      </c>
      <c r="Z145" s="32">
        <f>SUBSTITUTE(SUBSTITUTE(SUBSTITUTE(SUBSTITUTE(SUBSTITUTE(SUBSTITUTE(SUBSTITUTE(SUBSTITUTE(Y145," ",""),"-",""),"(",""),")",""),".",""),"+",""),"/",""),CHAR(160),"")</f>
        <v/>
      </c>
      <c r="AA145" s="32">
        <f>IF(Z145="","",IF(LEN(Z145)=10,"+1"&amp;Z145,IF(AND(LEN(Z145)=11,LEFT(Z145,1)="1"),"+"&amp;Z145,IF(LEFT(Y145,1)="+","+"&amp;Z145,Z145))))</f>
        <v/>
      </c>
      <c r="AB145" s="32">
        <f>IF(TRIM(A145&amp;"")="","",IF(TRIM(M145&amp;"")&lt;&gt;"",TRIM(M145&amp;""),IFERROR(LEFT(TRIM(A145&amp;""),FIND(" ",TRIM(A145&amp;""))-1),TRIM(A145&amp;""))))</f>
        <v/>
      </c>
      <c r="AC145" s="32">
        <f>SUBSTITUTE(SUBSTITUTE(SUBSTITUTE(SUBSTITUTE(SUBSTITUTE(SUBSTITUTE(SUBSTITUTE(SUBSTITUTE(SUBSTITUTE(SUBSTITUTE(AB145,"%","%25"),"&amp;","%26"),"#","%23"),"+","%2B"),"=","%3D"),"?","%3F"),CHAR(34),"%22"),CHAR(10),"%0A"),CHAR(13),"")," ","+")</f>
        <v/>
      </c>
      <c r="AD145" s="32">
        <f>IF(OR(AA145="",AB145=""),"",'Start Here'!$B$20&amp;"#p="&amp;SUBSTITUTE(AA145,"+","%2B")&amp;"&amp;n="&amp;AC145&amp;"&amp;m="&amp;SUBSTITUTE('Start Here'!$B$24,"{name}",AC145))</f>
        <v/>
      </c>
      <c r="AE145" s="32">
        <f>LEN(AD145)</f>
        <v/>
      </c>
      <c r="AF145" s="32">
        <f>IF(AND(TRIM(A145&amp;"")&lt;&gt;"",OR(B145="Awaiting",B145="Not sure yet")),1,0)</f>
        <v/>
      </c>
      <c r="AG145" s="32">
        <f>N(AG144)+AF145</f>
        <v/>
      </c>
      <c r="AH145" s="32">
        <f>IF(AF145=1,AG145,"")</f>
        <v/>
      </c>
      <c r="AI145" s="32">
        <f>IF(AND(TRIM(A145&amp;"")&lt;&gt;"",L145&amp;""&lt;&gt;"",L145&amp;""=Seating!$I$3&amp;"",B145&lt;&gt;"Declined"),1,0)</f>
        <v/>
      </c>
      <c r="AJ145" s="32">
        <f>N(AJ144)+AI145</f>
        <v/>
      </c>
      <c r="AK145" s="32">
        <f>IF(AI145=1,AJ145,"")</f>
        <v/>
      </c>
    </row>
    <row r="146">
      <c r="A146" s="10" t="n"/>
      <c r="B146" s="47">
        <f>IF(TRIM(A146&amp;"")="","",IF(W146&lt;&gt;"",W146,IF(I146="","Awaiting",I146)))</f>
        <v/>
      </c>
      <c r="C146" s="60">
        <f>IF(OR(B146="Awaiting",B146="Not sure yet"),IF(AD146&lt;&gt;"",HYPERLINK(AD146,"💬 Remind"),"add mobile"),"")</f>
        <v/>
      </c>
      <c r="D146" s="58" t="n"/>
      <c r="E146" s="10" t="n"/>
      <c r="F146" s="10" t="n"/>
      <c r="G146" s="10" t="n"/>
      <c r="H146" s="10" t="n"/>
      <c r="I146" s="10" t="n"/>
      <c r="J146" s="10" t="n"/>
      <c r="K146" s="10" t="n"/>
      <c r="L146" s="56" t="n"/>
      <c r="M146" s="10" t="n"/>
      <c r="N146" s="12" t="n"/>
      <c r="O146" s="10" t="n"/>
      <c r="P146" s="10" t="n"/>
      <c r="Q146" s="61">
        <f>IF(V146="","",IF(T146="","Covered by "&amp;INDEX('Form Calc'!$B:$B,V146)&amp;"'s reply (same party)","Replied "&amp;TEXT(INDEX('Form Calc'!$A:$A,T146),"mm/dd")&amp;" · "&amp;INDEX('Form Calc'!$H:$H,T146)&amp;" adult(s), "&amp;INDEX('Form Calc'!$I:$I,T146)&amp;" child(ren)"&amp;IF(INDEX('Form Calc'!$K:$K,T146)&lt;&gt;""," · "&amp;INDEX('Form Calc'!$K:$K,T146),"")&amp;IF(INDEX('Form Calc'!$M:$M,T146)&lt;&gt;""," · “"&amp;INDEX('Form Calc'!$M:$M,T146)&amp;"”","")))</f>
        <v/>
      </c>
      <c r="R146" s="32">
        <f>SUBSTITUTE(SUBSTITUTE(SUBSTITUTE(SUBSTITUTE(SUBSTITUTE(SUBSTITUTE(SUBSTITUTE(SUBSTITUTE(D146&amp;""," ",""),"-",""),"(",""),")",""),".",""),"+",""),"/",""),CHAR(160),"")</f>
        <v/>
      </c>
      <c r="S146" s="32">
        <f>IF(LEN(R146)&gt;=10,RIGHT(R146,10),R146)</f>
        <v/>
      </c>
      <c r="T146" s="32">
        <f>IF(TRIM(A146&amp;"")="","",IF(S146&lt;&gt;"",IFERROR(MATCH(S146,'Form Calc'!$P:$P,0),IFERROR(MATCH(TRIM(A146&amp;""),'Form Calc'!$Q:$Q,0),"")),IFERROR(MATCH(TRIM(A146&amp;""),'Form Calc'!$Q:$Q,0),"")))</f>
        <v/>
      </c>
      <c r="U146" s="32">
        <f>IF(AND(T146&lt;&gt;"",TRIM(E146&amp;"")&lt;&gt;""),TRIM(E146&amp;""),"")</f>
        <v/>
      </c>
      <c r="V146" s="32">
        <f>IF(TRIM(A146&amp;"")="","",IF(T146&lt;&gt;"",T146,IF(TRIM(E146&amp;"")="","",IFERROR(INDEX($T$6:$T$505,MATCH(TRIM(E146&amp;""),$U$6:$U$505,0)),""))))</f>
        <v/>
      </c>
      <c r="W146" s="32">
        <f>IF(V146="","",INDEX('Form Calc'!$G:$G,V146))</f>
        <v/>
      </c>
      <c r="X146" s="32">
        <f>IF(TRIM(A146&amp;"")="","",IF(T146&lt;&gt;"",IF(INDEX('Form Calc'!$K:$K,T146)&lt;&gt;"",INDEX('Form Calc'!$K:$K,T146),J146&amp;""),J146&amp;""))</f>
        <v/>
      </c>
      <c r="Y146" s="32">
        <f>IF(TRIM(A146&amp;"")="","",IF(TRIM(D146&amp;"")&lt;&gt;"",TRIM(D146&amp;""),IF(T146&lt;&gt;"",INDEX('Form Calc'!$C:$C,T146)&amp;"","")))</f>
        <v/>
      </c>
      <c r="Z146" s="32">
        <f>SUBSTITUTE(SUBSTITUTE(SUBSTITUTE(SUBSTITUTE(SUBSTITUTE(SUBSTITUTE(SUBSTITUTE(SUBSTITUTE(Y146," ",""),"-",""),"(",""),")",""),".",""),"+",""),"/",""),CHAR(160),"")</f>
        <v/>
      </c>
      <c r="AA146" s="32">
        <f>IF(Z146="","",IF(LEN(Z146)=10,"+1"&amp;Z146,IF(AND(LEN(Z146)=11,LEFT(Z146,1)="1"),"+"&amp;Z146,IF(LEFT(Y146,1)="+","+"&amp;Z146,Z146))))</f>
        <v/>
      </c>
      <c r="AB146" s="32">
        <f>IF(TRIM(A146&amp;"")="","",IF(TRIM(M146&amp;"")&lt;&gt;"",TRIM(M146&amp;""),IFERROR(LEFT(TRIM(A146&amp;""),FIND(" ",TRIM(A146&amp;""))-1),TRIM(A146&amp;""))))</f>
        <v/>
      </c>
      <c r="AC146" s="32">
        <f>SUBSTITUTE(SUBSTITUTE(SUBSTITUTE(SUBSTITUTE(SUBSTITUTE(SUBSTITUTE(SUBSTITUTE(SUBSTITUTE(SUBSTITUTE(SUBSTITUTE(AB146,"%","%25"),"&amp;","%26"),"#","%23"),"+","%2B"),"=","%3D"),"?","%3F"),CHAR(34),"%22"),CHAR(10),"%0A"),CHAR(13),"")," ","+")</f>
        <v/>
      </c>
      <c r="AD146" s="32">
        <f>IF(OR(AA146="",AB146=""),"",'Start Here'!$B$20&amp;"#p="&amp;SUBSTITUTE(AA146,"+","%2B")&amp;"&amp;n="&amp;AC146&amp;"&amp;m="&amp;SUBSTITUTE('Start Here'!$B$24,"{name}",AC146))</f>
        <v/>
      </c>
      <c r="AE146" s="32">
        <f>LEN(AD146)</f>
        <v/>
      </c>
      <c r="AF146" s="32">
        <f>IF(AND(TRIM(A146&amp;"")&lt;&gt;"",OR(B146="Awaiting",B146="Not sure yet")),1,0)</f>
        <v/>
      </c>
      <c r="AG146" s="32">
        <f>N(AG145)+AF146</f>
        <v/>
      </c>
      <c r="AH146" s="32">
        <f>IF(AF146=1,AG146,"")</f>
        <v/>
      </c>
      <c r="AI146" s="32">
        <f>IF(AND(TRIM(A146&amp;"")&lt;&gt;"",L146&amp;""&lt;&gt;"",L146&amp;""=Seating!$I$3&amp;"",B146&lt;&gt;"Declined"),1,0)</f>
        <v/>
      </c>
      <c r="AJ146" s="32">
        <f>N(AJ145)+AI146</f>
        <v/>
      </c>
      <c r="AK146" s="32">
        <f>IF(AI146=1,AJ146,"")</f>
        <v/>
      </c>
    </row>
    <row r="147">
      <c r="A147" s="10" t="n"/>
      <c r="B147" s="47">
        <f>IF(TRIM(A147&amp;"")="","",IF(W147&lt;&gt;"",W147,IF(I147="","Awaiting",I147)))</f>
        <v/>
      </c>
      <c r="C147" s="60">
        <f>IF(OR(B147="Awaiting",B147="Not sure yet"),IF(AD147&lt;&gt;"",HYPERLINK(AD147,"💬 Remind"),"add mobile"),"")</f>
        <v/>
      </c>
      <c r="D147" s="58" t="n"/>
      <c r="E147" s="10" t="n"/>
      <c r="F147" s="10" t="n"/>
      <c r="G147" s="10" t="n"/>
      <c r="H147" s="10" t="n"/>
      <c r="I147" s="10" t="n"/>
      <c r="J147" s="10" t="n"/>
      <c r="K147" s="10" t="n"/>
      <c r="L147" s="56" t="n"/>
      <c r="M147" s="10" t="n"/>
      <c r="N147" s="12" t="n"/>
      <c r="O147" s="10" t="n"/>
      <c r="P147" s="10" t="n"/>
      <c r="Q147" s="61">
        <f>IF(V147="","",IF(T147="","Covered by "&amp;INDEX('Form Calc'!$B:$B,V147)&amp;"'s reply (same party)","Replied "&amp;TEXT(INDEX('Form Calc'!$A:$A,T147),"mm/dd")&amp;" · "&amp;INDEX('Form Calc'!$H:$H,T147)&amp;" adult(s), "&amp;INDEX('Form Calc'!$I:$I,T147)&amp;" child(ren)"&amp;IF(INDEX('Form Calc'!$K:$K,T147)&lt;&gt;""," · "&amp;INDEX('Form Calc'!$K:$K,T147),"")&amp;IF(INDEX('Form Calc'!$M:$M,T147)&lt;&gt;""," · “"&amp;INDEX('Form Calc'!$M:$M,T147)&amp;"”","")))</f>
        <v/>
      </c>
      <c r="R147" s="32">
        <f>SUBSTITUTE(SUBSTITUTE(SUBSTITUTE(SUBSTITUTE(SUBSTITUTE(SUBSTITUTE(SUBSTITUTE(SUBSTITUTE(D147&amp;""," ",""),"-",""),"(",""),")",""),".",""),"+",""),"/",""),CHAR(160),"")</f>
        <v/>
      </c>
      <c r="S147" s="32">
        <f>IF(LEN(R147)&gt;=10,RIGHT(R147,10),R147)</f>
        <v/>
      </c>
      <c r="T147" s="32">
        <f>IF(TRIM(A147&amp;"")="","",IF(S147&lt;&gt;"",IFERROR(MATCH(S147,'Form Calc'!$P:$P,0),IFERROR(MATCH(TRIM(A147&amp;""),'Form Calc'!$Q:$Q,0),"")),IFERROR(MATCH(TRIM(A147&amp;""),'Form Calc'!$Q:$Q,0),"")))</f>
        <v/>
      </c>
      <c r="U147" s="32">
        <f>IF(AND(T147&lt;&gt;"",TRIM(E147&amp;"")&lt;&gt;""),TRIM(E147&amp;""),"")</f>
        <v/>
      </c>
      <c r="V147" s="32">
        <f>IF(TRIM(A147&amp;"")="","",IF(T147&lt;&gt;"",T147,IF(TRIM(E147&amp;"")="","",IFERROR(INDEX($T$6:$T$505,MATCH(TRIM(E147&amp;""),$U$6:$U$505,0)),""))))</f>
        <v/>
      </c>
      <c r="W147" s="32">
        <f>IF(V147="","",INDEX('Form Calc'!$G:$G,V147))</f>
        <v/>
      </c>
      <c r="X147" s="32">
        <f>IF(TRIM(A147&amp;"")="","",IF(T147&lt;&gt;"",IF(INDEX('Form Calc'!$K:$K,T147)&lt;&gt;"",INDEX('Form Calc'!$K:$K,T147),J147&amp;""),J147&amp;""))</f>
        <v/>
      </c>
      <c r="Y147" s="32">
        <f>IF(TRIM(A147&amp;"")="","",IF(TRIM(D147&amp;"")&lt;&gt;"",TRIM(D147&amp;""),IF(T147&lt;&gt;"",INDEX('Form Calc'!$C:$C,T147)&amp;"","")))</f>
        <v/>
      </c>
      <c r="Z147" s="32">
        <f>SUBSTITUTE(SUBSTITUTE(SUBSTITUTE(SUBSTITUTE(SUBSTITUTE(SUBSTITUTE(SUBSTITUTE(SUBSTITUTE(Y147," ",""),"-",""),"(",""),")",""),".",""),"+",""),"/",""),CHAR(160),"")</f>
        <v/>
      </c>
      <c r="AA147" s="32">
        <f>IF(Z147="","",IF(LEN(Z147)=10,"+1"&amp;Z147,IF(AND(LEN(Z147)=11,LEFT(Z147,1)="1"),"+"&amp;Z147,IF(LEFT(Y147,1)="+","+"&amp;Z147,Z147))))</f>
        <v/>
      </c>
      <c r="AB147" s="32">
        <f>IF(TRIM(A147&amp;"")="","",IF(TRIM(M147&amp;"")&lt;&gt;"",TRIM(M147&amp;""),IFERROR(LEFT(TRIM(A147&amp;""),FIND(" ",TRIM(A147&amp;""))-1),TRIM(A147&amp;""))))</f>
        <v/>
      </c>
      <c r="AC147" s="32">
        <f>SUBSTITUTE(SUBSTITUTE(SUBSTITUTE(SUBSTITUTE(SUBSTITUTE(SUBSTITUTE(SUBSTITUTE(SUBSTITUTE(SUBSTITUTE(SUBSTITUTE(AB147,"%","%25"),"&amp;","%26"),"#","%23"),"+","%2B"),"=","%3D"),"?","%3F"),CHAR(34),"%22"),CHAR(10),"%0A"),CHAR(13),"")," ","+")</f>
        <v/>
      </c>
      <c r="AD147" s="32">
        <f>IF(OR(AA147="",AB147=""),"",'Start Here'!$B$20&amp;"#p="&amp;SUBSTITUTE(AA147,"+","%2B")&amp;"&amp;n="&amp;AC147&amp;"&amp;m="&amp;SUBSTITUTE('Start Here'!$B$24,"{name}",AC147))</f>
        <v/>
      </c>
      <c r="AE147" s="32">
        <f>LEN(AD147)</f>
        <v/>
      </c>
      <c r="AF147" s="32">
        <f>IF(AND(TRIM(A147&amp;"")&lt;&gt;"",OR(B147="Awaiting",B147="Not sure yet")),1,0)</f>
        <v/>
      </c>
      <c r="AG147" s="32">
        <f>N(AG146)+AF147</f>
        <v/>
      </c>
      <c r="AH147" s="32">
        <f>IF(AF147=1,AG147,"")</f>
        <v/>
      </c>
      <c r="AI147" s="32">
        <f>IF(AND(TRIM(A147&amp;"")&lt;&gt;"",L147&amp;""&lt;&gt;"",L147&amp;""=Seating!$I$3&amp;"",B147&lt;&gt;"Declined"),1,0)</f>
        <v/>
      </c>
      <c r="AJ147" s="32">
        <f>N(AJ146)+AI147</f>
        <v/>
      </c>
      <c r="AK147" s="32">
        <f>IF(AI147=1,AJ147,"")</f>
        <v/>
      </c>
    </row>
    <row r="148">
      <c r="A148" s="10" t="n"/>
      <c r="B148" s="47">
        <f>IF(TRIM(A148&amp;"")="","",IF(W148&lt;&gt;"",W148,IF(I148="","Awaiting",I148)))</f>
        <v/>
      </c>
      <c r="C148" s="60">
        <f>IF(OR(B148="Awaiting",B148="Not sure yet"),IF(AD148&lt;&gt;"",HYPERLINK(AD148,"💬 Remind"),"add mobile"),"")</f>
        <v/>
      </c>
      <c r="D148" s="58" t="n"/>
      <c r="E148" s="10" t="n"/>
      <c r="F148" s="10" t="n"/>
      <c r="G148" s="10" t="n"/>
      <c r="H148" s="10" t="n"/>
      <c r="I148" s="10" t="n"/>
      <c r="J148" s="10" t="n"/>
      <c r="K148" s="10" t="n"/>
      <c r="L148" s="56" t="n"/>
      <c r="M148" s="10" t="n"/>
      <c r="N148" s="12" t="n"/>
      <c r="O148" s="10" t="n"/>
      <c r="P148" s="10" t="n"/>
      <c r="Q148" s="61">
        <f>IF(V148="","",IF(T148="","Covered by "&amp;INDEX('Form Calc'!$B:$B,V148)&amp;"'s reply (same party)","Replied "&amp;TEXT(INDEX('Form Calc'!$A:$A,T148),"mm/dd")&amp;" · "&amp;INDEX('Form Calc'!$H:$H,T148)&amp;" adult(s), "&amp;INDEX('Form Calc'!$I:$I,T148)&amp;" child(ren)"&amp;IF(INDEX('Form Calc'!$K:$K,T148)&lt;&gt;""," · "&amp;INDEX('Form Calc'!$K:$K,T148),"")&amp;IF(INDEX('Form Calc'!$M:$M,T148)&lt;&gt;""," · “"&amp;INDEX('Form Calc'!$M:$M,T148)&amp;"”","")))</f>
        <v/>
      </c>
      <c r="R148" s="32">
        <f>SUBSTITUTE(SUBSTITUTE(SUBSTITUTE(SUBSTITUTE(SUBSTITUTE(SUBSTITUTE(SUBSTITUTE(SUBSTITUTE(D148&amp;""," ",""),"-",""),"(",""),")",""),".",""),"+",""),"/",""),CHAR(160),"")</f>
        <v/>
      </c>
      <c r="S148" s="32">
        <f>IF(LEN(R148)&gt;=10,RIGHT(R148,10),R148)</f>
        <v/>
      </c>
      <c r="T148" s="32">
        <f>IF(TRIM(A148&amp;"")="","",IF(S148&lt;&gt;"",IFERROR(MATCH(S148,'Form Calc'!$P:$P,0),IFERROR(MATCH(TRIM(A148&amp;""),'Form Calc'!$Q:$Q,0),"")),IFERROR(MATCH(TRIM(A148&amp;""),'Form Calc'!$Q:$Q,0),"")))</f>
        <v/>
      </c>
      <c r="U148" s="32">
        <f>IF(AND(T148&lt;&gt;"",TRIM(E148&amp;"")&lt;&gt;""),TRIM(E148&amp;""),"")</f>
        <v/>
      </c>
      <c r="V148" s="32">
        <f>IF(TRIM(A148&amp;"")="","",IF(T148&lt;&gt;"",T148,IF(TRIM(E148&amp;"")="","",IFERROR(INDEX($T$6:$T$505,MATCH(TRIM(E148&amp;""),$U$6:$U$505,0)),""))))</f>
        <v/>
      </c>
      <c r="W148" s="32">
        <f>IF(V148="","",INDEX('Form Calc'!$G:$G,V148))</f>
        <v/>
      </c>
      <c r="X148" s="32">
        <f>IF(TRIM(A148&amp;"")="","",IF(T148&lt;&gt;"",IF(INDEX('Form Calc'!$K:$K,T148)&lt;&gt;"",INDEX('Form Calc'!$K:$K,T148),J148&amp;""),J148&amp;""))</f>
        <v/>
      </c>
      <c r="Y148" s="32">
        <f>IF(TRIM(A148&amp;"")="","",IF(TRIM(D148&amp;"")&lt;&gt;"",TRIM(D148&amp;""),IF(T148&lt;&gt;"",INDEX('Form Calc'!$C:$C,T148)&amp;"","")))</f>
        <v/>
      </c>
      <c r="Z148" s="32">
        <f>SUBSTITUTE(SUBSTITUTE(SUBSTITUTE(SUBSTITUTE(SUBSTITUTE(SUBSTITUTE(SUBSTITUTE(SUBSTITUTE(Y148," ",""),"-",""),"(",""),")",""),".",""),"+",""),"/",""),CHAR(160),"")</f>
        <v/>
      </c>
      <c r="AA148" s="32">
        <f>IF(Z148="","",IF(LEN(Z148)=10,"+1"&amp;Z148,IF(AND(LEN(Z148)=11,LEFT(Z148,1)="1"),"+"&amp;Z148,IF(LEFT(Y148,1)="+","+"&amp;Z148,Z148))))</f>
        <v/>
      </c>
      <c r="AB148" s="32">
        <f>IF(TRIM(A148&amp;"")="","",IF(TRIM(M148&amp;"")&lt;&gt;"",TRIM(M148&amp;""),IFERROR(LEFT(TRIM(A148&amp;""),FIND(" ",TRIM(A148&amp;""))-1),TRIM(A148&amp;""))))</f>
        <v/>
      </c>
      <c r="AC148" s="32">
        <f>SUBSTITUTE(SUBSTITUTE(SUBSTITUTE(SUBSTITUTE(SUBSTITUTE(SUBSTITUTE(SUBSTITUTE(SUBSTITUTE(SUBSTITUTE(SUBSTITUTE(AB148,"%","%25"),"&amp;","%26"),"#","%23"),"+","%2B"),"=","%3D"),"?","%3F"),CHAR(34),"%22"),CHAR(10),"%0A"),CHAR(13),"")," ","+")</f>
        <v/>
      </c>
      <c r="AD148" s="32">
        <f>IF(OR(AA148="",AB148=""),"",'Start Here'!$B$20&amp;"#p="&amp;SUBSTITUTE(AA148,"+","%2B")&amp;"&amp;n="&amp;AC148&amp;"&amp;m="&amp;SUBSTITUTE('Start Here'!$B$24,"{name}",AC148))</f>
        <v/>
      </c>
      <c r="AE148" s="32">
        <f>LEN(AD148)</f>
        <v/>
      </c>
      <c r="AF148" s="32">
        <f>IF(AND(TRIM(A148&amp;"")&lt;&gt;"",OR(B148="Awaiting",B148="Not sure yet")),1,0)</f>
        <v/>
      </c>
      <c r="AG148" s="32">
        <f>N(AG147)+AF148</f>
        <v/>
      </c>
      <c r="AH148" s="32">
        <f>IF(AF148=1,AG148,"")</f>
        <v/>
      </c>
      <c r="AI148" s="32">
        <f>IF(AND(TRIM(A148&amp;"")&lt;&gt;"",L148&amp;""&lt;&gt;"",L148&amp;""=Seating!$I$3&amp;"",B148&lt;&gt;"Declined"),1,0)</f>
        <v/>
      </c>
      <c r="AJ148" s="32">
        <f>N(AJ147)+AI148</f>
        <v/>
      </c>
      <c r="AK148" s="32">
        <f>IF(AI148=1,AJ148,"")</f>
        <v/>
      </c>
    </row>
    <row r="149">
      <c r="A149" s="10" t="n"/>
      <c r="B149" s="47">
        <f>IF(TRIM(A149&amp;"")="","",IF(W149&lt;&gt;"",W149,IF(I149="","Awaiting",I149)))</f>
        <v/>
      </c>
      <c r="C149" s="60">
        <f>IF(OR(B149="Awaiting",B149="Not sure yet"),IF(AD149&lt;&gt;"",HYPERLINK(AD149,"💬 Remind"),"add mobile"),"")</f>
        <v/>
      </c>
      <c r="D149" s="58" t="n"/>
      <c r="E149" s="10" t="n"/>
      <c r="F149" s="10" t="n"/>
      <c r="G149" s="10" t="n"/>
      <c r="H149" s="10" t="n"/>
      <c r="I149" s="10" t="n"/>
      <c r="J149" s="10" t="n"/>
      <c r="K149" s="10" t="n"/>
      <c r="L149" s="56" t="n"/>
      <c r="M149" s="10" t="n"/>
      <c r="N149" s="12" t="n"/>
      <c r="O149" s="10" t="n"/>
      <c r="P149" s="10" t="n"/>
      <c r="Q149" s="61">
        <f>IF(V149="","",IF(T149="","Covered by "&amp;INDEX('Form Calc'!$B:$B,V149)&amp;"'s reply (same party)","Replied "&amp;TEXT(INDEX('Form Calc'!$A:$A,T149),"mm/dd")&amp;" · "&amp;INDEX('Form Calc'!$H:$H,T149)&amp;" adult(s), "&amp;INDEX('Form Calc'!$I:$I,T149)&amp;" child(ren)"&amp;IF(INDEX('Form Calc'!$K:$K,T149)&lt;&gt;""," · "&amp;INDEX('Form Calc'!$K:$K,T149),"")&amp;IF(INDEX('Form Calc'!$M:$M,T149)&lt;&gt;""," · “"&amp;INDEX('Form Calc'!$M:$M,T149)&amp;"”","")))</f>
        <v/>
      </c>
      <c r="R149" s="32">
        <f>SUBSTITUTE(SUBSTITUTE(SUBSTITUTE(SUBSTITUTE(SUBSTITUTE(SUBSTITUTE(SUBSTITUTE(SUBSTITUTE(D149&amp;""," ",""),"-",""),"(",""),")",""),".",""),"+",""),"/",""),CHAR(160),"")</f>
        <v/>
      </c>
      <c r="S149" s="32">
        <f>IF(LEN(R149)&gt;=10,RIGHT(R149,10),R149)</f>
        <v/>
      </c>
      <c r="T149" s="32">
        <f>IF(TRIM(A149&amp;"")="","",IF(S149&lt;&gt;"",IFERROR(MATCH(S149,'Form Calc'!$P:$P,0),IFERROR(MATCH(TRIM(A149&amp;""),'Form Calc'!$Q:$Q,0),"")),IFERROR(MATCH(TRIM(A149&amp;""),'Form Calc'!$Q:$Q,0),"")))</f>
        <v/>
      </c>
      <c r="U149" s="32">
        <f>IF(AND(T149&lt;&gt;"",TRIM(E149&amp;"")&lt;&gt;""),TRIM(E149&amp;""),"")</f>
        <v/>
      </c>
      <c r="V149" s="32">
        <f>IF(TRIM(A149&amp;"")="","",IF(T149&lt;&gt;"",T149,IF(TRIM(E149&amp;"")="","",IFERROR(INDEX($T$6:$T$505,MATCH(TRIM(E149&amp;""),$U$6:$U$505,0)),""))))</f>
        <v/>
      </c>
      <c r="W149" s="32">
        <f>IF(V149="","",INDEX('Form Calc'!$G:$G,V149))</f>
        <v/>
      </c>
      <c r="X149" s="32">
        <f>IF(TRIM(A149&amp;"")="","",IF(T149&lt;&gt;"",IF(INDEX('Form Calc'!$K:$K,T149)&lt;&gt;"",INDEX('Form Calc'!$K:$K,T149),J149&amp;""),J149&amp;""))</f>
        <v/>
      </c>
      <c r="Y149" s="32">
        <f>IF(TRIM(A149&amp;"")="","",IF(TRIM(D149&amp;"")&lt;&gt;"",TRIM(D149&amp;""),IF(T149&lt;&gt;"",INDEX('Form Calc'!$C:$C,T149)&amp;"","")))</f>
        <v/>
      </c>
      <c r="Z149" s="32">
        <f>SUBSTITUTE(SUBSTITUTE(SUBSTITUTE(SUBSTITUTE(SUBSTITUTE(SUBSTITUTE(SUBSTITUTE(SUBSTITUTE(Y149," ",""),"-",""),"(",""),")",""),".",""),"+",""),"/",""),CHAR(160),"")</f>
        <v/>
      </c>
      <c r="AA149" s="32">
        <f>IF(Z149="","",IF(LEN(Z149)=10,"+1"&amp;Z149,IF(AND(LEN(Z149)=11,LEFT(Z149,1)="1"),"+"&amp;Z149,IF(LEFT(Y149,1)="+","+"&amp;Z149,Z149))))</f>
        <v/>
      </c>
      <c r="AB149" s="32">
        <f>IF(TRIM(A149&amp;"")="","",IF(TRIM(M149&amp;"")&lt;&gt;"",TRIM(M149&amp;""),IFERROR(LEFT(TRIM(A149&amp;""),FIND(" ",TRIM(A149&amp;""))-1),TRIM(A149&amp;""))))</f>
        <v/>
      </c>
      <c r="AC149" s="32">
        <f>SUBSTITUTE(SUBSTITUTE(SUBSTITUTE(SUBSTITUTE(SUBSTITUTE(SUBSTITUTE(SUBSTITUTE(SUBSTITUTE(SUBSTITUTE(SUBSTITUTE(AB149,"%","%25"),"&amp;","%26"),"#","%23"),"+","%2B"),"=","%3D"),"?","%3F"),CHAR(34),"%22"),CHAR(10),"%0A"),CHAR(13),"")," ","+")</f>
        <v/>
      </c>
      <c r="AD149" s="32">
        <f>IF(OR(AA149="",AB149=""),"",'Start Here'!$B$20&amp;"#p="&amp;SUBSTITUTE(AA149,"+","%2B")&amp;"&amp;n="&amp;AC149&amp;"&amp;m="&amp;SUBSTITUTE('Start Here'!$B$24,"{name}",AC149))</f>
        <v/>
      </c>
      <c r="AE149" s="32">
        <f>LEN(AD149)</f>
        <v/>
      </c>
      <c r="AF149" s="32">
        <f>IF(AND(TRIM(A149&amp;"")&lt;&gt;"",OR(B149="Awaiting",B149="Not sure yet")),1,0)</f>
        <v/>
      </c>
      <c r="AG149" s="32">
        <f>N(AG148)+AF149</f>
        <v/>
      </c>
      <c r="AH149" s="32">
        <f>IF(AF149=1,AG149,"")</f>
        <v/>
      </c>
      <c r="AI149" s="32">
        <f>IF(AND(TRIM(A149&amp;"")&lt;&gt;"",L149&amp;""&lt;&gt;"",L149&amp;""=Seating!$I$3&amp;"",B149&lt;&gt;"Declined"),1,0)</f>
        <v/>
      </c>
      <c r="AJ149" s="32">
        <f>N(AJ148)+AI149</f>
        <v/>
      </c>
      <c r="AK149" s="32">
        <f>IF(AI149=1,AJ149,"")</f>
        <v/>
      </c>
    </row>
    <row r="150">
      <c r="A150" s="10" t="n"/>
      <c r="B150" s="47">
        <f>IF(TRIM(A150&amp;"")="","",IF(W150&lt;&gt;"",W150,IF(I150="","Awaiting",I150)))</f>
        <v/>
      </c>
      <c r="C150" s="60">
        <f>IF(OR(B150="Awaiting",B150="Not sure yet"),IF(AD150&lt;&gt;"",HYPERLINK(AD150,"💬 Remind"),"add mobile"),"")</f>
        <v/>
      </c>
      <c r="D150" s="58" t="n"/>
      <c r="E150" s="10" t="n"/>
      <c r="F150" s="10" t="n"/>
      <c r="G150" s="10" t="n"/>
      <c r="H150" s="10" t="n"/>
      <c r="I150" s="10" t="n"/>
      <c r="J150" s="10" t="n"/>
      <c r="K150" s="10" t="n"/>
      <c r="L150" s="56" t="n"/>
      <c r="M150" s="10" t="n"/>
      <c r="N150" s="12" t="n"/>
      <c r="O150" s="10" t="n"/>
      <c r="P150" s="10" t="n"/>
      <c r="Q150" s="61">
        <f>IF(V150="","",IF(T150="","Covered by "&amp;INDEX('Form Calc'!$B:$B,V150)&amp;"'s reply (same party)","Replied "&amp;TEXT(INDEX('Form Calc'!$A:$A,T150),"mm/dd")&amp;" · "&amp;INDEX('Form Calc'!$H:$H,T150)&amp;" adult(s), "&amp;INDEX('Form Calc'!$I:$I,T150)&amp;" child(ren)"&amp;IF(INDEX('Form Calc'!$K:$K,T150)&lt;&gt;""," · "&amp;INDEX('Form Calc'!$K:$K,T150),"")&amp;IF(INDEX('Form Calc'!$M:$M,T150)&lt;&gt;""," · “"&amp;INDEX('Form Calc'!$M:$M,T150)&amp;"”","")))</f>
        <v/>
      </c>
      <c r="R150" s="32">
        <f>SUBSTITUTE(SUBSTITUTE(SUBSTITUTE(SUBSTITUTE(SUBSTITUTE(SUBSTITUTE(SUBSTITUTE(SUBSTITUTE(D150&amp;""," ",""),"-",""),"(",""),")",""),".",""),"+",""),"/",""),CHAR(160),"")</f>
        <v/>
      </c>
      <c r="S150" s="32">
        <f>IF(LEN(R150)&gt;=10,RIGHT(R150,10),R150)</f>
        <v/>
      </c>
      <c r="T150" s="32">
        <f>IF(TRIM(A150&amp;"")="","",IF(S150&lt;&gt;"",IFERROR(MATCH(S150,'Form Calc'!$P:$P,0),IFERROR(MATCH(TRIM(A150&amp;""),'Form Calc'!$Q:$Q,0),"")),IFERROR(MATCH(TRIM(A150&amp;""),'Form Calc'!$Q:$Q,0),"")))</f>
        <v/>
      </c>
      <c r="U150" s="32">
        <f>IF(AND(T150&lt;&gt;"",TRIM(E150&amp;"")&lt;&gt;""),TRIM(E150&amp;""),"")</f>
        <v/>
      </c>
      <c r="V150" s="32">
        <f>IF(TRIM(A150&amp;"")="","",IF(T150&lt;&gt;"",T150,IF(TRIM(E150&amp;"")="","",IFERROR(INDEX($T$6:$T$505,MATCH(TRIM(E150&amp;""),$U$6:$U$505,0)),""))))</f>
        <v/>
      </c>
      <c r="W150" s="32">
        <f>IF(V150="","",INDEX('Form Calc'!$G:$G,V150))</f>
        <v/>
      </c>
      <c r="X150" s="32">
        <f>IF(TRIM(A150&amp;"")="","",IF(T150&lt;&gt;"",IF(INDEX('Form Calc'!$K:$K,T150)&lt;&gt;"",INDEX('Form Calc'!$K:$K,T150),J150&amp;""),J150&amp;""))</f>
        <v/>
      </c>
      <c r="Y150" s="32">
        <f>IF(TRIM(A150&amp;"")="","",IF(TRIM(D150&amp;"")&lt;&gt;"",TRIM(D150&amp;""),IF(T150&lt;&gt;"",INDEX('Form Calc'!$C:$C,T150)&amp;"","")))</f>
        <v/>
      </c>
      <c r="Z150" s="32">
        <f>SUBSTITUTE(SUBSTITUTE(SUBSTITUTE(SUBSTITUTE(SUBSTITUTE(SUBSTITUTE(SUBSTITUTE(SUBSTITUTE(Y150," ",""),"-",""),"(",""),")",""),".",""),"+",""),"/",""),CHAR(160),"")</f>
        <v/>
      </c>
      <c r="AA150" s="32">
        <f>IF(Z150="","",IF(LEN(Z150)=10,"+1"&amp;Z150,IF(AND(LEN(Z150)=11,LEFT(Z150,1)="1"),"+"&amp;Z150,IF(LEFT(Y150,1)="+","+"&amp;Z150,Z150))))</f>
        <v/>
      </c>
      <c r="AB150" s="32">
        <f>IF(TRIM(A150&amp;"")="","",IF(TRIM(M150&amp;"")&lt;&gt;"",TRIM(M150&amp;""),IFERROR(LEFT(TRIM(A150&amp;""),FIND(" ",TRIM(A150&amp;""))-1),TRIM(A150&amp;""))))</f>
        <v/>
      </c>
      <c r="AC150" s="32">
        <f>SUBSTITUTE(SUBSTITUTE(SUBSTITUTE(SUBSTITUTE(SUBSTITUTE(SUBSTITUTE(SUBSTITUTE(SUBSTITUTE(SUBSTITUTE(SUBSTITUTE(AB150,"%","%25"),"&amp;","%26"),"#","%23"),"+","%2B"),"=","%3D"),"?","%3F"),CHAR(34),"%22"),CHAR(10),"%0A"),CHAR(13),"")," ","+")</f>
        <v/>
      </c>
      <c r="AD150" s="32">
        <f>IF(OR(AA150="",AB150=""),"",'Start Here'!$B$20&amp;"#p="&amp;SUBSTITUTE(AA150,"+","%2B")&amp;"&amp;n="&amp;AC150&amp;"&amp;m="&amp;SUBSTITUTE('Start Here'!$B$24,"{name}",AC150))</f>
        <v/>
      </c>
      <c r="AE150" s="32">
        <f>LEN(AD150)</f>
        <v/>
      </c>
      <c r="AF150" s="32">
        <f>IF(AND(TRIM(A150&amp;"")&lt;&gt;"",OR(B150="Awaiting",B150="Not sure yet")),1,0)</f>
        <v/>
      </c>
      <c r="AG150" s="32">
        <f>N(AG149)+AF150</f>
        <v/>
      </c>
      <c r="AH150" s="32">
        <f>IF(AF150=1,AG150,"")</f>
        <v/>
      </c>
      <c r="AI150" s="32">
        <f>IF(AND(TRIM(A150&amp;"")&lt;&gt;"",L150&amp;""&lt;&gt;"",L150&amp;""=Seating!$I$3&amp;"",B150&lt;&gt;"Declined"),1,0)</f>
        <v/>
      </c>
      <c r="AJ150" s="32">
        <f>N(AJ149)+AI150</f>
        <v/>
      </c>
      <c r="AK150" s="32">
        <f>IF(AI150=1,AJ150,"")</f>
        <v/>
      </c>
    </row>
    <row r="151">
      <c r="A151" s="10" t="n"/>
      <c r="B151" s="47">
        <f>IF(TRIM(A151&amp;"")="","",IF(W151&lt;&gt;"",W151,IF(I151="","Awaiting",I151)))</f>
        <v/>
      </c>
      <c r="C151" s="60">
        <f>IF(OR(B151="Awaiting",B151="Not sure yet"),IF(AD151&lt;&gt;"",HYPERLINK(AD151,"💬 Remind"),"add mobile"),"")</f>
        <v/>
      </c>
      <c r="D151" s="58" t="n"/>
      <c r="E151" s="10" t="n"/>
      <c r="F151" s="10" t="n"/>
      <c r="G151" s="10" t="n"/>
      <c r="H151" s="10" t="n"/>
      <c r="I151" s="10" t="n"/>
      <c r="J151" s="10" t="n"/>
      <c r="K151" s="10" t="n"/>
      <c r="L151" s="56" t="n"/>
      <c r="M151" s="10" t="n"/>
      <c r="N151" s="12" t="n"/>
      <c r="O151" s="10" t="n"/>
      <c r="P151" s="10" t="n"/>
      <c r="Q151" s="61">
        <f>IF(V151="","",IF(T151="","Covered by "&amp;INDEX('Form Calc'!$B:$B,V151)&amp;"'s reply (same party)","Replied "&amp;TEXT(INDEX('Form Calc'!$A:$A,T151),"mm/dd")&amp;" · "&amp;INDEX('Form Calc'!$H:$H,T151)&amp;" adult(s), "&amp;INDEX('Form Calc'!$I:$I,T151)&amp;" child(ren)"&amp;IF(INDEX('Form Calc'!$K:$K,T151)&lt;&gt;""," · "&amp;INDEX('Form Calc'!$K:$K,T151),"")&amp;IF(INDEX('Form Calc'!$M:$M,T151)&lt;&gt;""," · “"&amp;INDEX('Form Calc'!$M:$M,T151)&amp;"”","")))</f>
        <v/>
      </c>
      <c r="R151" s="32">
        <f>SUBSTITUTE(SUBSTITUTE(SUBSTITUTE(SUBSTITUTE(SUBSTITUTE(SUBSTITUTE(SUBSTITUTE(SUBSTITUTE(D151&amp;""," ",""),"-",""),"(",""),")",""),".",""),"+",""),"/",""),CHAR(160),"")</f>
        <v/>
      </c>
      <c r="S151" s="32">
        <f>IF(LEN(R151)&gt;=10,RIGHT(R151,10),R151)</f>
        <v/>
      </c>
      <c r="T151" s="32">
        <f>IF(TRIM(A151&amp;"")="","",IF(S151&lt;&gt;"",IFERROR(MATCH(S151,'Form Calc'!$P:$P,0),IFERROR(MATCH(TRIM(A151&amp;""),'Form Calc'!$Q:$Q,0),"")),IFERROR(MATCH(TRIM(A151&amp;""),'Form Calc'!$Q:$Q,0),"")))</f>
        <v/>
      </c>
      <c r="U151" s="32">
        <f>IF(AND(T151&lt;&gt;"",TRIM(E151&amp;"")&lt;&gt;""),TRIM(E151&amp;""),"")</f>
        <v/>
      </c>
      <c r="V151" s="32">
        <f>IF(TRIM(A151&amp;"")="","",IF(T151&lt;&gt;"",T151,IF(TRIM(E151&amp;"")="","",IFERROR(INDEX($T$6:$T$505,MATCH(TRIM(E151&amp;""),$U$6:$U$505,0)),""))))</f>
        <v/>
      </c>
      <c r="W151" s="32">
        <f>IF(V151="","",INDEX('Form Calc'!$G:$G,V151))</f>
        <v/>
      </c>
      <c r="X151" s="32">
        <f>IF(TRIM(A151&amp;"")="","",IF(T151&lt;&gt;"",IF(INDEX('Form Calc'!$K:$K,T151)&lt;&gt;"",INDEX('Form Calc'!$K:$K,T151),J151&amp;""),J151&amp;""))</f>
        <v/>
      </c>
      <c r="Y151" s="32">
        <f>IF(TRIM(A151&amp;"")="","",IF(TRIM(D151&amp;"")&lt;&gt;"",TRIM(D151&amp;""),IF(T151&lt;&gt;"",INDEX('Form Calc'!$C:$C,T151)&amp;"","")))</f>
        <v/>
      </c>
      <c r="Z151" s="32">
        <f>SUBSTITUTE(SUBSTITUTE(SUBSTITUTE(SUBSTITUTE(SUBSTITUTE(SUBSTITUTE(SUBSTITUTE(SUBSTITUTE(Y151," ",""),"-",""),"(",""),")",""),".",""),"+",""),"/",""),CHAR(160),"")</f>
        <v/>
      </c>
      <c r="AA151" s="32">
        <f>IF(Z151="","",IF(LEN(Z151)=10,"+1"&amp;Z151,IF(AND(LEN(Z151)=11,LEFT(Z151,1)="1"),"+"&amp;Z151,IF(LEFT(Y151,1)="+","+"&amp;Z151,Z151))))</f>
        <v/>
      </c>
      <c r="AB151" s="32">
        <f>IF(TRIM(A151&amp;"")="","",IF(TRIM(M151&amp;"")&lt;&gt;"",TRIM(M151&amp;""),IFERROR(LEFT(TRIM(A151&amp;""),FIND(" ",TRIM(A151&amp;""))-1),TRIM(A151&amp;""))))</f>
        <v/>
      </c>
      <c r="AC151" s="32">
        <f>SUBSTITUTE(SUBSTITUTE(SUBSTITUTE(SUBSTITUTE(SUBSTITUTE(SUBSTITUTE(SUBSTITUTE(SUBSTITUTE(SUBSTITUTE(SUBSTITUTE(AB151,"%","%25"),"&amp;","%26"),"#","%23"),"+","%2B"),"=","%3D"),"?","%3F"),CHAR(34),"%22"),CHAR(10),"%0A"),CHAR(13),"")," ","+")</f>
        <v/>
      </c>
      <c r="AD151" s="32">
        <f>IF(OR(AA151="",AB151=""),"",'Start Here'!$B$20&amp;"#p="&amp;SUBSTITUTE(AA151,"+","%2B")&amp;"&amp;n="&amp;AC151&amp;"&amp;m="&amp;SUBSTITUTE('Start Here'!$B$24,"{name}",AC151))</f>
        <v/>
      </c>
      <c r="AE151" s="32">
        <f>LEN(AD151)</f>
        <v/>
      </c>
      <c r="AF151" s="32">
        <f>IF(AND(TRIM(A151&amp;"")&lt;&gt;"",OR(B151="Awaiting",B151="Not sure yet")),1,0)</f>
        <v/>
      </c>
      <c r="AG151" s="32">
        <f>N(AG150)+AF151</f>
        <v/>
      </c>
      <c r="AH151" s="32">
        <f>IF(AF151=1,AG151,"")</f>
        <v/>
      </c>
      <c r="AI151" s="32">
        <f>IF(AND(TRIM(A151&amp;"")&lt;&gt;"",L151&amp;""&lt;&gt;"",L151&amp;""=Seating!$I$3&amp;"",B151&lt;&gt;"Declined"),1,0)</f>
        <v/>
      </c>
      <c r="AJ151" s="32">
        <f>N(AJ150)+AI151</f>
        <v/>
      </c>
      <c r="AK151" s="32">
        <f>IF(AI151=1,AJ151,"")</f>
        <v/>
      </c>
    </row>
    <row r="152">
      <c r="A152" s="10" t="n"/>
      <c r="B152" s="47">
        <f>IF(TRIM(A152&amp;"")="","",IF(W152&lt;&gt;"",W152,IF(I152="","Awaiting",I152)))</f>
        <v/>
      </c>
      <c r="C152" s="60">
        <f>IF(OR(B152="Awaiting",B152="Not sure yet"),IF(AD152&lt;&gt;"",HYPERLINK(AD152,"💬 Remind"),"add mobile"),"")</f>
        <v/>
      </c>
      <c r="D152" s="58" t="n"/>
      <c r="E152" s="10" t="n"/>
      <c r="F152" s="10" t="n"/>
      <c r="G152" s="10" t="n"/>
      <c r="H152" s="10" t="n"/>
      <c r="I152" s="10" t="n"/>
      <c r="J152" s="10" t="n"/>
      <c r="K152" s="10" t="n"/>
      <c r="L152" s="56" t="n"/>
      <c r="M152" s="10" t="n"/>
      <c r="N152" s="12" t="n"/>
      <c r="O152" s="10" t="n"/>
      <c r="P152" s="10" t="n"/>
      <c r="Q152" s="61">
        <f>IF(V152="","",IF(T152="","Covered by "&amp;INDEX('Form Calc'!$B:$B,V152)&amp;"'s reply (same party)","Replied "&amp;TEXT(INDEX('Form Calc'!$A:$A,T152),"mm/dd")&amp;" · "&amp;INDEX('Form Calc'!$H:$H,T152)&amp;" adult(s), "&amp;INDEX('Form Calc'!$I:$I,T152)&amp;" child(ren)"&amp;IF(INDEX('Form Calc'!$K:$K,T152)&lt;&gt;""," · "&amp;INDEX('Form Calc'!$K:$K,T152),"")&amp;IF(INDEX('Form Calc'!$M:$M,T152)&lt;&gt;""," · “"&amp;INDEX('Form Calc'!$M:$M,T152)&amp;"”","")))</f>
        <v/>
      </c>
      <c r="R152" s="32">
        <f>SUBSTITUTE(SUBSTITUTE(SUBSTITUTE(SUBSTITUTE(SUBSTITUTE(SUBSTITUTE(SUBSTITUTE(SUBSTITUTE(D152&amp;""," ",""),"-",""),"(",""),")",""),".",""),"+",""),"/",""),CHAR(160),"")</f>
        <v/>
      </c>
      <c r="S152" s="32">
        <f>IF(LEN(R152)&gt;=10,RIGHT(R152,10),R152)</f>
        <v/>
      </c>
      <c r="T152" s="32">
        <f>IF(TRIM(A152&amp;"")="","",IF(S152&lt;&gt;"",IFERROR(MATCH(S152,'Form Calc'!$P:$P,0),IFERROR(MATCH(TRIM(A152&amp;""),'Form Calc'!$Q:$Q,0),"")),IFERROR(MATCH(TRIM(A152&amp;""),'Form Calc'!$Q:$Q,0),"")))</f>
        <v/>
      </c>
      <c r="U152" s="32">
        <f>IF(AND(T152&lt;&gt;"",TRIM(E152&amp;"")&lt;&gt;""),TRIM(E152&amp;""),"")</f>
        <v/>
      </c>
      <c r="V152" s="32">
        <f>IF(TRIM(A152&amp;"")="","",IF(T152&lt;&gt;"",T152,IF(TRIM(E152&amp;"")="","",IFERROR(INDEX($T$6:$T$505,MATCH(TRIM(E152&amp;""),$U$6:$U$505,0)),""))))</f>
        <v/>
      </c>
      <c r="W152" s="32">
        <f>IF(V152="","",INDEX('Form Calc'!$G:$G,V152))</f>
        <v/>
      </c>
      <c r="X152" s="32">
        <f>IF(TRIM(A152&amp;"")="","",IF(T152&lt;&gt;"",IF(INDEX('Form Calc'!$K:$K,T152)&lt;&gt;"",INDEX('Form Calc'!$K:$K,T152),J152&amp;""),J152&amp;""))</f>
        <v/>
      </c>
      <c r="Y152" s="32">
        <f>IF(TRIM(A152&amp;"")="","",IF(TRIM(D152&amp;"")&lt;&gt;"",TRIM(D152&amp;""),IF(T152&lt;&gt;"",INDEX('Form Calc'!$C:$C,T152)&amp;"","")))</f>
        <v/>
      </c>
      <c r="Z152" s="32">
        <f>SUBSTITUTE(SUBSTITUTE(SUBSTITUTE(SUBSTITUTE(SUBSTITUTE(SUBSTITUTE(SUBSTITUTE(SUBSTITUTE(Y152," ",""),"-",""),"(",""),")",""),".",""),"+",""),"/",""),CHAR(160),"")</f>
        <v/>
      </c>
      <c r="AA152" s="32">
        <f>IF(Z152="","",IF(LEN(Z152)=10,"+1"&amp;Z152,IF(AND(LEN(Z152)=11,LEFT(Z152,1)="1"),"+"&amp;Z152,IF(LEFT(Y152,1)="+","+"&amp;Z152,Z152))))</f>
        <v/>
      </c>
      <c r="AB152" s="32">
        <f>IF(TRIM(A152&amp;"")="","",IF(TRIM(M152&amp;"")&lt;&gt;"",TRIM(M152&amp;""),IFERROR(LEFT(TRIM(A152&amp;""),FIND(" ",TRIM(A152&amp;""))-1),TRIM(A152&amp;""))))</f>
        <v/>
      </c>
      <c r="AC152" s="32">
        <f>SUBSTITUTE(SUBSTITUTE(SUBSTITUTE(SUBSTITUTE(SUBSTITUTE(SUBSTITUTE(SUBSTITUTE(SUBSTITUTE(SUBSTITUTE(SUBSTITUTE(AB152,"%","%25"),"&amp;","%26"),"#","%23"),"+","%2B"),"=","%3D"),"?","%3F"),CHAR(34),"%22"),CHAR(10),"%0A"),CHAR(13),"")," ","+")</f>
        <v/>
      </c>
      <c r="AD152" s="32">
        <f>IF(OR(AA152="",AB152=""),"",'Start Here'!$B$20&amp;"#p="&amp;SUBSTITUTE(AA152,"+","%2B")&amp;"&amp;n="&amp;AC152&amp;"&amp;m="&amp;SUBSTITUTE('Start Here'!$B$24,"{name}",AC152))</f>
        <v/>
      </c>
      <c r="AE152" s="32">
        <f>LEN(AD152)</f>
        <v/>
      </c>
      <c r="AF152" s="32">
        <f>IF(AND(TRIM(A152&amp;"")&lt;&gt;"",OR(B152="Awaiting",B152="Not sure yet")),1,0)</f>
        <v/>
      </c>
      <c r="AG152" s="32">
        <f>N(AG151)+AF152</f>
        <v/>
      </c>
      <c r="AH152" s="32">
        <f>IF(AF152=1,AG152,"")</f>
        <v/>
      </c>
      <c r="AI152" s="32">
        <f>IF(AND(TRIM(A152&amp;"")&lt;&gt;"",L152&amp;""&lt;&gt;"",L152&amp;""=Seating!$I$3&amp;"",B152&lt;&gt;"Declined"),1,0)</f>
        <v/>
      </c>
      <c r="AJ152" s="32">
        <f>N(AJ151)+AI152</f>
        <v/>
      </c>
      <c r="AK152" s="32">
        <f>IF(AI152=1,AJ152,"")</f>
        <v/>
      </c>
    </row>
    <row r="153">
      <c r="A153" s="10" t="n"/>
      <c r="B153" s="47">
        <f>IF(TRIM(A153&amp;"")="","",IF(W153&lt;&gt;"",W153,IF(I153="","Awaiting",I153)))</f>
        <v/>
      </c>
      <c r="C153" s="60">
        <f>IF(OR(B153="Awaiting",B153="Not sure yet"),IF(AD153&lt;&gt;"",HYPERLINK(AD153,"💬 Remind"),"add mobile"),"")</f>
        <v/>
      </c>
      <c r="D153" s="58" t="n"/>
      <c r="E153" s="10" t="n"/>
      <c r="F153" s="10" t="n"/>
      <c r="G153" s="10" t="n"/>
      <c r="H153" s="10" t="n"/>
      <c r="I153" s="10" t="n"/>
      <c r="J153" s="10" t="n"/>
      <c r="K153" s="10" t="n"/>
      <c r="L153" s="56" t="n"/>
      <c r="M153" s="10" t="n"/>
      <c r="N153" s="12" t="n"/>
      <c r="O153" s="10" t="n"/>
      <c r="P153" s="10" t="n"/>
      <c r="Q153" s="61">
        <f>IF(V153="","",IF(T153="","Covered by "&amp;INDEX('Form Calc'!$B:$B,V153)&amp;"'s reply (same party)","Replied "&amp;TEXT(INDEX('Form Calc'!$A:$A,T153),"mm/dd")&amp;" · "&amp;INDEX('Form Calc'!$H:$H,T153)&amp;" adult(s), "&amp;INDEX('Form Calc'!$I:$I,T153)&amp;" child(ren)"&amp;IF(INDEX('Form Calc'!$K:$K,T153)&lt;&gt;""," · "&amp;INDEX('Form Calc'!$K:$K,T153),"")&amp;IF(INDEX('Form Calc'!$M:$M,T153)&lt;&gt;""," · “"&amp;INDEX('Form Calc'!$M:$M,T153)&amp;"”","")))</f>
        <v/>
      </c>
      <c r="R153" s="32">
        <f>SUBSTITUTE(SUBSTITUTE(SUBSTITUTE(SUBSTITUTE(SUBSTITUTE(SUBSTITUTE(SUBSTITUTE(SUBSTITUTE(D153&amp;""," ",""),"-",""),"(",""),")",""),".",""),"+",""),"/",""),CHAR(160),"")</f>
        <v/>
      </c>
      <c r="S153" s="32">
        <f>IF(LEN(R153)&gt;=10,RIGHT(R153,10),R153)</f>
        <v/>
      </c>
      <c r="T153" s="32">
        <f>IF(TRIM(A153&amp;"")="","",IF(S153&lt;&gt;"",IFERROR(MATCH(S153,'Form Calc'!$P:$P,0),IFERROR(MATCH(TRIM(A153&amp;""),'Form Calc'!$Q:$Q,0),"")),IFERROR(MATCH(TRIM(A153&amp;""),'Form Calc'!$Q:$Q,0),"")))</f>
        <v/>
      </c>
      <c r="U153" s="32">
        <f>IF(AND(T153&lt;&gt;"",TRIM(E153&amp;"")&lt;&gt;""),TRIM(E153&amp;""),"")</f>
        <v/>
      </c>
      <c r="V153" s="32">
        <f>IF(TRIM(A153&amp;"")="","",IF(T153&lt;&gt;"",T153,IF(TRIM(E153&amp;"")="","",IFERROR(INDEX($T$6:$T$505,MATCH(TRIM(E153&amp;""),$U$6:$U$505,0)),""))))</f>
        <v/>
      </c>
      <c r="W153" s="32">
        <f>IF(V153="","",INDEX('Form Calc'!$G:$G,V153))</f>
        <v/>
      </c>
      <c r="X153" s="32">
        <f>IF(TRIM(A153&amp;"")="","",IF(T153&lt;&gt;"",IF(INDEX('Form Calc'!$K:$K,T153)&lt;&gt;"",INDEX('Form Calc'!$K:$K,T153),J153&amp;""),J153&amp;""))</f>
        <v/>
      </c>
      <c r="Y153" s="32">
        <f>IF(TRIM(A153&amp;"")="","",IF(TRIM(D153&amp;"")&lt;&gt;"",TRIM(D153&amp;""),IF(T153&lt;&gt;"",INDEX('Form Calc'!$C:$C,T153)&amp;"","")))</f>
        <v/>
      </c>
      <c r="Z153" s="32">
        <f>SUBSTITUTE(SUBSTITUTE(SUBSTITUTE(SUBSTITUTE(SUBSTITUTE(SUBSTITUTE(SUBSTITUTE(SUBSTITUTE(Y153," ",""),"-",""),"(",""),")",""),".",""),"+",""),"/",""),CHAR(160),"")</f>
        <v/>
      </c>
      <c r="AA153" s="32">
        <f>IF(Z153="","",IF(LEN(Z153)=10,"+1"&amp;Z153,IF(AND(LEN(Z153)=11,LEFT(Z153,1)="1"),"+"&amp;Z153,IF(LEFT(Y153,1)="+","+"&amp;Z153,Z153))))</f>
        <v/>
      </c>
      <c r="AB153" s="32">
        <f>IF(TRIM(A153&amp;"")="","",IF(TRIM(M153&amp;"")&lt;&gt;"",TRIM(M153&amp;""),IFERROR(LEFT(TRIM(A153&amp;""),FIND(" ",TRIM(A153&amp;""))-1),TRIM(A153&amp;""))))</f>
        <v/>
      </c>
      <c r="AC153" s="32">
        <f>SUBSTITUTE(SUBSTITUTE(SUBSTITUTE(SUBSTITUTE(SUBSTITUTE(SUBSTITUTE(SUBSTITUTE(SUBSTITUTE(SUBSTITUTE(SUBSTITUTE(AB153,"%","%25"),"&amp;","%26"),"#","%23"),"+","%2B"),"=","%3D"),"?","%3F"),CHAR(34),"%22"),CHAR(10),"%0A"),CHAR(13),"")," ","+")</f>
        <v/>
      </c>
      <c r="AD153" s="32">
        <f>IF(OR(AA153="",AB153=""),"",'Start Here'!$B$20&amp;"#p="&amp;SUBSTITUTE(AA153,"+","%2B")&amp;"&amp;n="&amp;AC153&amp;"&amp;m="&amp;SUBSTITUTE('Start Here'!$B$24,"{name}",AC153))</f>
        <v/>
      </c>
      <c r="AE153" s="32">
        <f>LEN(AD153)</f>
        <v/>
      </c>
      <c r="AF153" s="32">
        <f>IF(AND(TRIM(A153&amp;"")&lt;&gt;"",OR(B153="Awaiting",B153="Not sure yet")),1,0)</f>
        <v/>
      </c>
      <c r="AG153" s="32">
        <f>N(AG152)+AF153</f>
        <v/>
      </c>
      <c r="AH153" s="32">
        <f>IF(AF153=1,AG153,"")</f>
        <v/>
      </c>
      <c r="AI153" s="32">
        <f>IF(AND(TRIM(A153&amp;"")&lt;&gt;"",L153&amp;""&lt;&gt;"",L153&amp;""=Seating!$I$3&amp;"",B153&lt;&gt;"Declined"),1,0)</f>
        <v/>
      </c>
      <c r="AJ153" s="32">
        <f>N(AJ152)+AI153</f>
        <v/>
      </c>
      <c r="AK153" s="32">
        <f>IF(AI153=1,AJ153,"")</f>
        <v/>
      </c>
    </row>
    <row r="154">
      <c r="A154" s="10" t="n"/>
      <c r="B154" s="47">
        <f>IF(TRIM(A154&amp;"")="","",IF(W154&lt;&gt;"",W154,IF(I154="","Awaiting",I154)))</f>
        <v/>
      </c>
      <c r="C154" s="60">
        <f>IF(OR(B154="Awaiting",B154="Not sure yet"),IF(AD154&lt;&gt;"",HYPERLINK(AD154,"💬 Remind"),"add mobile"),"")</f>
        <v/>
      </c>
      <c r="D154" s="58" t="n"/>
      <c r="E154" s="10" t="n"/>
      <c r="F154" s="10" t="n"/>
      <c r="G154" s="10" t="n"/>
      <c r="H154" s="10" t="n"/>
      <c r="I154" s="10" t="n"/>
      <c r="J154" s="10" t="n"/>
      <c r="K154" s="10" t="n"/>
      <c r="L154" s="56" t="n"/>
      <c r="M154" s="10" t="n"/>
      <c r="N154" s="12" t="n"/>
      <c r="O154" s="10" t="n"/>
      <c r="P154" s="10" t="n"/>
      <c r="Q154" s="61">
        <f>IF(V154="","",IF(T154="","Covered by "&amp;INDEX('Form Calc'!$B:$B,V154)&amp;"'s reply (same party)","Replied "&amp;TEXT(INDEX('Form Calc'!$A:$A,T154),"mm/dd")&amp;" · "&amp;INDEX('Form Calc'!$H:$H,T154)&amp;" adult(s), "&amp;INDEX('Form Calc'!$I:$I,T154)&amp;" child(ren)"&amp;IF(INDEX('Form Calc'!$K:$K,T154)&lt;&gt;""," · "&amp;INDEX('Form Calc'!$K:$K,T154),"")&amp;IF(INDEX('Form Calc'!$M:$M,T154)&lt;&gt;""," · “"&amp;INDEX('Form Calc'!$M:$M,T154)&amp;"”","")))</f>
        <v/>
      </c>
      <c r="R154" s="32">
        <f>SUBSTITUTE(SUBSTITUTE(SUBSTITUTE(SUBSTITUTE(SUBSTITUTE(SUBSTITUTE(SUBSTITUTE(SUBSTITUTE(D154&amp;""," ",""),"-",""),"(",""),")",""),".",""),"+",""),"/",""),CHAR(160),"")</f>
        <v/>
      </c>
      <c r="S154" s="32">
        <f>IF(LEN(R154)&gt;=10,RIGHT(R154,10),R154)</f>
        <v/>
      </c>
      <c r="T154" s="32">
        <f>IF(TRIM(A154&amp;"")="","",IF(S154&lt;&gt;"",IFERROR(MATCH(S154,'Form Calc'!$P:$P,0),IFERROR(MATCH(TRIM(A154&amp;""),'Form Calc'!$Q:$Q,0),"")),IFERROR(MATCH(TRIM(A154&amp;""),'Form Calc'!$Q:$Q,0),"")))</f>
        <v/>
      </c>
      <c r="U154" s="32">
        <f>IF(AND(T154&lt;&gt;"",TRIM(E154&amp;"")&lt;&gt;""),TRIM(E154&amp;""),"")</f>
        <v/>
      </c>
      <c r="V154" s="32">
        <f>IF(TRIM(A154&amp;"")="","",IF(T154&lt;&gt;"",T154,IF(TRIM(E154&amp;"")="","",IFERROR(INDEX($T$6:$T$505,MATCH(TRIM(E154&amp;""),$U$6:$U$505,0)),""))))</f>
        <v/>
      </c>
      <c r="W154" s="32">
        <f>IF(V154="","",INDEX('Form Calc'!$G:$G,V154))</f>
        <v/>
      </c>
      <c r="X154" s="32">
        <f>IF(TRIM(A154&amp;"")="","",IF(T154&lt;&gt;"",IF(INDEX('Form Calc'!$K:$K,T154)&lt;&gt;"",INDEX('Form Calc'!$K:$K,T154),J154&amp;""),J154&amp;""))</f>
        <v/>
      </c>
      <c r="Y154" s="32">
        <f>IF(TRIM(A154&amp;"")="","",IF(TRIM(D154&amp;"")&lt;&gt;"",TRIM(D154&amp;""),IF(T154&lt;&gt;"",INDEX('Form Calc'!$C:$C,T154)&amp;"","")))</f>
        <v/>
      </c>
      <c r="Z154" s="32">
        <f>SUBSTITUTE(SUBSTITUTE(SUBSTITUTE(SUBSTITUTE(SUBSTITUTE(SUBSTITUTE(SUBSTITUTE(SUBSTITUTE(Y154," ",""),"-",""),"(",""),")",""),".",""),"+",""),"/",""),CHAR(160),"")</f>
        <v/>
      </c>
      <c r="AA154" s="32">
        <f>IF(Z154="","",IF(LEN(Z154)=10,"+1"&amp;Z154,IF(AND(LEN(Z154)=11,LEFT(Z154,1)="1"),"+"&amp;Z154,IF(LEFT(Y154,1)="+","+"&amp;Z154,Z154))))</f>
        <v/>
      </c>
      <c r="AB154" s="32">
        <f>IF(TRIM(A154&amp;"")="","",IF(TRIM(M154&amp;"")&lt;&gt;"",TRIM(M154&amp;""),IFERROR(LEFT(TRIM(A154&amp;""),FIND(" ",TRIM(A154&amp;""))-1),TRIM(A154&amp;""))))</f>
        <v/>
      </c>
      <c r="AC154" s="32">
        <f>SUBSTITUTE(SUBSTITUTE(SUBSTITUTE(SUBSTITUTE(SUBSTITUTE(SUBSTITUTE(SUBSTITUTE(SUBSTITUTE(SUBSTITUTE(SUBSTITUTE(AB154,"%","%25"),"&amp;","%26"),"#","%23"),"+","%2B"),"=","%3D"),"?","%3F"),CHAR(34),"%22"),CHAR(10),"%0A"),CHAR(13),"")," ","+")</f>
        <v/>
      </c>
      <c r="AD154" s="32">
        <f>IF(OR(AA154="",AB154=""),"",'Start Here'!$B$20&amp;"#p="&amp;SUBSTITUTE(AA154,"+","%2B")&amp;"&amp;n="&amp;AC154&amp;"&amp;m="&amp;SUBSTITUTE('Start Here'!$B$24,"{name}",AC154))</f>
        <v/>
      </c>
      <c r="AE154" s="32">
        <f>LEN(AD154)</f>
        <v/>
      </c>
      <c r="AF154" s="32">
        <f>IF(AND(TRIM(A154&amp;"")&lt;&gt;"",OR(B154="Awaiting",B154="Not sure yet")),1,0)</f>
        <v/>
      </c>
      <c r="AG154" s="32">
        <f>N(AG153)+AF154</f>
        <v/>
      </c>
      <c r="AH154" s="32">
        <f>IF(AF154=1,AG154,"")</f>
        <v/>
      </c>
      <c r="AI154" s="32">
        <f>IF(AND(TRIM(A154&amp;"")&lt;&gt;"",L154&amp;""&lt;&gt;"",L154&amp;""=Seating!$I$3&amp;"",B154&lt;&gt;"Declined"),1,0)</f>
        <v/>
      </c>
      <c r="AJ154" s="32">
        <f>N(AJ153)+AI154</f>
        <v/>
      </c>
      <c r="AK154" s="32">
        <f>IF(AI154=1,AJ154,"")</f>
        <v/>
      </c>
    </row>
    <row r="155">
      <c r="A155" s="10" t="n"/>
      <c r="B155" s="47">
        <f>IF(TRIM(A155&amp;"")="","",IF(W155&lt;&gt;"",W155,IF(I155="","Awaiting",I155)))</f>
        <v/>
      </c>
      <c r="C155" s="60">
        <f>IF(OR(B155="Awaiting",B155="Not sure yet"),IF(AD155&lt;&gt;"",HYPERLINK(AD155,"💬 Remind"),"add mobile"),"")</f>
        <v/>
      </c>
      <c r="D155" s="58" t="n"/>
      <c r="E155" s="10" t="n"/>
      <c r="F155" s="10" t="n"/>
      <c r="G155" s="10" t="n"/>
      <c r="H155" s="10" t="n"/>
      <c r="I155" s="10" t="n"/>
      <c r="J155" s="10" t="n"/>
      <c r="K155" s="10" t="n"/>
      <c r="L155" s="56" t="n"/>
      <c r="M155" s="10" t="n"/>
      <c r="N155" s="12" t="n"/>
      <c r="O155" s="10" t="n"/>
      <c r="P155" s="10" t="n"/>
      <c r="Q155" s="61">
        <f>IF(V155="","",IF(T155="","Covered by "&amp;INDEX('Form Calc'!$B:$B,V155)&amp;"'s reply (same party)","Replied "&amp;TEXT(INDEX('Form Calc'!$A:$A,T155),"mm/dd")&amp;" · "&amp;INDEX('Form Calc'!$H:$H,T155)&amp;" adult(s), "&amp;INDEX('Form Calc'!$I:$I,T155)&amp;" child(ren)"&amp;IF(INDEX('Form Calc'!$K:$K,T155)&lt;&gt;""," · "&amp;INDEX('Form Calc'!$K:$K,T155),"")&amp;IF(INDEX('Form Calc'!$M:$M,T155)&lt;&gt;""," · “"&amp;INDEX('Form Calc'!$M:$M,T155)&amp;"”","")))</f>
        <v/>
      </c>
      <c r="R155" s="32">
        <f>SUBSTITUTE(SUBSTITUTE(SUBSTITUTE(SUBSTITUTE(SUBSTITUTE(SUBSTITUTE(SUBSTITUTE(SUBSTITUTE(D155&amp;""," ",""),"-",""),"(",""),")",""),".",""),"+",""),"/",""),CHAR(160),"")</f>
        <v/>
      </c>
      <c r="S155" s="32">
        <f>IF(LEN(R155)&gt;=10,RIGHT(R155,10),R155)</f>
        <v/>
      </c>
      <c r="T155" s="32">
        <f>IF(TRIM(A155&amp;"")="","",IF(S155&lt;&gt;"",IFERROR(MATCH(S155,'Form Calc'!$P:$P,0),IFERROR(MATCH(TRIM(A155&amp;""),'Form Calc'!$Q:$Q,0),"")),IFERROR(MATCH(TRIM(A155&amp;""),'Form Calc'!$Q:$Q,0),"")))</f>
        <v/>
      </c>
      <c r="U155" s="32">
        <f>IF(AND(T155&lt;&gt;"",TRIM(E155&amp;"")&lt;&gt;""),TRIM(E155&amp;""),"")</f>
        <v/>
      </c>
      <c r="V155" s="32">
        <f>IF(TRIM(A155&amp;"")="","",IF(T155&lt;&gt;"",T155,IF(TRIM(E155&amp;"")="","",IFERROR(INDEX($T$6:$T$505,MATCH(TRIM(E155&amp;""),$U$6:$U$505,0)),""))))</f>
        <v/>
      </c>
      <c r="W155" s="32">
        <f>IF(V155="","",INDEX('Form Calc'!$G:$G,V155))</f>
        <v/>
      </c>
      <c r="X155" s="32">
        <f>IF(TRIM(A155&amp;"")="","",IF(T155&lt;&gt;"",IF(INDEX('Form Calc'!$K:$K,T155)&lt;&gt;"",INDEX('Form Calc'!$K:$K,T155),J155&amp;""),J155&amp;""))</f>
        <v/>
      </c>
      <c r="Y155" s="32">
        <f>IF(TRIM(A155&amp;"")="","",IF(TRIM(D155&amp;"")&lt;&gt;"",TRIM(D155&amp;""),IF(T155&lt;&gt;"",INDEX('Form Calc'!$C:$C,T155)&amp;"","")))</f>
        <v/>
      </c>
      <c r="Z155" s="32">
        <f>SUBSTITUTE(SUBSTITUTE(SUBSTITUTE(SUBSTITUTE(SUBSTITUTE(SUBSTITUTE(SUBSTITUTE(SUBSTITUTE(Y155," ",""),"-",""),"(",""),")",""),".",""),"+",""),"/",""),CHAR(160),"")</f>
        <v/>
      </c>
      <c r="AA155" s="32">
        <f>IF(Z155="","",IF(LEN(Z155)=10,"+1"&amp;Z155,IF(AND(LEN(Z155)=11,LEFT(Z155,1)="1"),"+"&amp;Z155,IF(LEFT(Y155,1)="+","+"&amp;Z155,Z155))))</f>
        <v/>
      </c>
      <c r="AB155" s="32">
        <f>IF(TRIM(A155&amp;"")="","",IF(TRIM(M155&amp;"")&lt;&gt;"",TRIM(M155&amp;""),IFERROR(LEFT(TRIM(A155&amp;""),FIND(" ",TRIM(A155&amp;""))-1),TRIM(A155&amp;""))))</f>
        <v/>
      </c>
      <c r="AC155" s="32">
        <f>SUBSTITUTE(SUBSTITUTE(SUBSTITUTE(SUBSTITUTE(SUBSTITUTE(SUBSTITUTE(SUBSTITUTE(SUBSTITUTE(SUBSTITUTE(SUBSTITUTE(AB155,"%","%25"),"&amp;","%26"),"#","%23"),"+","%2B"),"=","%3D"),"?","%3F"),CHAR(34),"%22"),CHAR(10),"%0A"),CHAR(13),"")," ","+")</f>
        <v/>
      </c>
      <c r="AD155" s="32">
        <f>IF(OR(AA155="",AB155=""),"",'Start Here'!$B$20&amp;"#p="&amp;SUBSTITUTE(AA155,"+","%2B")&amp;"&amp;n="&amp;AC155&amp;"&amp;m="&amp;SUBSTITUTE('Start Here'!$B$24,"{name}",AC155))</f>
        <v/>
      </c>
      <c r="AE155" s="32">
        <f>LEN(AD155)</f>
        <v/>
      </c>
      <c r="AF155" s="32">
        <f>IF(AND(TRIM(A155&amp;"")&lt;&gt;"",OR(B155="Awaiting",B155="Not sure yet")),1,0)</f>
        <v/>
      </c>
      <c r="AG155" s="32">
        <f>N(AG154)+AF155</f>
        <v/>
      </c>
      <c r="AH155" s="32">
        <f>IF(AF155=1,AG155,"")</f>
        <v/>
      </c>
      <c r="AI155" s="32">
        <f>IF(AND(TRIM(A155&amp;"")&lt;&gt;"",L155&amp;""&lt;&gt;"",L155&amp;""=Seating!$I$3&amp;"",B155&lt;&gt;"Declined"),1,0)</f>
        <v/>
      </c>
      <c r="AJ155" s="32">
        <f>N(AJ154)+AI155</f>
        <v/>
      </c>
      <c r="AK155" s="32">
        <f>IF(AI155=1,AJ155,"")</f>
        <v/>
      </c>
    </row>
    <row r="156">
      <c r="A156" s="10" t="n"/>
      <c r="B156" s="47">
        <f>IF(TRIM(A156&amp;"")="","",IF(W156&lt;&gt;"",W156,IF(I156="","Awaiting",I156)))</f>
        <v/>
      </c>
      <c r="C156" s="60">
        <f>IF(OR(B156="Awaiting",B156="Not sure yet"),IF(AD156&lt;&gt;"",HYPERLINK(AD156,"💬 Remind"),"add mobile"),"")</f>
        <v/>
      </c>
      <c r="D156" s="58" t="n"/>
      <c r="E156" s="10" t="n"/>
      <c r="F156" s="10" t="n"/>
      <c r="G156" s="10" t="n"/>
      <c r="H156" s="10" t="n"/>
      <c r="I156" s="10" t="n"/>
      <c r="J156" s="10" t="n"/>
      <c r="K156" s="10" t="n"/>
      <c r="L156" s="56" t="n"/>
      <c r="M156" s="10" t="n"/>
      <c r="N156" s="12" t="n"/>
      <c r="O156" s="10" t="n"/>
      <c r="P156" s="10" t="n"/>
      <c r="Q156" s="61">
        <f>IF(V156="","",IF(T156="","Covered by "&amp;INDEX('Form Calc'!$B:$B,V156)&amp;"'s reply (same party)","Replied "&amp;TEXT(INDEX('Form Calc'!$A:$A,T156),"mm/dd")&amp;" · "&amp;INDEX('Form Calc'!$H:$H,T156)&amp;" adult(s), "&amp;INDEX('Form Calc'!$I:$I,T156)&amp;" child(ren)"&amp;IF(INDEX('Form Calc'!$K:$K,T156)&lt;&gt;""," · "&amp;INDEX('Form Calc'!$K:$K,T156),"")&amp;IF(INDEX('Form Calc'!$M:$M,T156)&lt;&gt;""," · “"&amp;INDEX('Form Calc'!$M:$M,T156)&amp;"”","")))</f>
        <v/>
      </c>
      <c r="R156" s="32">
        <f>SUBSTITUTE(SUBSTITUTE(SUBSTITUTE(SUBSTITUTE(SUBSTITUTE(SUBSTITUTE(SUBSTITUTE(SUBSTITUTE(D156&amp;""," ",""),"-",""),"(",""),")",""),".",""),"+",""),"/",""),CHAR(160),"")</f>
        <v/>
      </c>
      <c r="S156" s="32">
        <f>IF(LEN(R156)&gt;=10,RIGHT(R156,10),R156)</f>
        <v/>
      </c>
      <c r="T156" s="32">
        <f>IF(TRIM(A156&amp;"")="","",IF(S156&lt;&gt;"",IFERROR(MATCH(S156,'Form Calc'!$P:$P,0),IFERROR(MATCH(TRIM(A156&amp;""),'Form Calc'!$Q:$Q,0),"")),IFERROR(MATCH(TRIM(A156&amp;""),'Form Calc'!$Q:$Q,0),"")))</f>
        <v/>
      </c>
      <c r="U156" s="32">
        <f>IF(AND(T156&lt;&gt;"",TRIM(E156&amp;"")&lt;&gt;""),TRIM(E156&amp;""),"")</f>
        <v/>
      </c>
      <c r="V156" s="32">
        <f>IF(TRIM(A156&amp;"")="","",IF(T156&lt;&gt;"",T156,IF(TRIM(E156&amp;"")="","",IFERROR(INDEX($T$6:$T$505,MATCH(TRIM(E156&amp;""),$U$6:$U$505,0)),""))))</f>
        <v/>
      </c>
      <c r="W156" s="32">
        <f>IF(V156="","",INDEX('Form Calc'!$G:$G,V156))</f>
        <v/>
      </c>
      <c r="X156" s="32">
        <f>IF(TRIM(A156&amp;"")="","",IF(T156&lt;&gt;"",IF(INDEX('Form Calc'!$K:$K,T156)&lt;&gt;"",INDEX('Form Calc'!$K:$K,T156),J156&amp;""),J156&amp;""))</f>
        <v/>
      </c>
      <c r="Y156" s="32">
        <f>IF(TRIM(A156&amp;"")="","",IF(TRIM(D156&amp;"")&lt;&gt;"",TRIM(D156&amp;""),IF(T156&lt;&gt;"",INDEX('Form Calc'!$C:$C,T156)&amp;"","")))</f>
        <v/>
      </c>
      <c r="Z156" s="32">
        <f>SUBSTITUTE(SUBSTITUTE(SUBSTITUTE(SUBSTITUTE(SUBSTITUTE(SUBSTITUTE(SUBSTITUTE(SUBSTITUTE(Y156," ",""),"-",""),"(",""),")",""),".",""),"+",""),"/",""),CHAR(160),"")</f>
        <v/>
      </c>
      <c r="AA156" s="32">
        <f>IF(Z156="","",IF(LEN(Z156)=10,"+1"&amp;Z156,IF(AND(LEN(Z156)=11,LEFT(Z156,1)="1"),"+"&amp;Z156,IF(LEFT(Y156,1)="+","+"&amp;Z156,Z156))))</f>
        <v/>
      </c>
      <c r="AB156" s="32">
        <f>IF(TRIM(A156&amp;"")="","",IF(TRIM(M156&amp;"")&lt;&gt;"",TRIM(M156&amp;""),IFERROR(LEFT(TRIM(A156&amp;""),FIND(" ",TRIM(A156&amp;""))-1),TRIM(A156&amp;""))))</f>
        <v/>
      </c>
      <c r="AC156" s="32">
        <f>SUBSTITUTE(SUBSTITUTE(SUBSTITUTE(SUBSTITUTE(SUBSTITUTE(SUBSTITUTE(SUBSTITUTE(SUBSTITUTE(SUBSTITUTE(SUBSTITUTE(AB156,"%","%25"),"&amp;","%26"),"#","%23"),"+","%2B"),"=","%3D"),"?","%3F"),CHAR(34),"%22"),CHAR(10),"%0A"),CHAR(13),"")," ","+")</f>
        <v/>
      </c>
      <c r="AD156" s="32">
        <f>IF(OR(AA156="",AB156=""),"",'Start Here'!$B$20&amp;"#p="&amp;SUBSTITUTE(AA156,"+","%2B")&amp;"&amp;n="&amp;AC156&amp;"&amp;m="&amp;SUBSTITUTE('Start Here'!$B$24,"{name}",AC156))</f>
        <v/>
      </c>
      <c r="AE156" s="32">
        <f>LEN(AD156)</f>
        <v/>
      </c>
      <c r="AF156" s="32">
        <f>IF(AND(TRIM(A156&amp;"")&lt;&gt;"",OR(B156="Awaiting",B156="Not sure yet")),1,0)</f>
        <v/>
      </c>
      <c r="AG156" s="32">
        <f>N(AG155)+AF156</f>
        <v/>
      </c>
      <c r="AH156" s="32">
        <f>IF(AF156=1,AG156,"")</f>
        <v/>
      </c>
      <c r="AI156" s="32">
        <f>IF(AND(TRIM(A156&amp;"")&lt;&gt;"",L156&amp;""&lt;&gt;"",L156&amp;""=Seating!$I$3&amp;"",B156&lt;&gt;"Declined"),1,0)</f>
        <v/>
      </c>
      <c r="AJ156" s="32">
        <f>N(AJ155)+AI156</f>
        <v/>
      </c>
      <c r="AK156" s="32">
        <f>IF(AI156=1,AJ156,"")</f>
        <v/>
      </c>
    </row>
    <row r="157">
      <c r="A157" s="10" t="n"/>
      <c r="B157" s="47">
        <f>IF(TRIM(A157&amp;"")="","",IF(W157&lt;&gt;"",W157,IF(I157="","Awaiting",I157)))</f>
        <v/>
      </c>
      <c r="C157" s="60">
        <f>IF(OR(B157="Awaiting",B157="Not sure yet"),IF(AD157&lt;&gt;"",HYPERLINK(AD157,"💬 Remind"),"add mobile"),"")</f>
        <v/>
      </c>
      <c r="D157" s="58" t="n"/>
      <c r="E157" s="10" t="n"/>
      <c r="F157" s="10" t="n"/>
      <c r="G157" s="10" t="n"/>
      <c r="H157" s="10" t="n"/>
      <c r="I157" s="10" t="n"/>
      <c r="J157" s="10" t="n"/>
      <c r="K157" s="10" t="n"/>
      <c r="L157" s="56" t="n"/>
      <c r="M157" s="10" t="n"/>
      <c r="N157" s="12" t="n"/>
      <c r="O157" s="10" t="n"/>
      <c r="P157" s="10" t="n"/>
      <c r="Q157" s="61">
        <f>IF(V157="","",IF(T157="","Covered by "&amp;INDEX('Form Calc'!$B:$B,V157)&amp;"'s reply (same party)","Replied "&amp;TEXT(INDEX('Form Calc'!$A:$A,T157),"mm/dd")&amp;" · "&amp;INDEX('Form Calc'!$H:$H,T157)&amp;" adult(s), "&amp;INDEX('Form Calc'!$I:$I,T157)&amp;" child(ren)"&amp;IF(INDEX('Form Calc'!$K:$K,T157)&lt;&gt;""," · "&amp;INDEX('Form Calc'!$K:$K,T157),"")&amp;IF(INDEX('Form Calc'!$M:$M,T157)&lt;&gt;""," · “"&amp;INDEX('Form Calc'!$M:$M,T157)&amp;"”","")))</f>
        <v/>
      </c>
      <c r="R157" s="32">
        <f>SUBSTITUTE(SUBSTITUTE(SUBSTITUTE(SUBSTITUTE(SUBSTITUTE(SUBSTITUTE(SUBSTITUTE(SUBSTITUTE(D157&amp;""," ",""),"-",""),"(",""),")",""),".",""),"+",""),"/",""),CHAR(160),"")</f>
        <v/>
      </c>
      <c r="S157" s="32">
        <f>IF(LEN(R157)&gt;=10,RIGHT(R157,10),R157)</f>
        <v/>
      </c>
      <c r="T157" s="32">
        <f>IF(TRIM(A157&amp;"")="","",IF(S157&lt;&gt;"",IFERROR(MATCH(S157,'Form Calc'!$P:$P,0),IFERROR(MATCH(TRIM(A157&amp;""),'Form Calc'!$Q:$Q,0),"")),IFERROR(MATCH(TRIM(A157&amp;""),'Form Calc'!$Q:$Q,0),"")))</f>
        <v/>
      </c>
      <c r="U157" s="32">
        <f>IF(AND(T157&lt;&gt;"",TRIM(E157&amp;"")&lt;&gt;""),TRIM(E157&amp;""),"")</f>
        <v/>
      </c>
      <c r="V157" s="32">
        <f>IF(TRIM(A157&amp;"")="","",IF(T157&lt;&gt;"",T157,IF(TRIM(E157&amp;"")="","",IFERROR(INDEX($T$6:$T$505,MATCH(TRIM(E157&amp;""),$U$6:$U$505,0)),""))))</f>
        <v/>
      </c>
      <c r="W157" s="32">
        <f>IF(V157="","",INDEX('Form Calc'!$G:$G,V157))</f>
        <v/>
      </c>
      <c r="X157" s="32">
        <f>IF(TRIM(A157&amp;"")="","",IF(T157&lt;&gt;"",IF(INDEX('Form Calc'!$K:$K,T157)&lt;&gt;"",INDEX('Form Calc'!$K:$K,T157),J157&amp;""),J157&amp;""))</f>
        <v/>
      </c>
      <c r="Y157" s="32">
        <f>IF(TRIM(A157&amp;"")="","",IF(TRIM(D157&amp;"")&lt;&gt;"",TRIM(D157&amp;""),IF(T157&lt;&gt;"",INDEX('Form Calc'!$C:$C,T157)&amp;"","")))</f>
        <v/>
      </c>
      <c r="Z157" s="32">
        <f>SUBSTITUTE(SUBSTITUTE(SUBSTITUTE(SUBSTITUTE(SUBSTITUTE(SUBSTITUTE(SUBSTITUTE(SUBSTITUTE(Y157," ",""),"-",""),"(",""),")",""),".",""),"+",""),"/",""),CHAR(160),"")</f>
        <v/>
      </c>
      <c r="AA157" s="32">
        <f>IF(Z157="","",IF(LEN(Z157)=10,"+1"&amp;Z157,IF(AND(LEN(Z157)=11,LEFT(Z157,1)="1"),"+"&amp;Z157,IF(LEFT(Y157,1)="+","+"&amp;Z157,Z157))))</f>
        <v/>
      </c>
      <c r="AB157" s="32">
        <f>IF(TRIM(A157&amp;"")="","",IF(TRIM(M157&amp;"")&lt;&gt;"",TRIM(M157&amp;""),IFERROR(LEFT(TRIM(A157&amp;""),FIND(" ",TRIM(A157&amp;""))-1),TRIM(A157&amp;""))))</f>
        <v/>
      </c>
      <c r="AC157" s="32">
        <f>SUBSTITUTE(SUBSTITUTE(SUBSTITUTE(SUBSTITUTE(SUBSTITUTE(SUBSTITUTE(SUBSTITUTE(SUBSTITUTE(SUBSTITUTE(SUBSTITUTE(AB157,"%","%25"),"&amp;","%26"),"#","%23"),"+","%2B"),"=","%3D"),"?","%3F"),CHAR(34),"%22"),CHAR(10),"%0A"),CHAR(13),"")," ","+")</f>
        <v/>
      </c>
      <c r="AD157" s="32">
        <f>IF(OR(AA157="",AB157=""),"",'Start Here'!$B$20&amp;"#p="&amp;SUBSTITUTE(AA157,"+","%2B")&amp;"&amp;n="&amp;AC157&amp;"&amp;m="&amp;SUBSTITUTE('Start Here'!$B$24,"{name}",AC157))</f>
        <v/>
      </c>
      <c r="AE157" s="32">
        <f>LEN(AD157)</f>
        <v/>
      </c>
      <c r="AF157" s="32">
        <f>IF(AND(TRIM(A157&amp;"")&lt;&gt;"",OR(B157="Awaiting",B157="Not sure yet")),1,0)</f>
        <v/>
      </c>
      <c r="AG157" s="32">
        <f>N(AG156)+AF157</f>
        <v/>
      </c>
      <c r="AH157" s="32">
        <f>IF(AF157=1,AG157,"")</f>
        <v/>
      </c>
      <c r="AI157" s="32">
        <f>IF(AND(TRIM(A157&amp;"")&lt;&gt;"",L157&amp;""&lt;&gt;"",L157&amp;""=Seating!$I$3&amp;"",B157&lt;&gt;"Declined"),1,0)</f>
        <v/>
      </c>
      <c r="AJ157" s="32">
        <f>N(AJ156)+AI157</f>
        <v/>
      </c>
      <c r="AK157" s="32">
        <f>IF(AI157=1,AJ157,"")</f>
        <v/>
      </c>
    </row>
    <row r="158">
      <c r="A158" s="10" t="n"/>
      <c r="B158" s="47">
        <f>IF(TRIM(A158&amp;"")="","",IF(W158&lt;&gt;"",W158,IF(I158="","Awaiting",I158)))</f>
        <v/>
      </c>
      <c r="C158" s="60">
        <f>IF(OR(B158="Awaiting",B158="Not sure yet"),IF(AD158&lt;&gt;"",HYPERLINK(AD158,"💬 Remind"),"add mobile"),"")</f>
        <v/>
      </c>
      <c r="D158" s="58" t="n"/>
      <c r="E158" s="10" t="n"/>
      <c r="F158" s="10" t="n"/>
      <c r="G158" s="10" t="n"/>
      <c r="H158" s="10" t="n"/>
      <c r="I158" s="10" t="n"/>
      <c r="J158" s="10" t="n"/>
      <c r="K158" s="10" t="n"/>
      <c r="L158" s="56" t="n"/>
      <c r="M158" s="10" t="n"/>
      <c r="N158" s="12" t="n"/>
      <c r="O158" s="10" t="n"/>
      <c r="P158" s="10" t="n"/>
      <c r="Q158" s="61">
        <f>IF(V158="","",IF(T158="","Covered by "&amp;INDEX('Form Calc'!$B:$B,V158)&amp;"'s reply (same party)","Replied "&amp;TEXT(INDEX('Form Calc'!$A:$A,T158),"mm/dd")&amp;" · "&amp;INDEX('Form Calc'!$H:$H,T158)&amp;" adult(s), "&amp;INDEX('Form Calc'!$I:$I,T158)&amp;" child(ren)"&amp;IF(INDEX('Form Calc'!$K:$K,T158)&lt;&gt;""," · "&amp;INDEX('Form Calc'!$K:$K,T158),"")&amp;IF(INDEX('Form Calc'!$M:$M,T158)&lt;&gt;""," · “"&amp;INDEX('Form Calc'!$M:$M,T158)&amp;"”","")))</f>
        <v/>
      </c>
      <c r="R158" s="32">
        <f>SUBSTITUTE(SUBSTITUTE(SUBSTITUTE(SUBSTITUTE(SUBSTITUTE(SUBSTITUTE(SUBSTITUTE(SUBSTITUTE(D158&amp;""," ",""),"-",""),"(",""),")",""),".",""),"+",""),"/",""),CHAR(160),"")</f>
        <v/>
      </c>
      <c r="S158" s="32">
        <f>IF(LEN(R158)&gt;=10,RIGHT(R158,10),R158)</f>
        <v/>
      </c>
      <c r="T158" s="32">
        <f>IF(TRIM(A158&amp;"")="","",IF(S158&lt;&gt;"",IFERROR(MATCH(S158,'Form Calc'!$P:$P,0),IFERROR(MATCH(TRIM(A158&amp;""),'Form Calc'!$Q:$Q,0),"")),IFERROR(MATCH(TRIM(A158&amp;""),'Form Calc'!$Q:$Q,0),"")))</f>
        <v/>
      </c>
      <c r="U158" s="32">
        <f>IF(AND(T158&lt;&gt;"",TRIM(E158&amp;"")&lt;&gt;""),TRIM(E158&amp;""),"")</f>
        <v/>
      </c>
      <c r="V158" s="32">
        <f>IF(TRIM(A158&amp;"")="","",IF(T158&lt;&gt;"",T158,IF(TRIM(E158&amp;"")="","",IFERROR(INDEX($T$6:$T$505,MATCH(TRIM(E158&amp;""),$U$6:$U$505,0)),""))))</f>
        <v/>
      </c>
      <c r="W158" s="32">
        <f>IF(V158="","",INDEX('Form Calc'!$G:$G,V158))</f>
        <v/>
      </c>
      <c r="X158" s="32">
        <f>IF(TRIM(A158&amp;"")="","",IF(T158&lt;&gt;"",IF(INDEX('Form Calc'!$K:$K,T158)&lt;&gt;"",INDEX('Form Calc'!$K:$K,T158),J158&amp;""),J158&amp;""))</f>
        <v/>
      </c>
      <c r="Y158" s="32">
        <f>IF(TRIM(A158&amp;"")="","",IF(TRIM(D158&amp;"")&lt;&gt;"",TRIM(D158&amp;""),IF(T158&lt;&gt;"",INDEX('Form Calc'!$C:$C,T158)&amp;"","")))</f>
        <v/>
      </c>
      <c r="Z158" s="32">
        <f>SUBSTITUTE(SUBSTITUTE(SUBSTITUTE(SUBSTITUTE(SUBSTITUTE(SUBSTITUTE(SUBSTITUTE(SUBSTITUTE(Y158," ",""),"-",""),"(",""),")",""),".",""),"+",""),"/",""),CHAR(160),"")</f>
        <v/>
      </c>
      <c r="AA158" s="32">
        <f>IF(Z158="","",IF(LEN(Z158)=10,"+1"&amp;Z158,IF(AND(LEN(Z158)=11,LEFT(Z158,1)="1"),"+"&amp;Z158,IF(LEFT(Y158,1)="+","+"&amp;Z158,Z158))))</f>
        <v/>
      </c>
      <c r="AB158" s="32">
        <f>IF(TRIM(A158&amp;"")="","",IF(TRIM(M158&amp;"")&lt;&gt;"",TRIM(M158&amp;""),IFERROR(LEFT(TRIM(A158&amp;""),FIND(" ",TRIM(A158&amp;""))-1),TRIM(A158&amp;""))))</f>
        <v/>
      </c>
      <c r="AC158" s="32">
        <f>SUBSTITUTE(SUBSTITUTE(SUBSTITUTE(SUBSTITUTE(SUBSTITUTE(SUBSTITUTE(SUBSTITUTE(SUBSTITUTE(SUBSTITUTE(SUBSTITUTE(AB158,"%","%25"),"&amp;","%26"),"#","%23"),"+","%2B"),"=","%3D"),"?","%3F"),CHAR(34),"%22"),CHAR(10),"%0A"),CHAR(13),"")," ","+")</f>
        <v/>
      </c>
      <c r="AD158" s="32">
        <f>IF(OR(AA158="",AB158=""),"",'Start Here'!$B$20&amp;"#p="&amp;SUBSTITUTE(AA158,"+","%2B")&amp;"&amp;n="&amp;AC158&amp;"&amp;m="&amp;SUBSTITUTE('Start Here'!$B$24,"{name}",AC158))</f>
        <v/>
      </c>
      <c r="AE158" s="32">
        <f>LEN(AD158)</f>
        <v/>
      </c>
      <c r="AF158" s="32">
        <f>IF(AND(TRIM(A158&amp;"")&lt;&gt;"",OR(B158="Awaiting",B158="Not sure yet")),1,0)</f>
        <v/>
      </c>
      <c r="AG158" s="32">
        <f>N(AG157)+AF158</f>
        <v/>
      </c>
      <c r="AH158" s="32">
        <f>IF(AF158=1,AG158,"")</f>
        <v/>
      </c>
      <c r="AI158" s="32">
        <f>IF(AND(TRIM(A158&amp;"")&lt;&gt;"",L158&amp;""&lt;&gt;"",L158&amp;""=Seating!$I$3&amp;"",B158&lt;&gt;"Declined"),1,0)</f>
        <v/>
      </c>
      <c r="AJ158" s="32">
        <f>N(AJ157)+AI158</f>
        <v/>
      </c>
      <c r="AK158" s="32">
        <f>IF(AI158=1,AJ158,"")</f>
        <v/>
      </c>
    </row>
    <row r="159">
      <c r="A159" s="10" t="n"/>
      <c r="B159" s="47">
        <f>IF(TRIM(A159&amp;"")="","",IF(W159&lt;&gt;"",W159,IF(I159="","Awaiting",I159)))</f>
        <v/>
      </c>
      <c r="C159" s="60">
        <f>IF(OR(B159="Awaiting",B159="Not sure yet"),IF(AD159&lt;&gt;"",HYPERLINK(AD159,"💬 Remind"),"add mobile"),"")</f>
        <v/>
      </c>
      <c r="D159" s="58" t="n"/>
      <c r="E159" s="10" t="n"/>
      <c r="F159" s="10" t="n"/>
      <c r="G159" s="10" t="n"/>
      <c r="H159" s="10" t="n"/>
      <c r="I159" s="10" t="n"/>
      <c r="J159" s="10" t="n"/>
      <c r="K159" s="10" t="n"/>
      <c r="L159" s="56" t="n"/>
      <c r="M159" s="10" t="n"/>
      <c r="N159" s="12" t="n"/>
      <c r="O159" s="10" t="n"/>
      <c r="P159" s="10" t="n"/>
      <c r="Q159" s="61">
        <f>IF(V159="","",IF(T159="","Covered by "&amp;INDEX('Form Calc'!$B:$B,V159)&amp;"'s reply (same party)","Replied "&amp;TEXT(INDEX('Form Calc'!$A:$A,T159),"mm/dd")&amp;" · "&amp;INDEX('Form Calc'!$H:$H,T159)&amp;" adult(s), "&amp;INDEX('Form Calc'!$I:$I,T159)&amp;" child(ren)"&amp;IF(INDEX('Form Calc'!$K:$K,T159)&lt;&gt;""," · "&amp;INDEX('Form Calc'!$K:$K,T159),"")&amp;IF(INDEX('Form Calc'!$M:$M,T159)&lt;&gt;""," · “"&amp;INDEX('Form Calc'!$M:$M,T159)&amp;"”","")))</f>
        <v/>
      </c>
      <c r="R159" s="32">
        <f>SUBSTITUTE(SUBSTITUTE(SUBSTITUTE(SUBSTITUTE(SUBSTITUTE(SUBSTITUTE(SUBSTITUTE(SUBSTITUTE(D159&amp;""," ",""),"-",""),"(",""),")",""),".",""),"+",""),"/",""),CHAR(160),"")</f>
        <v/>
      </c>
      <c r="S159" s="32">
        <f>IF(LEN(R159)&gt;=10,RIGHT(R159,10),R159)</f>
        <v/>
      </c>
      <c r="T159" s="32">
        <f>IF(TRIM(A159&amp;"")="","",IF(S159&lt;&gt;"",IFERROR(MATCH(S159,'Form Calc'!$P:$P,0),IFERROR(MATCH(TRIM(A159&amp;""),'Form Calc'!$Q:$Q,0),"")),IFERROR(MATCH(TRIM(A159&amp;""),'Form Calc'!$Q:$Q,0),"")))</f>
        <v/>
      </c>
      <c r="U159" s="32">
        <f>IF(AND(T159&lt;&gt;"",TRIM(E159&amp;"")&lt;&gt;""),TRIM(E159&amp;""),"")</f>
        <v/>
      </c>
      <c r="V159" s="32">
        <f>IF(TRIM(A159&amp;"")="","",IF(T159&lt;&gt;"",T159,IF(TRIM(E159&amp;"")="","",IFERROR(INDEX($T$6:$T$505,MATCH(TRIM(E159&amp;""),$U$6:$U$505,0)),""))))</f>
        <v/>
      </c>
      <c r="W159" s="32">
        <f>IF(V159="","",INDEX('Form Calc'!$G:$G,V159))</f>
        <v/>
      </c>
      <c r="X159" s="32">
        <f>IF(TRIM(A159&amp;"")="","",IF(T159&lt;&gt;"",IF(INDEX('Form Calc'!$K:$K,T159)&lt;&gt;"",INDEX('Form Calc'!$K:$K,T159),J159&amp;""),J159&amp;""))</f>
        <v/>
      </c>
      <c r="Y159" s="32">
        <f>IF(TRIM(A159&amp;"")="","",IF(TRIM(D159&amp;"")&lt;&gt;"",TRIM(D159&amp;""),IF(T159&lt;&gt;"",INDEX('Form Calc'!$C:$C,T159)&amp;"","")))</f>
        <v/>
      </c>
      <c r="Z159" s="32">
        <f>SUBSTITUTE(SUBSTITUTE(SUBSTITUTE(SUBSTITUTE(SUBSTITUTE(SUBSTITUTE(SUBSTITUTE(SUBSTITUTE(Y159," ",""),"-",""),"(",""),")",""),".",""),"+",""),"/",""),CHAR(160),"")</f>
        <v/>
      </c>
      <c r="AA159" s="32">
        <f>IF(Z159="","",IF(LEN(Z159)=10,"+1"&amp;Z159,IF(AND(LEN(Z159)=11,LEFT(Z159,1)="1"),"+"&amp;Z159,IF(LEFT(Y159,1)="+","+"&amp;Z159,Z159))))</f>
        <v/>
      </c>
      <c r="AB159" s="32">
        <f>IF(TRIM(A159&amp;"")="","",IF(TRIM(M159&amp;"")&lt;&gt;"",TRIM(M159&amp;""),IFERROR(LEFT(TRIM(A159&amp;""),FIND(" ",TRIM(A159&amp;""))-1),TRIM(A159&amp;""))))</f>
        <v/>
      </c>
      <c r="AC159" s="32">
        <f>SUBSTITUTE(SUBSTITUTE(SUBSTITUTE(SUBSTITUTE(SUBSTITUTE(SUBSTITUTE(SUBSTITUTE(SUBSTITUTE(SUBSTITUTE(SUBSTITUTE(AB159,"%","%25"),"&amp;","%26"),"#","%23"),"+","%2B"),"=","%3D"),"?","%3F"),CHAR(34),"%22"),CHAR(10),"%0A"),CHAR(13),"")," ","+")</f>
        <v/>
      </c>
      <c r="AD159" s="32">
        <f>IF(OR(AA159="",AB159=""),"",'Start Here'!$B$20&amp;"#p="&amp;SUBSTITUTE(AA159,"+","%2B")&amp;"&amp;n="&amp;AC159&amp;"&amp;m="&amp;SUBSTITUTE('Start Here'!$B$24,"{name}",AC159))</f>
        <v/>
      </c>
      <c r="AE159" s="32">
        <f>LEN(AD159)</f>
        <v/>
      </c>
      <c r="AF159" s="32">
        <f>IF(AND(TRIM(A159&amp;"")&lt;&gt;"",OR(B159="Awaiting",B159="Not sure yet")),1,0)</f>
        <v/>
      </c>
      <c r="AG159" s="32">
        <f>N(AG158)+AF159</f>
        <v/>
      </c>
      <c r="AH159" s="32">
        <f>IF(AF159=1,AG159,"")</f>
        <v/>
      </c>
      <c r="AI159" s="32">
        <f>IF(AND(TRIM(A159&amp;"")&lt;&gt;"",L159&amp;""&lt;&gt;"",L159&amp;""=Seating!$I$3&amp;"",B159&lt;&gt;"Declined"),1,0)</f>
        <v/>
      </c>
      <c r="AJ159" s="32">
        <f>N(AJ158)+AI159</f>
        <v/>
      </c>
      <c r="AK159" s="32">
        <f>IF(AI159=1,AJ159,"")</f>
        <v/>
      </c>
    </row>
    <row r="160">
      <c r="A160" s="10" t="n"/>
      <c r="B160" s="47">
        <f>IF(TRIM(A160&amp;"")="","",IF(W160&lt;&gt;"",W160,IF(I160="","Awaiting",I160)))</f>
        <v/>
      </c>
      <c r="C160" s="60">
        <f>IF(OR(B160="Awaiting",B160="Not sure yet"),IF(AD160&lt;&gt;"",HYPERLINK(AD160,"💬 Remind"),"add mobile"),"")</f>
        <v/>
      </c>
      <c r="D160" s="58" t="n"/>
      <c r="E160" s="10" t="n"/>
      <c r="F160" s="10" t="n"/>
      <c r="G160" s="10" t="n"/>
      <c r="H160" s="10" t="n"/>
      <c r="I160" s="10" t="n"/>
      <c r="J160" s="10" t="n"/>
      <c r="K160" s="10" t="n"/>
      <c r="L160" s="56" t="n"/>
      <c r="M160" s="10" t="n"/>
      <c r="N160" s="12" t="n"/>
      <c r="O160" s="10" t="n"/>
      <c r="P160" s="10" t="n"/>
      <c r="Q160" s="61">
        <f>IF(V160="","",IF(T160="","Covered by "&amp;INDEX('Form Calc'!$B:$B,V160)&amp;"'s reply (same party)","Replied "&amp;TEXT(INDEX('Form Calc'!$A:$A,T160),"mm/dd")&amp;" · "&amp;INDEX('Form Calc'!$H:$H,T160)&amp;" adult(s), "&amp;INDEX('Form Calc'!$I:$I,T160)&amp;" child(ren)"&amp;IF(INDEX('Form Calc'!$K:$K,T160)&lt;&gt;""," · "&amp;INDEX('Form Calc'!$K:$K,T160),"")&amp;IF(INDEX('Form Calc'!$M:$M,T160)&lt;&gt;""," · “"&amp;INDEX('Form Calc'!$M:$M,T160)&amp;"”","")))</f>
        <v/>
      </c>
      <c r="R160" s="32">
        <f>SUBSTITUTE(SUBSTITUTE(SUBSTITUTE(SUBSTITUTE(SUBSTITUTE(SUBSTITUTE(SUBSTITUTE(SUBSTITUTE(D160&amp;""," ",""),"-",""),"(",""),")",""),".",""),"+",""),"/",""),CHAR(160),"")</f>
        <v/>
      </c>
      <c r="S160" s="32">
        <f>IF(LEN(R160)&gt;=10,RIGHT(R160,10),R160)</f>
        <v/>
      </c>
      <c r="T160" s="32">
        <f>IF(TRIM(A160&amp;"")="","",IF(S160&lt;&gt;"",IFERROR(MATCH(S160,'Form Calc'!$P:$P,0),IFERROR(MATCH(TRIM(A160&amp;""),'Form Calc'!$Q:$Q,0),"")),IFERROR(MATCH(TRIM(A160&amp;""),'Form Calc'!$Q:$Q,0),"")))</f>
        <v/>
      </c>
      <c r="U160" s="32">
        <f>IF(AND(T160&lt;&gt;"",TRIM(E160&amp;"")&lt;&gt;""),TRIM(E160&amp;""),"")</f>
        <v/>
      </c>
      <c r="V160" s="32">
        <f>IF(TRIM(A160&amp;"")="","",IF(T160&lt;&gt;"",T160,IF(TRIM(E160&amp;"")="","",IFERROR(INDEX($T$6:$T$505,MATCH(TRIM(E160&amp;""),$U$6:$U$505,0)),""))))</f>
        <v/>
      </c>
      <c r="W160" s="32">
        <f>IF(V160="","",INDEX('Form Calc'!$G:$G,V160))</f>
        <v/>
      </c>
      <c r="X160" s="32">
        <f>IF(TRIM(A160&amp;"")="","",IF(T160&lt;&gt;"",IF(INDEX('Form Calc'!$K:$K,T160)&lt;&gt;"",INDEX('Form Calc'!$K:$K,T160),J160&amp;""),J160&amp;""))</f>
        <v/>
      </c>
      <c r="Y160" s="32">
        <f>IF(TRIM(A160&amp;"")="","",IF(TRIM(D160&amp;"")&lt;&gt;"",TRIM(D160&amp;""),IF(T160&lt;&gt;"",INDEX('Form Calc'!$C:$C,T160)&amp;"","")))</f>
        <v/>
      </c>
      <c r="Z160" s="32">
        <f>SUBSTITUTE(SUBSTITUTE(SUBSTITUTE(SUBSTITUTE(SUBSTITUTE(SUBSTITUTE(SUBSTITUTE(SUBSTITUTE(Y160," ",""),"-",""),"(",""),")",""),".",""),"+",""),"/",""),CHAR(160),"")</f>
        <v/>
      </c>
      <c r="AA160" s="32">
        <f>IF(Z160="","",IF(LEN(Z160)=10,"+1"&amp;Z160,IF(AND(LEN(Z160)=11,LEFT(Z160,1)="1"),"+"&amp;Z160,IF(LEFT(Y160,1)="+","+"&amp;Z160,Z160))))</f>
        <v/>
      </c>
      <c r="AB160" s="32">
        <f>IF(TRIM(A160&amp;"")="","",IF(TRIM(M160&amp;"")&lt;&gt;"",TRIM(M160&amp;""),IFERROR(LEFT(TRIM(A160&amp;""),FIND(" ",TRIM(A160&amp;""))-1),TRIM(A160&amp;""))))</f>
        <v/>
      </c>
      <c r="AC160" s="32">
        <f>SUBSTITUTE(SUBSTITUTE(SUBSTITUTE(SUBSTITUTE(SUBSTITUTE(SUBSTITUTE(SUBSTITUTE(SUBSTITUTE(SUBSTITUTE(SUBSTITUTE(AB160,"%","%25"),"&amp;","%26"),"#","%23"),"+","%2B"),"=","%3D"),"?","%3F"),CHAR(34),"%22"),CHAR(10),"%0A"),CHAR(13),"")," ","+")</f>
        <v/>
      </c>
      <c r="AD160" s="32">
        <f>IF(OR(AA160="",AB160=""),"",'Start Here'!$B$20&amp;"#p="&amp;SUBSTITUTE(AA160,"+","%2B")&amp;"&amp;n="&amp;AC160&amp;"&amp;m="&amp;SUBSTITUTE('Start Here'!$B$24,"{name}",AC160))</f>
        <v/>
      </c>
      <c r="AE160" s="32">
        <f>LEN(AD160)</f>
        <v/>
      </c>
      <c r="AF160" s="32">
        <f>IF(AND(TRIM(A160&amp;"")&lt;&gt;"",OR(B160="Awaiting",B160="Not sure yet")),1,0)</f>
        <v/>
      </c>
      <c r="AG160" s="32">
        <f>N(AG159)+AF160</f>
        <v/>
      </c>
      <c r="AH160" s="32">
        <f>IF(AF160=1,AG160,"")</f>
        <v/>
      </c>
      <c r="AI160" s="32">
        <f>IF(AND(TRIM(A160&amp;"")&lt;&gt;"",L160&amp;""&lt;&gt;"",L160&amp;""=Seating!$I$3&amp;"",B160&lt;&gt;"Declined"),1,0)</f>
        <v/>
      </c>
      <c r="AJ160" s="32">
        <f>N(AJ159)+AI160</f>
        <v/>
      </c>
      <c r="AK160" s="32">
        <f>IF(AI160=1,AJ160,"")</f>
        <v/>
      </c>
    </row>
    <row r="161">
      <c r="A161" s="10" t="n"/>
      <c r="B161" s="47">
        <f>IF(TRIM(A161&amp;"")="","",IF(W161&lt;&gt;"",W161,IF(I161="","Awaiting",I161)))</f>
        <v/>
      </c>
      <c r="C161" s="60">
        <f>IF(OR(B161="Awaiting",B161="Not sure yet"),IF(AD161&lt;&gt;"",HYPERLINK(AD161,"💬 Remind"),"add mobile"),"")</f>
        <v/>
      </c>
      <c r="D161" s="58" t="n"/>
      <c r="E161" s="10" t="n"/>
      <c r="F161" s="10" t="n"/>
      <c r="G161" s="10" t="n"/>
      <c r="H161" s="10" t="n"/>
      <c r="I161" s="10" t="n"/>
      <c r="J161" s="10" t="n"/>
      <c r="K161" s="10" t="n"/>
      <c r="L161" s="56" t="n"/>
      <c r="M161" s="10" t="n"/>
      <c r="N161" s="12" t="n"/>
      <c r="O161" s="10" t="n"/>
      <c r="P161" s="10" t="n"/>
      <c r="Q161" s="61">
        <f>IF(V161="","",IF(T161="","Covered by "&amp;INDEX('Form Calc'!$B:$B,V161)&amp;"'s reply (same party)","Replied "&amp;TEXT(INDEX('Form Calc'!$A:$A,T161),"mm/dd")&amp;" · "&amp;INDEX('Form Calc'!$H:$H,T161)&amp;" adult(s), "&amp;INDEX('Form Calc'!$I:$I,T161)&amp;" child(ren)"&amp;IF(INDEX('Form Calc'!$K:$K,T161)&lt;&gt;""," · "&amp;INDEX('Form Calc'!$K:$K,T161),"")&amp;IF(INDEX('Form Calc'!$M:$M,T161)&lt;&gt;""," · “"&amp;INDEX('Form Calc'!$M:$M,T161)&amp;"”","")))</f>
        <v/>
      </c>
      <c r="R161" s="32">
        <f>SUBSTITUTE(SUBSTITUTE(SUBSTITUTE(SUBSTITUTE(SUBSTITUTE(SUBSTITUTE(SUBSTITUTE(SUBSTITUTE(D161&amp;""," ",""),"-",""),"(",""),")",""),".",""),"+",""),"/",""),CHAR(160),"")</f>
        <v/>
      </c>
      <c r="S161" s="32">
        <f>IF(LEN(R161)&gt;=10,RIGHT(R161,10),R161)</f>
        <v/>
      </c>
      <c r="T161" s="32">
        <f>IF(TRIM(A161&amp;"")="","",IF(S161&lt;&gt;"",IFERROR(MATCH(S161,'Form Calc'!$P:$P,0),IFERROR(MATCH(TRIM(A161&amp;""),'Form Calc'!$Q:$Q,0),"")),IFERROR(MATCH(TRIM(A161&amp;""),'Form Calc'!$Q:$Q,0),"")))</f>
        <v/>
      </c>
      <c r="U161" s="32">
        <f>IF(AND(T161&lt;&gt;"",TRIM(E161&amp;"")&lt;&gt;""),TRIM(E161&amp;""),"")</f>
        <v/>
      </c>
      <c r="V161" s="32">
        <f>IF(TRIM(A161&amp;"")="","",IF(T161&lt;&gt;"",T161,IF(TRIM(E161&amp;"")="","",IFERROR(INDEX($T$6:$T$505,MATCH(TRIM(E161&amp;""),$U$6:$U$505,0)),""))))</f>
        <v/>
      </c>
      <c r="W161" s="32">
        <f>IF(V161="","",INDEX('Form Calc'!$G:$G,V161))</f>
        <v/>
      </c>
      <c r="X161" s="32">
        <f>IF(TRIM(A161&amp;"")="","",IF(T161&lt;&gt;"",IF(INDEX('Form Calc'!$K:$K,T161)&lt;&gt;"",INDEX('Form Calc'!$K:$K,T161),J161&amp;""),J161&amp;""))</f>
        <v/>
      </c>
      <c r="Y161" s="32">
        <f>IF(TRIM(A161&amp;"")="","",IF(TRIM(D161&amp;"")&lt;&gt;"",TRIM(D161&amp;""),IF(T161&lt;&gt;"",INDEX('Form Calc'!$C:$C,T161)&amp;"","")))</f>
        <v/>
      </c>
      <c r="Z161" s="32">
        <f>SUBSTITUTE(SUBSTITUTE(SUBSTITUTE(SUBSTITUTE(SUBSTITUTE(SUBSTITUTE(SUBSTITUTE(SUBSTITUTE(Y161," ",""),"-",""),"(",""),")",""),".",""),"+",""),"/",""),CHAR(160),"")</f>
        <v/>
      </c>
      <c r="AA161" s="32">
        <f>IF(Z161="","",IF(LEN(Z161)=10,"+1"&amp;Z161,IF(AND(LEN(Z161)=11,LEFT(Z161,1)="1"),"+"&amp;Z161,IF(LEFT(Y161,1)="+","+"&amp;Z161,Z161))))</f>
        <v/>
      </c>
      <c r="AB161" s="32">
        <f>IF(TRIM(A161&amp;"")="","",IF(TRIM(M161&amp;"")&lt;&gt;"",TRIM(M161&amp;""),IFERROR(LEFT(TRIM(A161&amp;""),FIND(" ",TRIM(A161&amp;""))-1),TRIM(A161&amp;""))))</f>
        <v/>
      </c>
      <c r="AC161" s="32">
        <f>SUBSTITUTE(SUBSTITUTE(SUBSTITUTE(SUBSTITUTE(SUBSTITUTE(SUBSTITUTE(SUBSTITUTE(SUBSTITUTE(SUBSTITUTE(SUBSTITUTE(AB161,"%","%25"),"&amp;","%26"),"#","%23"),"+","%2B"),"=","%3D"),"?","%3F"),CHAR(34),"%22"),CHAR(10),"%0A"),CHAR(13),"")," ","+")</f>
        <v/>
      </c>
      <c r="AD161" s="32">
        <f>IF(OR(AA161="",AB161=""),"",'Start Here'!$B$20&amp;"#p="&amp;SUBSTITUTE(AA161,"+","%2B")&amp;"&amp;n="&amp;AC161&amp;"&amp;m="&amp;SUBSTITUTE('Start Here'!$B$24,"{name}",AC161))</f>
        <v/>
      </c>
      <c r="AE161" s="32">
        <f>LEN(AD161)</f>
        <v/>
      </c>
      <c r="AF161" s="32">
        <f>IF(AND(TRIM(A161&amp;"")&lt;&gt;"",OR(B161="Awaiting",B161="Not sure yet")),1,0)</f>
        <v/>
      </c>
      <c r="AG161" s="32">
        <f>N(AG160)+AF161</f>
        <v/>
      </c>
      <c r="AH161" s="32">
        <f>IF(AF161=1,AG161,"")</f>
        <v/>
      </c>
      <c r="AI161" s="32">
        <f>IF(AND(TRIM(A161&amp;"")&lt;&gt;"",L161&amp;""&lt;&gt;"",L161&amp;""=Seating!$I$3&amp;"",B161&lt;&gt;"Declined"),1,0)</f>
        <v/>
      </c>
      <c r="AJ161" s="32">
        <f>N(AJ160)+AI161</f>
        <v/>
      </c>
      <c r="AK161" s="32">
        <f>IF(AI161=1,AJ161,"")</f>
        <v/>
      </c>
    </row>
    <row r="162">
      <c r="A162" s="10" t="n"/>
      <c r="B162" s="47">
        <f>IF(TRIM(A162&amp;"")="","",IF(W162&lt;&gt;"",W162,IF(I162="","Awaiting",I162)))</f>
        <v/>
      </c>
      <c r="C162" s="60">
        <f>IF(OR(B162="Awaiting",B162="Not sure yet"),IF(AD162&lt;&gt;"",HYPERLINK(AD162,"💬 Remind"),"add mobile"),"")</f>
        <v/>
      </c>
      <c r="D162" s="58" t="n"/>
      <c r="E162" s="10" t="n"/>
      <c r="F162" s="10" t="n"/>
      <c r="G162" s="10" t="n"/>
      <c r="H162" s="10" t="n"/>
      <c r="I162" s="10" t="n"/>
      <c r="J162" s="10" t="n"/>
      <c r="K162" s="10" t="n"/>
      <c r="L162" s="56" t="n"/>
      <c r="M162" s="10" t="n"/>
      <c r="N162" s="12" t="n"/>
      <c r="O162" s="10" t="n"/>
      <c r="P162" s="10" t="n"/>
      <c r="Q162" s="61">
        <f>IF(V162="","",IF(T162="","Covered by "&amp;INDEX('Form Calc'!$B:$B,V162)&amp;"'s reply (same party)","Replied "&amp;TEXT(INDEX('Form Calc'!$A:$A,T162),"mm/dd")&amp;" · "&amp;INDEX('Form Calc'!$H:$H,T162)&amp;" adult(s), "&amp;INDEX('Form Calc'!$I:$I,T162)&amp;" child(ren)"&amp;IF(INDEX('Form Calc'!$K:$K,T162)&lt;&gt;""," · "&amp;INDEX('Form Calc'!$K:$K,T162),"")&amp;IF(INDEX('Form Calc'!$M:$M,T162)&lt;&gt;""," · “"&amp;INDEX('Form Calc'!$M:$M,T162)&amp;"”","")))</f>
        <v/>
      </c>
      <c r="R162" s="32">
        <f>SUBSTITUTE(SUBSTITUTE(SUBSTITUTE(SUBSTITUTE(SUBSTITUTE(SUBSTITUTE(SUBSTITUTE(SUBSTITUTE(D162&amp;""," ",""),"-",""),"(",""),")",""),".",""),"+",""),"/",""),CHAR(160),"")</f>
        <v/>
      </c>
      <c r="S162" s="32">
        <f>IF(LEN(R162)&gt;=10,RIGHT(R162,10),R162)</f>
        <v/>
      </c>
      <c r="T162" s="32">
        <f>IF(TRIM(A162&amp;"")="","",IF(S162&lt;&gt;"",IFERROR(MATCH(S162,'Form Calc'!$P:$P,0),IFERROR(MATCH(TRIM(A162&amp;""),'Form Calc'!$Q:$Q,0),"")),IFERROR(MATCH(TRIM(A162&amp;""),'Form Calc'!$Q:$Q,0),"")))</f>
        <v/>
      </c>
      <c r="U162" s="32">
        <f>IF(AND(T162&lt;&gt;"",TRIM(E162&amp;"")&lt;&gt;""),TRIM(E162&amp;""),"")</f>
        <v/>
      </c>
      <c r="V162" s="32">
        <f>IF(TRIM(A162&amp;"")="","",IF(T162&lt;&gt;"",T162,IF(TRIM(E162&amp;"")="","",IFERROR(INDEX($T$6:$T$505,MATCH(TRIM(E162&amp;""),$U$6:$U$505,0)),""))))</f>
        <v/>
      </c>
      <c r="W162" s="32">
        <f>IF(V162="","",INDEX('Form Calc'!$G:$G,V162))</f>
        <v/>
      </c>
      <c r="X162" s="32">
        <f>IF(TRIM(A162&amp;"")="","",IF(T162&lt;&gt;"",IF(INDEX('Form Calc'!$K:$K,T162)&lt;&gt;"",INDEX('Form Calc'!$K:$K,T162),J162&amp;""),J162&amp;""))</f>
        <v/>
      </c>
      <c r="Y162" s="32">
        <f>IF(TRIM(A162&amp;"")="","",IF(TRIM(D162&amp;"")&lt;&gt;"",TRIM(D162&amp;""),IF(T162&lt;&gt;"",INDEX('Form Calc'!$C:$C,T162)&amp;"","")))</f>
        <v/>
      </c>
      <c r="Z162" s="32">
        <f>SUBSTITUTE(SUBSTITUTE(SUBSTITUTE(SUBSTITUTE(SUBSTITUTE(SUBSTITUTE(SUBSTITUTE(SUBSTITUTE(Y162," ",""),"-",""),"(",""),")",""),".",""),"+",""),"/",""),CHAR(160),"")</f>
        <v/>
      </c>
      <c r="AA162" s="32">
        <f>IF(Z162="","",IF(LEN(Z162)=10,"+1"&amp;Z162,IF(AND(LEN(Z162)=11,LEFT(Z162,1)="1"),"+"&amp;Z162,IF(LEFT(Y162,1)="+","+"&amp;Z162,Z162))))</f>
        <v/>
      </c>
      <c r="AB162" s="32">
        <f>IF(TRIM(A162&amp;"")="","",IF(TRIM(M162&amp;"")&lt;&gt;"",TRIM(M162&amp;""),IFERROR(LEFT(TRIM(A162&amp;""),FIND(" ",TRIM(A162&amp;""))-1),TRIM(A162&amp;""))))</f>
        <v/>
      </c>
      <c r="AC162" s="32">
        <f>SUBSTITUTE(SUBSTITUTE(SUBSTITUTE(SUBSTITUTE(SUBSTITUTE(SUBSTITUTE(SUBSTITUTE(SUBSTITUTE(SUBSTITUTE(SUBSTITUTE(AB162,"%","%25"),"&amp;","%26"),"#","%23"),"+","%2B"),"=","%3D"),"?","%3F"),CHAR(34),"%22"),CHAR(10),"%0A"),CHAR(13),"")," ","+")</f>
        <v/>
      </c>
      <c r="AD162" s="32">
        <f>IF(OR(AA162="",AB162=""),"",'Start Here'!$B$20&amp;"#p="&amp;SUBSTITUTE(AA162,"+","%2B")&amp;"&amp;n="&amp;AC162&amp;"&amp;m="&amp;SUBSTITUTE('Start Here'!$B$24,"{name}",AC162))</f>
        <v/>
      </c>
      <c r="AE162" s="32">
        <f>LEN(AD162)</f>
        <v/>
      </c>
      <c r="AF162" s="32">
        <f>IF(AND(TRIM(A162&amp;"")&lt;&gt;"",OR(B162="Awaiting",B162="Not sure yet")),1,0)</f>
        <v/>
      </c>
      <c r="AG162" s="32">
        <f>N(AG161)+AF162</f>
        <v/>
      </c>
      <c r="AH162" s="32">
        <f>IF(AF162=1,AG162,"")</f>
        <v/>
      </c>
      <c r="AI162" s="32">
        <f>IF(AND(TRIM(A162&amp;"")&lt;&gt;"",L162&amp;""&lt;&gt;"",L162&amp;""=Seating!$I$3&amp;"",B162&lt;&gt;"Declined"),1,0)</f>
        <v/>
      </c>
      <c r="AJ162" s="32">
        <f>N(AJ161)+AI162</f>
        <v/>
      </c>
      <c r="AK162" s="32">
        <f>IF(AI162=1,AJ162,"")</f>
        <v/>
      </c>
    </row>
    <row r="163">
      <c r="A163" s="10" t="n"/>
      <c r="B163" s="47">
        <f>IF(TRIM(A163&amp;"")="","",IF(W163&lt;&gt;"",W163,IF(I163="","Awaiting",I163)))</f>
        <v/>
      </c>
      <c r="C163" s="60">
        <f>IF(OR(B163="Awaiting",B163="Not sure yet"),IF(AD163&lt;&gt;"",HYPERLINK(AD163,"💬 Remind"),"add mobile"),"")</f>
        <v/>
      </c>
      <c r="D163" s="58" t="n"/>
      <c r="E163" s="10" t="n"/>
      <c r="F163" s="10" t="n"/>
      <c r="G163" s="10" t="n"/>
      <c r="H163" s="10" t="n"/>
      <c r="I163" s="10" t="n"/>
      <c r="J163" s="10" t="n"/>
      <c r="K163" s="10" t="n"/>
      <c r="L163" s="56" t="n"/>
      <c r="M163" s="10" t="n"/>
      <c r="N163" s="12" t="n"/>
      <c r="O163" s="10" t="n"/>
      <c r="P163" s="10" t="n"/>
      <c r="Q163" s="61">
        <f>IF(V163="","",IF(T163="","Covered by "&amp;INDEX('Form Calc'!$B:$B,V163)&amp;"'s reply (same party)","Replied "&amp;TEXT(INDEX('Form Calc'!$A:$A,T163),"mm/dd")&amp;" · "&amp;INDEX('Form Calc'!$H:$H,T163)&amp;" adult(s), "&amp;INDEX('Form Calc'!$I:$I,T163)&amp;" child(ren)"&amp;IF(INDEX('Form Calc'!$K:$K,T163)&lt;&gt;""," · "&amp;INDEX('Form Calc'!$K:$K,T163),"")&amp;IF(INDEX('Form Calc'!$M:$M,T163)&lt;&gt;""," · “"&amp;INDEX('Form Calc'!$M:$M,T163)&amp;"”","")))</f>
        <v/>
      </c>
      <c r="R163" s="32">
        <f>SUBSTITUTE(SUBSTITUTE(SUBSTITUTE(SUBSTITUTE(SUBSTITUTE(SUBSTITUTE(SUBSTITUTE(SUBSTITUTE(D163&amp;""," ",""),"-",""),"(",""),")",""),".",""),"+",""),"/",""),CHAR(160),"")</f>
        <v/>
      </c>
      <c r="S163" s="32">
        <f>IF(LEN(R163)&gt;=10,RIGHT(R163,10),R163)</f>
        <v/>
      </c>
      <c r="T163" s="32">
        <f>IF(TRIM(A163&amp;"")="","",IF(S163&lt;&gt;"",IFERROR(MATCH(S163,'Form Calc'!$P:$P,0),IFERROR(MATCH(TRIM(A163&amp;""),'Form Calc'!$Q:$Q,0),"")),IFERROR(MATCH(TRIM(A163&amp;""),'Form Calc'!$Q:$Q,0),"")))</f>
        <v/>
      </c>
      <c r="U163" s="32">
        <f>IF(AND(T163&lt;&gt;"",TRIM(E163&amp;"")&lt;&gt;""),TRIM(E163&amp;""),"")</f>
        <v/>
      </c>
      <c r="V163" s="32">
        <f>IF(TRIM(A163&amp;"")="","",IF(T163&lt;&gt;"",T163,IF(TRIM(E163&amp;"")="","",IFERROR(INDEX($T$6:$T$505,MATCH(TRIM(E163&amp;""),$U$6:$U$505,0)),""))))</f>
        <v/>
      </c>
      <c r="W163" s="32">
        <f>IF(V163="","",INDEX('Form Calc'!$G:$G,V163))</f>
        <v/>
      </c>
      <c r="X163" s="32">
        <f>IF(TRIM(A163&amp;"")="","",IF(T163&lt;&gt;"",IF(INDEX('Form Calc'!$K:$K,T163)&lt;&gt;"",INDEX('Form Calc'!$K:$K,T163),J163&amp;""),J163&amp;""))</f>
        <v/>
      </c>
      <c r="Y163" s="32">
        <f>IF(TRIM(A163&amp;"")="","",IF(TRIM(D163&amp;"")&lt;&gt;"",TRIM(D163&amp;""),IF(T163&lt;&gt;"",INDEX('Form Calc'!$C:$C,T163)&amp;"","")))</f>
        <v/>
      </c>
      <c r="Z163" s="32">
        <f>SUBSTITUTE(SUBSTITUTE(SUBSTITUTE(SUBSTITUTE(SUBSTITUTE(SUBSTITUTE(SUBSTITUTE(SUBSTITUTE(Y163," ",""),"-",""),"(",""),")",""),".",""),"+",""),"/",""),CHAR(160),"")</f>
        <v/>
      </c>
      <c r="AA163" s="32">
        <f>IF(Z163="","",IF(LEN(Z163)=10,"+1"&amp;Z163,IF(AND(LEN(Z163)=11,LEFT(Z163,1)="1"),"+"&amp;Z163,IF(LEFT(Y163,1)="+","+"&amp;Z163,Z163))))</f>
        <v/>
      </c>
      <c r="AB163" s="32">
        <f>IF(TRIM(A163&amp;"")="","",IF(TRIM(M163&amp;"")&lt;&gt;"",TRIM(M163&amp;""),IFERROR(LEFT(TRIM(A163&amp;""),FIND(" ",TRIM(A163&amp;""))-1),TRIM(A163&amp;""))))</f>
        <v/>
      </c>
      <c r="AC163" s="32">
        <f>SUBSTITUTE(SUBSTITUTE(SUBSTITUTE(SUBSTITUTE(SUBSTITUTE(SUBSTITUTE(SUBSTITUTE(SUBSTITUTE(SUBSTITUTE(SUBSTITUTE(AB163,"%","%25"),"&amp;","%26"),"#","%23"),"+","%2B"),"=","%3D"),"?","%3F"),CHAR(34),"%22"),CHAR(10),"%0A"),CHAR(13),"")," ","+")</f>
        <v/>
      </c>
      <c r="AD163" s="32">
        <f>IF(OR(AA163="",AB163=""),"",'Start Here'!$B$20&amp;"#p="&amp;SUBSTITUTE(AA163,"+","%2B")&amp;"&amp;n="&amp;AC163&amp;"&amp;m="&amp;SUBSTITUTE('Start Here'!$B$24,"{name}",AC163))</f>
        <v/>
      </c>
      <c r="AE163" s="32">
        <f>LEN(AD163)</f>
        <v/>
      </c>
      <c r="AF163" s="32">
        <f>IF(AND(TRIM(A163&amp;"")&lt;&gt;"",OR(B163="Awaiting",B163="Not sure yet")),1,0)</f>
        <v/>
      </c>
      <c r="AG163" s="32">
        <f>N(AG162)+AF163</f>
        <v/>
      </c>
      <c r="AH163" s="32">
        <f>IF(AF163=1,AG163,"")</f>
        <v/>
      </c>
      <c r="AI163" s="32">
        <f>IF(AND(TRIM(A163&amp;"")&lt;&gt;"",L163&amp;""&lt;&gt;"",L163&amp;""=Seating!$I$3&amp;"",B163&lt;&gt;"Declined"),1,0)</f>
        <v/>
      </c>
      <c r="AJ163" s="32">
        <f>N(AJ162)+AI163</f>
        <v/>
      </c>
      <c r="AK163" s="32">
        <f>IF(AI163=1,AJ163,"")</f>
        <v/>
      </c>
    </row>
    <row r="164">
      <c r="A164" s="10" t="n"/>
      <c r="B164" s="47">
        <f>IF(TRIM(A164&amp;"")="","",IF(W164&lt;&gt;"",W164,IF(I164="","Awaiting",I164)))</f>
        <v/>
      </c>
      <c r="C164" s="60">
        <f>IF(OR(B164="Awaiting",B164="Not sure yet"),IF(AD164&lt;&gt;"",HYPERLINK(AD164,"💬 Remind"),"add mobile"),"")</f>
        <v/>
      </c>
      <c r="D164" s="58" t="n"/>
      <c r="E164" s="10" t="n"/>
      <c r="F164" s="10" t="n"/>
      <c r="G164" s="10" t="n"/>
      <c r="H164" s="10" t="n"/>
      <c r="I164" s="10" t="n"/>
      <c r="J164" s="10" t="n"/>
      <c r="K164" s="10" t="n"/>
      <c r="L164" s="56" t="n"/>
      <c r="M164" s="10" t="n"/>
      <c r="N164" s="12" t="n"/>
      <c r="O164" s="10" t="n"/>
      <c r="P164" s="10" t="n"/>
      <c r="Q164" s="61">
        <f>IF(V164="","",IF(T164="","Covered by "&amp;INDEX('Form Calc'!$B:$B,V164)&amp;"'s reply (same party)","Replied "&amp;TEXT(INDEX('Form Calc'!$A:$A,T164),"mm/dd")&amp;" · "&amp;INDEX('Form Calc'!$H:$H,T164)&amp;" adult(s), "&amp;INDEX('Form Calc'!$I:$I,T164)&amp;" child(ren)"&amp;IF(INDEX('Form Calc'!$K:$K,T164)&lt;&gt;""," · "&amp;INDEX('Form Calc'!$K:$K,T164),"")&amp;IF(INDEX('Form Calc'!$M:$M,T164)&lt;&gt;""," · “"&amp;INDEX('Form Calc'!$M:$M,T164)&amp;"”","")))</f>
        <v/>
      </c>
      <c r="R164" s="32">
        <f>SUBSTITUTE(SUBSTITUTE(SUBSTITUTE(SUBSTITUTE(SUBSTITUTE(SUBSTITUTE(SUBSTITUTE(SUBSTITUTE(D164&amp;""," ",""),"-",""),"(",""),")",""),".",""),"+",""),"/",""),CHAR(160),"")</f>
        <v/>
      </c>
      <c r="S164" s="32">
        <f>IF(LEN(R164)&gt;=10,RIGHT(R164,10),R164)</f>
        <v/>
      </c>
      <c r="T164" s="32">
        <f>IF(TRIM(A164&amp;"")="","",IF(S164&lt;&gt;"",IFERROR(MATCH(S164,'Form Calc'!$P:$P,0),IFERROR(MATCH(TRIM(A164&amp;""),'Form Calc'!$Q:$Q,0),"")),IFERROR(MATCH(TRIM(A164&amp;""),'Form Calc'!$Q:$Q,0),"")))</f>
        <v/>
      </c>
      <c r="U164" s="32">
        <f>IF(AND(T164&lt;&gt;"",TRIM(E164&amp;"")&lt;&gt;""),TRIM(E164&amp;""),"")</f>
        <v/>
      </c>
      <c r="V164" s="32">
        <f>IF(TRIM(A164&amp;"")="","",IF(T164&lt;&gt;"",T164,IF(TRIM(E164&amp;"")="","",IFERROR(INDEX($T$6:$T$505,MATCH(TRIM(E164&amp;""),$U$6:$U$505,0)),""))))</f>
        <v/>
      </c>
      <c r="W164" s="32">
        <f>IF(V164="","",INDEX('Form Calc'!$G:$G,V164))</f>
        <v/>
      </c>
      <c r="X164" s="32">
        <f>IF(TRIM(A164&amp;"")="","",IF(T164&lt;&gt;"",IF(INDEX('Form Calc'!$K:$K,T164)&lt;&gt;"",INDEX('Form Calc'!$K:$K,T164),J164&amp;""),J164&amp;""))</f>
        <v/>
      </c>
      <c r="Y164" s="32">
        <f>IF(TRIM(A164&amp;"")="","",IF(TRIM(D164&amp;"")&lt;&gt;"",TRIM(D164&amp;""),IF(T164&lt;&gt;"",INDEX('Form Calc'!$C:$C,T164)&amp;"","")))</f>
        <v/>
      </c>
      <c r="Z164" s="32">
        <f>SUBSTITUTE(SUBSTITUTE(SUBSTITUTE(SUBSTITUTE(SUBSTITUTE(SUBSTITUTE(SUBSTITUTE(SUBSTITUTE(Y164," ",""),"-",""),"(",""),")",""),".",""),"+",""),"/",""),CHAR(160),"")</f>
        <v/>
      </c>
      <c r="AA164" s="32">
        <f>IF(Z164="","",IF(LEN(Z164)=10,"+1"&amp;Z164,IF(AND(LEN(Z164)=11,LEFT(Z164,1)="1"),"+"&amp;Z164,IF(LEFT(Y164,1)="+","+"&amp;Z164,Z164))))</f>
        <v/>
      </c>
      <c r="AB164" s="32">
        <f>IF(TRIM(A164&amp;"")="","",IF(TRIM(M164&amp;"")&lt;&gt;"",TRIM(M164&amp;""),IFERROR(LEFT(TRIM(A164&amp;""),FIND(" ",TRIM(A164&amp;""))-1),TRIM(A164&amp;""))))</f>
        <v/>
      </c>
      <c r="AC164" s="32">
        <f>SUBSTITUTE(SUBSTITUTE(SUBSTITUTE(SUBSTITUTE(SUBSTITUTE(SUBSTITUTE(SUBSTITUTE(SUBSTITUTE(SUBSTITUTE(SUBSTITUTE(AB164,"%","%25"),"&amp;","%26"),"#","%23"),"+","%2B"),"=","%3D"),"?","%3F"),CHAR(34),"%22"),CHAR(10),"%0A"),CHAR(13),"")," ","+")</f>
        <v/>
      </c>
      <c r="AD164" s="32">
        <f>IF(OR(AA164="",AB164=""),"",'Start Here'!$B$20&amp;"#p="&amp;SUBSTITUTE(AA164,"+","%2B")&amp;"&amp;n="&amp;AC164&amp;"&amp;m="&amp;SUBSTITUTE('Start Here'!$B$24,"{name}",AC164))</f>
        <v/>
      </c>
      <c r="AE164" s="32">
        <f>LEN(AD164)</f>
        <v/>
      </c>
      <c r="AF164" s="32">
        <f>IF(AND(TRIM(A164&amp;"")&lt;&gt;"",OR(B164="Awaiting",B164="Not sure yet")),1,0)</f>
        <v/>
      </c>
      <c r="AG164" s="32">
        <f>N(AG163)+AF164</f>
        <v/>
      </c>
      <c r="AH164" s="32">
        <f>IF(AF164=1,AG164,"")</f>
        <v/>
      </c>
      <c r="AI164" s="32">
        <f>IF(AND(TRIM(A164&amp;"")&lt;&gt;"",L164&amp;""&lt;&gt;"",L164&amp;""=Seating!$I$3&amp;"",B164&lt;&gt;"Declined"),1,0)</f>
        <v/>
      </c>
      <c r="AJ164" s="32">
        <f>N(AJ163)+AI164</f>
        <v/>
      </c>
      <c r="AK164" s="32">
        <f>IF(AI164=1,AJ164,"")</f>
        <v/>
      </c>
    </row>
    <row r="165">
      <c r="A165" s="10" t="n"/>
      <c r="B165" s="47">
        <f>IF(TRIM(A165&amp;"")="","",IF(W165&lt;&gt;"",W165,IF(I165="","Awaiting",I165)))</f>
        <v/>
      </c>
      <c r="C165" s="60">
        <f>IF(OR(B165="Awaiting",B165="Not sure yet"),IF(AD165&lt;&gt;"",HYPERLINK(AD165,"💬 Remind"),"add mobile"),"")</f>
        <v/>
      </c>
      <c r="D165" s="58" t="n"/>
      <c r="E165" s="10" t="n"/>
      <c r="F165" s="10" t="n"/>
      <c r="G165" s="10" t="n"/>
      <c r="H165" s="10" t="n"/>
      <c r="I165" s="10" t="n"/>
      <c r="J165" s="10" t="n"/>
      <c r="K165" s="10" t="n"/>
      <c r="L165" s="56" t="n"/>
      <c r="M165" s="10" t="n"/>
      <c r="N165" s="12" t="n"/>
      <c r="O165" s="10" t="n"/>
      <c r="P165" s="10" t="n"/>
      <c r="Q165" s="61">
        <f>IF(V165="","",IF(T165="","Covered by "&amp;INDEX('Form Calc'!$B:$B,V165)&amp;"'s reply (same party)","Replied "&amp;TEXT(INDEX('Form Calc'!$A:$A,T165),"mm/dd")&amp;" · "&amp;INDEX('Form Calc'!$H:$H,T165)&amp;" adult(s), "&amp;INDEX('Form Calc'!$I:$I,T165)&amp;" child(ren)"&amp;IF(INDEX('Form Calc'!$K:$K,T165)&lt;&gt;""," · "&amp;INDEX('Form Calc'!$K:$K,T165),"")&amp;IF(INDEX('Form Calc'!$M:$M,T165)&lt;&gt;""," · “"&amp;INDEX('Form Calc'!$M:$M,T165)&amp;"”","")))</f>
        <v/>
      </c>
      <c r="R165" s="32">
        <f>SUBSTITUTE(SUBSTITUTE(SUBSTITUTE(SUBSTITUTE(SUBSTITUTE(SUBSTITUTE(SUBSTITUTE(SUBSTITUTE(D165&amp;""," ",""),"-",""),"(",""),")",""),".",""),"+",""),"/",""),CHAR(160),"")</f>
        <v/>
      </c>
      <c r="S165" s="32">
        <f>IF(LEN(R165)&gt;=10,RIGHT(R165,10),R165)</f>
        <v/>
      </c>
      <c r="T165" s="32">
        <f>IF(TRIM(A165&amp;"")="","",IF(S165&lt;&gt;"",IFERROR(MATCH(S165,'Form Calc'!$P:$P,0),IFERROR(MATCH(TRIM(A165&amp;""),'Form Calc'!$Q:$Q,0),"")),IFERROR(MATCH(TRIM(A165&amp;""),'Form Calc'!$Q:$Q,0),"")))</f>
        <v/>
      </c>
      <c r="U165" s="32">
        <f>IF(AND(T165&lt;&gt;"",TRIM(E165&amp;"")&lt;&gt;""),TRIM(E165&amp;""),"")</f>
        <v/>
      </c>
      <c r="V165" s="32">
        <f>IF(TRIM(A165&amp;"")="","",IF(T165&lt;&gt;"",T165,IF(TRIM(E165&amp;"")="","",IFERROR(INDEX($T$6:$T$505,MATCH(TRIM(E165&amp;""),$U$6:$U$505,0)),""))))</f>
        <v/>
      </c>
      <c r="W165" s="32">
        <f>IF(V165="","",INDEX('Form Calc'!$G:$G,V165))</f>
        <v/>
      </c>
      <c r="X165" s="32">
        <f>IF(TRIM(A165&amp;"")="","",IF(T165&lt;&gt;"",IF(INDEX('Form Calc'!$K:$K,T165)&lt;&gt;"",INDEX('Form Calc'!$K:$K,T165),J165&amp;""),J165&amp;""))</f>
        <v/>
      </c>
      <c r="Y165" s="32">
        <f>IF(TRIM(A165&amp;"")="","",IF(TRIM(D165&amp;"")&lt;&gt;"",TRIM(D165&amp;""),IF(T165&lt;&gt;"",INDEX('Form Calc'!$C:$C,T165)&amp;"","")))</f>
        <v/>
      </c>
      <c r="Z165" s="32">
        <f>SUBSTITUTE(SUBSTITUTE(SUBSTITUTE(SUBSTITUTE(SUBSTITUTE(SUBSTITUTE(SUBSTITUTE(SUBSTITUTE(Y165," ",""),"-",""),"(",""),")",""),".",""),"+",""),"/",""),CHAR(160),"")</f>
        <v/>
      </c>
      <c r="AA165" s="32">
        <f>IF(Z165="","",IF(LEN(Z165)=10,"+1"&amp;Z165,IF(AND(LEN(Z165)=11,LEFT(Z165,1)="1"),"+"&amp;Z165,IF(LEFT(Y165,1)="+","+"&amp;Z165,Z165))))</f>
        <v/>
      </c>
      <c r="AB165" s="32">
        <f>IF(TRIM(A165&amp;"")="","",IF(TRIM(M165&amp;"")&lt;&gt;"",TRIM(M165&amp;""),IFERROR(LEFT(TRIM(A165&amp;""),FIND(" ",TRIM(A165&amp;""))-1),TRIM(A165&amp;""))))</f>
        <v/>
      </c>
      <c r="AC165" s="32">
        <f>SUBSTITUTE(SUBSTITUTE(SUBSTITUTE(SUBSTITUTE(SUBSTITUTE(SUBSTITUTE(SUBSTITUTE(SUBSTITUTE(SUBSTITUTE(SUBSTITUTE(AB165,"%","%25"),"&amp;","%26"),"#","%23"),"+","%2B"),"=","%3D"),"?","%3F"),CHAR(34),"%22"),CHAR(10),"%0A"),CHAR(13),"")," ","+")</f>
        <v/>
      </c>
      <c r="AD165" s="32">
        <f>IF(OR(AA165="",AB165=""),"",'Start Here'!$B$20&amp;"#p="&amp;SUBSTITUTE(AA165,"+","%2B")&amp;"&amp;n="&amp;AC165&amp;"&amp;m="&amp;SUBSTITUTE('Start Here'!$B$24,"{name}",AC165))</f>
        <v/>
      </c>
      <c r="AE165" s="32">
        <f>LEN(AD165)</f>
        <v/>
      </c>
      <c r="AF165" s="32">
        <f>IF(AND(TRIM(A165&amp;"")&lt;&gt;"",OR(B165="Awaiting",B165="Not sure yet")),1,0)</f>
        <v/>
      </c>
      <c r="AG165" s="32">
        <f>N(AG164)+AF165</f>
        <v/>
      </c>
      <c r="AH165" s="32">
        <f>IF(AF165=1,AG165,"")</f>
        <v/>
      </c>
      <c r="AI165" s="32">
        <f>IF(AND(TRIM(A165&amp;"")&lt;&gt;"",L165&amp;""&lt;&gt;"",L165&amp;""=Seating!$I$3&amp;"",B165&lt;&gt;"Declined"),1,0)</f>
        <v/>
      </c>
      <c r="AJ165" s="32">
        <f>N(AJ164)+AI165</f>
        <v/>
      </c>
      <c r="AK165" s="32">
        <f>IF(AI165=1,AJ165,"")</f>
        <v/>
      </c>
    </row>
    <row r="166">
      <c r="A166" s="10" t="n"/>
      <c r="B166" s="47">
        <f>IF(TRIM(A166&amp;"")="","",IF(W166&lt;&gt;"",W166,IF(I166="","Awaiting",I166)))</f>
        <v/>
      </c>
      <c r="C166" s="60">
        <f>IF(OR(B166="Awaiting",B166="Not sure yet"),IF(AD166&lt;&gt;"",HYPERLINK(AD166,"💬 Remind"),"add mobile"),"")</f>
        <v/>
      </c>
      <c r="D166" s="58" t="n"/>
      <c r="E166" s="10" t="n"/>
      <c r="F166" s="10" t="n"/>
      <c r="G166" s="10" t="n"/>
      <c r="H166" s="10" t="n"/>
      <c r="I166" s="10" t="n"/>
      <c r="J166" s="10" t="n"/>
      <c r="K166" s="10" t="n"/>
      <c r="L166" s="56" t="n"/>
      <c r="M166" s="10" t="n"/>
      <c r="N166" s="12" t="n"/>
      <c r="O166" s="10" t="n"/>
      <c r="P166" s="10" t="n"/>
      <c r="Q166" s="61">
        <f>IF(V166="","",IF(T166="","Covered by "&amp;INDEX('Form Calc'!$B:$B,V166)&amp;"'s reply (same party)","Replied "&amp;TEXT(INDEX('Form Calc'!$A:$A,T166),"mm/dd")&amp;" · "&amp;INDEX('Form Calc'!$H:$H,T166)&amp;" adult(s), "&amp;INDEX('Form Calc'!$I:$I,T166)&amp;" child(ren)"&amp;IF(INDEX('Form Calc'!$K:$K,T166)&lt;&gt;""," · "&amp;INDEX('Form Calc'!$K:$K,T166),"")&amp;IF(INDEX('Form Calc'!$M:$M,T166)&lt;&gt;""," · “"&amp;INDEX('Form Calc'!$M:$M,T166)&amp;"”","")))</f>
        <v/>
      </c>
      <c r="R166" s="32">
        <f>SUBSTITUTE(SUBSTITUTE(SUBSTITUTE(SUBSTITUTE(SUBSTITUTE(SUBSTITUTE(SUBSTITUTE(SUBSTITUTE(D166&amp;""," ",""),"-",""),"(",""),")",""),".",""),"+",""),"/",""),CHAR(160),"")</f>
        <v/>
      </c>
      <c r="S166" s="32">
        <f>IF(LEN(R166)&gt;=10,RIGHT(R166,10),R166)</f>
        <v/>
      </c>
      <c r="T166" s="32">
        <f>IF(TRIM(A166&amp;"")="","",IF(S166&lt;&gt;"",IFERROR(MATCH(S166,'Form Calc'!$P:$P,0),IFERROR(MATCH(TRIM(A166&amp;""),'Form Calc'!$Q:$Q,0),"")),IFERROR(MATCH(TRIM(A166&amp;""),'Form Calc'!$Q:$Q,0),"")))</f>
        <v/>
      </c>
      <c r="U166" s="32">
        <f>IF(AND(T166&lt;&gt;"",TRIM(E166&amp;"")&lt;&gt;""),TRIM(E166&amp;""),"")</f>
        <v/>
      </c>
      <c r="V166" s="32">
        <f>IF(TRIM(A166&amp;"")="","",IF(T166&lt;&gt;"",T166,IF(TRIM(E166&amp;"")="","",IFERROR(INDEX($T$6:$T$505,MATCH(TRIM(E166&amp;""),$U$6:$U$505,0)),""))))</f>
        <v/>
      </c>
      <c r="W166" s="32">
        <f>IF(V166="","",INDEX('Form Calc'!$G:$G,V166))</f>
        <v/>
      </c>
      <c r="X166" s="32">
        <f>IF(TRIM(A166&amp;"")="","",IF(T166&lt;&gt;"",IF(INDEX('Form Calc'!$K:$K,T166)&lt;&gt;"",INDEX('Form Calc'!$K:$K,T166),J166&amp;""),J166&amp;""))</f>
        <v/>
      </c>
      <c r="Y166" s="32">
        <f>IF(TRIM(A166&amp;"")="","",IF(TRIM(D166&amp;"")&lt;&gt;"",TRIM(D166&amp;""),IF(T166&lt;&gt;"",INDEX('Form Calc'!$C:$C,T166)&amp;"","")))</f>
        <v/>
      </c>
      <c r="Z166" s="32">
        <f>SUBSTITUTE(SUBSTITUTE(SUBSTITUTE(SUBSTITUTE(SUBSTITUTE(SUBSTITUTE(SUBSTITUTE(SUBSTITUTE(Y166," ",""),"-",""),"(",""),")",""),".",""),"+",""),"/",""),CHAR(160),"")</f>
        <v/>
      </c>
      <c r="AA166" s="32">
        <f>IF(Z166="","",IF(LEN(Z166)=10,"+1"&amp;Z166,IF(AND(LEN(Z166)=11,LEFT(Z166,1)="1"),"+"&amp;Z166,IF(LEFT(Y166,1)="+","+"&amp;Z166,Z166))))</f>
        <v/>
      </c>
      <c r="AB166" s="32">
        <f>IF(TRIM(A166&amp;"")="","",IF(TRIM(M166&amp;"")&lt;&gt;"",TRIM(M166&amp;""),IFERROR(LEFT(TRIM(A166&amp;""),FIND(" ",TRIM(A166&amp;""))-1),TRIM(A166&amp;""))))</f>
        <v/>
      </c>
      <c r="AC166" s="32">
        <f>SUBSTITUTE(SUBSTITUTE(SUBSTITUTE(SUBSTITUTE(SUBSTITUTE(SUBSTITUTE(SUBSTITUTE(SUBSTITUTE(SUBSTITUTE(SUBSTITUTE(AB166,"%","%25"),"&amp;","%26"),"#","%23"),"+","%2B"),"=","%3D"),"?","%3F"),CHAR(34),"%22"),CHAR(10),"%0A"),CHAR(13),"")," ","+")</f>
        <v/>
      </c>
      <c r="AD166" s="32">
        <f>IF(OR(AA166="",AB166=""),"",'Start Here'!$B$20&amp;"#p="&amp;SUBSTITUTE(AA166,"+","%2B")&amp;"&amp;n="&amp;AC166&amp;"&amp;m="&amp;SUBSTITUTE('Start Here'!$B$24,"{name}",AC166))</f>
        <v/>
      </c>
      <c r="AE166" s="32">
        <f>LEN(AD166)</f>
        <v/>
      </c>
      <c r="AF166" s="32">
        <f>IF(AND(TRIM(A166&amp;"")&lt;&gt;"",OR(B166="Awaiting",B166="Not sure yet")),1,0)</f>
        <v/>
      </c>
      <c r="AG166" s="32">
        <f>N(AG165)+AF166</f>
        <v/>
      </c>
      <c r="AH166" s="32">
        <f>IF(AF166=1,AG166,"")</f>
        <v/>
      </c>
      <c r="AI166" s="32">
        <f>IF(AND(TRIM(A166&amp;"")&lt;&gt;"",L166&amp;""&lt;&gt;"",L166&amp;""=Seating!$I$3&amp;"",B166&lt;&gt;"Declined"),1,0)</f>
        <v/>
      </c>
      <c r="AJ166" s="32">
        <f>N(AJ165)+AI166</f>
        <v/>
      </c>
      <c r="AK166" s="32">
        <f>IF(AI166=1,AJ166,"")</f>
        <v/>
      </c>
    </row>
    <row r="167">
      <c r="A167" s="10" t="n"/>
      <c r="B167" s="47">
        <f>IF(TRIM(A167&amp;"")="","",IF(W167&lt;&gt;"",W167,IF(I167="","Awaiting",I167)))</f>
        <v/>
      </c>
      <c r="C167" s="60">
        <f>IF(OR(B167="Awaiting",B167="Not sure yet"),IF(AD167&lt;&gt;"",HYPERLINK(AD167,"💬 Remind"),"add mobile"),"")</f>
        <v/>
      </c>
      <c r="D167" s="58" t="n"/>
      <c r="E167" s="10" t="n"/>
      <c r="F167" s="10" t="n"/>
      <c r="G167" s="10" t="n"/>
      <c r="H167" s="10" t="n"/>
      <c r="I167" s="10" t="n"/>
      <c r="J167" s="10" t="n"/>
      <c r="K167" s="10" t="n"/>
      <c r="L167" s="56" t="n"/>
      <c r="M167" s="10" t="n"/>
      <c r="N167" s="12" t="n"/>
      <c r="O167" s="10" t="n"/>
      <c r="P167" s="10" t="n"/>
      <c r="Q167" s="61">
        <f>IF(V167="","",IF(T167="","Covered by "&amp;INDEX('Form Calc'!$B:$B,V167)&amp;"'s reply (same party)","Replied "&amp;TEXT(INDEX('Form Calc'!$A:$A,T167),"mm/dd")&amp;" · "&amp;INDEX('Form Calc'!$H:$H,T167)&amp;" adult(s), "&amp;INDEX('Form Calc'!$I:$I,T167)&amp;" child(ren)"&amp;IF(INDEX('Form Calc'!$K:$K,T167)&lt;&gt;""," · "&amp;INDEX('Form Calc'!$K:$K,T167),"")&amp;IF(INDEX('Form Calc'!$M:$M,T167)&lt;&gt;""," · “"&amp;INDEX('Form Calc'!$M:$M,T167)&amp;"”","")))</f>
        <v/>
      </c>
      <c r="R167" s="32">
        <f>SUBSTITUTE(SUBSTITUTE(SUBSTITUTE(SUBSTITUTE(SUBSTITUTE(SUBSTITUTE(SUBSTITUTE(SUBSTITUTE(D167&amp;""," ",""),"-",""),"(",""),")",""),".",""),"+",""),"/",""),CHAR(160),"")</f>
        <v/>
      </c>
      <c r="S167" s="32">
        <f>IF(LEN(R167)&gt;=10,RIGHT(R167,10),R167)</f>
        <v/>
      </c>
      <c r="T167" s="32">
        <f>IF(TRIM(A167&amp;"")="","",IF(S167&lt;&gt;"",IFERROR(MATCH(S167,'Form Calc'!$P:$P,0),IFERROR(MATCH(TRIM(A167&amp;""),'Form Calc'!$Q:$Q,0),"")),IFERROR(MATCH(TRIM(A167&amp;""),'Form Calc'!$Q:$Q,0),"")))</f>
        <v/>
      </c>
      <c r="U167" s="32">
        <f>IF(AND(T167&lt;&gt;"",TRIM(E167&amp;"")&lt;&gt;""),TRIM(E167&amp;""),"")</f>
        <v/>
      </c>
      <c r="V167" s="32">
        <f>IF(TRIM(A167&amp;"")="","",IF(T167&lt;&gt;"",T167,IF(TRIM(E167&amp;"")="","",IFERROR(INDEX($T$6:$T$505,MATCH(TRIM(E167&amp;""),$U$6:$U$505,0)),""))))</f>
        <v/>
      </c>
      <c r="W167" s="32">
        <f>IF(V167="","",INDEX('Form Calc'!$G:$G,V167))</f>
        <v/>
      </c>
      <c r="X167" s="32">
        <f>IF(TRIM(A167&amp;"")="","",IF(T167&lt;&gt;"",IF(INDEX('Form Calc'!$K:$K,T167)&lt;&gt;"",INDEX('Form Calc'!$K:$K,T167),J167&amp;""),J167&amp;""))</f>
        <v/>
      </c>
      <c r="Y167" s="32">
        <f>IF(TRIM(A167&amp;"")="","",IF(TRIM(D167&amp;"")&lt;&gt;"",TRIM(D167&amp;""),IF(T167&lt;&gt;"",INDEX('Form Calc'!$C:$C,T167)&amp;"","")))</f>
        <v/>
      </c>
      <c r="Z167" s="32">
        <f>SUBSTITUTE(SUBSTITUTE(SUBSTITUTE(SUBSTITUTE(SUBSTITUTE(SUBSTITUTE(SUBSTITUTE(SUBSTITUTE(Y167," ",""),"-",""),"(",""),")",""),".",""),"+",""),"/",""),CHAR(160),"")</f>
        <v/>
      </c>
      <c r="AA167" s="32">
        <f>IF(Z167="","",IF(LEN(Z167)=10,"+1"&amp;Z167,IF(AND(LEN(Z167)=11,LEFT(Z167,1)="1"),"+"&amp;Z167,IF(LEFT(Y167,1)="+","+"&amp;Z167,Z167))))</f>
        <v/>
      </c>
      <c r="AB167" s="32">
        <f>IF(TRIM(A167&amp;"")="","",IF(TRIM(M167&amp;"")&lt;&gt;"",TRIM(M167&amp;""),IFERROR(LEFT(TRIM(A167&amp;""),FIND(" ",TRIM(A167&amp;""))-1),TRIM(A167&amp;""))))</f>
        <v/>
      </c>
      <c r="AC167" s="32">
        <f>SUBSTITUTE(SUBSTITUTE(SUBSTITUTE(SUBSTITUTE(SUBSTITUTE(SUBSTITUTE(SUBSTITUTE(SUBSTITUTE(SUBSTITUTE(SUBSTITUTE(AB167,"%","%25"),"&amp;","%26"),"#","%23"),"+","%2B"),"=","%3D"),"?","%3F"),CHAR(34),"%22"),CHAR(10),"%0A"),CHAR(13),"")," ","+")</f>
        <v/>
      </c>
      <c r="AD167" s="32">
        <f>IF(OR(AA167="",AB167=""),"",'Start Here'!$B$20&amp;"#p="&amp;SUBSTITUTE(AA167,"+","%2B")&amp;"&amp;n="&amp;AC167&amp;"&amp;m="&amp;SUBSTITUTE('Start Here'!$B$24,"{name}",AC167))</f>
        <v/>
      </c>
      <c r="AE167" s="32">
        <f>LEN(AD167)</f>
        <v/>
      </c>
      <c r="AF167" s="32">
        <f>IF(AND(TRIM(A167&amp;"")&lt;&gt;"",OR(B167="Awaiting",B167="Not sure yet")),1,0)</f>
        <v/>
      </c>
      <c r="AG167" s="32">
        <f>N(AG166)+AF167</f>
        <v/>
      </c>
      <c r="AH167" s="32">
        <f>IF(AF167=1,AG167,"")</f>
        <v/>
      </c>
      <c r="AI167" s="32">
        <f>IF(AND(TRIM(A167&amp;"")&lt;&gt;"",L167&amp;""&lt;&gt;"",L167&amp;""=Seating!$I$3&amp;"",B167&lt;&gt;"Declined"),1,0)</f>
        <v/>
      </c>
      <c r="AJ167" s="32">
        <f>N(AJ166)+AI167</f>
        <v/>
      </c>
      <c r="AK167" s="32">
        <f>IF(AI167=1,AJ167,"")</f>
        <v/>
      </c>
    </row>
    <row r="168">
      <c r="A168" s="10" t="n"/>
      <c r="B168" s="47">
        <f>IF(TRIM(A168&amp;"")="","",IF(W168&lt;&gt;"",W168,IF(I168="","Awaiting",I168)))</f>
        <v/>
      </c>
      <c r="C168" s="60">
        <f>IF(OR(B168="Awaiting",B168="Not sure yet"),IF(AD168&lt;&gt;"",HYPERLINK(AD168,"💬 Remind"),"add mobile"),"")</f>
        <v/>
      </c>
      <c r="D168" s="58" t="n"/>
      <c r="E168" s="10" t="n"/>
      <c r="F168" s="10" t="n"/>
      <c r="G168" s="10" t="n"/>
      <c r="H168" s="10" t="n"/>
      <c r="I168" s="10" t="n"/>
      <c r="J168" s="10" t="n"/>
      <c r="K168" s="10" t="n"/>
      <c r="L168" s="56" t="n"/>
      <c r="M168" s="10" t="n"/>
      <c r="N168" s="12" t="n"/>
      <c r="O168" s="10" t="n"/>
      <c r="P168" s="10" t="n"/>
      <c r="Q168" s="61">
        <f>IF(V168="","",IF(T168="","Covered by "&amp;INDEX('Form Calc'!$B:$B,V168)&amp;"'s reply (same party)","Replied "&amp;TEXT(INDEX('Form Calc'!$A:$A,T168),"mm/dd")&amp;" · "&amp;INDEX('Form Calc'!$H:$H,T168)&amp;" adult(s), "&amp;INDEX('Form Calc'!$I:$I,T168)&amp;" child(ren)"&amp;IF(INDEX('Form Calc'!$K:$K,T168)&lt;&gt;""," · "&amp;INDEX('Form Calc'!$K:$K,T168),"")&amp;IF(INDEX('Form Calc'!$M:$M,T168)&lt;&gt;""," · “"&amp;INDEX('Form Calc'!$M:$M,T168)&amp;"”","")))</f>
        <v/>
      </c>
      <c r="R168" s="32">
        <f>SUBSTITUTE(SUBSTITUTE(SUBSTITUTE(SUBSTITUTE(SUBSTITUTE(SUBSTITUTE(SUBSTITUTE(SUBSTITUTE(D168&amp;""," ",""),"-",""),"(",""),")",""),".",""),"+",""),"/",""),CHAR(160),"")</f>
        <v/>
      </c>
      <c r="S168" s="32">
        <f>IF(LEN(R168)&gt;=10,RIGHT(R168,10),R168)</f>
        <v/>
      </c>
      <c r="T168" s="32">
        <f>IF(TRIM(A168&amp;"")="","",IF(S168&lt;&gt;"",IFERROR(MATCH(S168,'Form Calc'!$P:$P,0),IFERROR(MATCH(TRIM(A168&amp;""),'Form Calc'!$Q:$Q,0),"")),IFERROR(MATCH(TRIM(A168&amp;""),'Form Calc'!$Q:$Q,0),"")))</f>
        <v/>
      </c>
      <c r="U168" s="32">
        <f>IF(AND(T168&lt;&gt;"",TRIM(E168&amp;"")&lt;&gt;""),TRIM(E168&amp;""),"")</f>
        <v/>
      </c>
      <c r="V168" s="32">
        <f>IF(TRIM(A168&amp;"")="","",IF(T168&lt;&gt;"",T168,IF(TRIM(E168&amp;"")="","",IFERROR(INDEX($T$6:$T$505,MATCH(TRIM(E168&amp;""),$U$6:$U$505,0)),""))))</f>
        <v/>
      </c>
      <c r="W168" s="32">
        <f>IF(V168="","",INDEX('Form Calc'!$G:$G,V168))</f>
        <v/>
      </c>
      <c r="X168" s="32">
        <f>IF(TRIM(A168&amp;"")="","",IF(T168&lt;&gt;"",IF(INDEX('Form Calc'!$K:$K,T168)&lt;&gt;"",INDEX('Form Calc'!$K:$K,T168),J168&amp;""),J168&amp;""))</f>
        <v/>
      </c>
      <c r="Y168" s="32">
        <f>IF(TRIM(A168&amp;"")="","",IF(TRIM(D168&amp;"")&lt;&gt;"",TRIM(D168&amp;""),IF(T168&lt;&gt;"",INDEX('Form Calc'!$C:$C,T168)&amp;"","")))</f>
        <v/>
      </c>
      <c r="Z168" s="32">
        <f>SUBSTITUTE(SUBSTITUTE(SUBSTITUTE(SUBSTITUTE(SUBSTITUTE(SUBSTITUTE(SUBSTITUTE(SUBSTITUTE(Y168," ",""),"-",""),"(",""),")",""),".",""),"+",""),"/",""),CHAR(160),"")</f>
        <v/>
      </c>
      <c r="AA168" s="32">
        <f>IF(Z168="","",IF(LEN(Z168)=10,"+1"&amp;Z168,IF(AND(LEN(Z168)=11,LEFT(Z168,1)="1"),"+"&amp;Z168,IF(LEFT(Y168,1)="+","+"&amp;Z168,Z168))))</f>
        <v/>
      </c>
      <c r="AB168" s="32">
        <f>IF(TRIM(A168&amp;"")="","",IF(TRIM(M168&amp;"")&lt;&gt;"",TRIM(M168&amp;""),IFERROR(LEFT(TRIM(A168&amp;""),FIND(" ",TRIM(A168&amp;""))-1),TRIM(A168&amp;""))))</f>
        <v/>
      </c>
      <c r="AC168" s="32">
        <f>SUBSTITUTE(SUBSTITUTE(SUBSTITUTE(SUBSTITUTE(SUBSTITUTE(SUBSTITUTE(SUBSTITUTE(SUBSTITUTE(SUBSTITUTE(SUBSTITUTE(AB168,"%","%25"),"&amp;","%26"),"#","%23"),"+","%2B"),"=","%3D"),"?","%3F"),CHAR(34),"%22"),CHAR(10),"%0A"),CHAR(13),"")," ","+")</f>
        <v/>
      </c>
      <c r="AD168" s="32">
        <f>IF(OR(AA168="",AB168=""),"",'Start Here'!$B$20&amp;"#p="&amp;SUBSTITUTE(AA168,"+","%2B")&amp;"&amp;n="&amp;AC168&amp;"&amp;m="&amp;SUBSTITUTE('Start Here'!$B$24,"{name}",AC168))</f>
        <v/>
      </c>
      <c r="AE168" s="32">
        <f>LEN(AD168)</f>
        <v/>
      </c>
      <c r="AF168" s="32">
        <f>IF(AND(TRIM(A168&amp;"")&lt;&gt;"",OR(B168="Awaiting",B168="Not sure yet")),1,0)</f>
        <v/>
      </c>
      <c r="AG168" s="32">
        <f>N(AG167)+AF168</f>
        <v/>
      </c>
      <c r="AH168" s="32">
        <f>IF(AF168=1,AG168,"")</f>
        <v/>
      </c>
      <c r="AI168" s="32">
        <f>IF(AND(TRIM(A168&amp;"")&lt;&gt;"",L168&amp;""&lt;&gt;"",L168&amp;""=Seating!$I$3&amp;"",B168&lt;&gt;"Declined"),1,0)</f>
        <v/>
      </c>
      <c r="AJ168" s="32">
        <f>N(AJ167)+AI168</f>
        <v/>
      </c>
      <c r="AK168" s="32">
        <f>IF(AI168=1,AJ168,"")</f>
        <v/>
      </c>
    </row>
    <row r="169">
      <c r="A169" s="10" t="n"/>
      <c r="B169" s="47">
        <f>IF(TRIM(A169&amp;"")="","",IF(W169&lt;&gt;"",W169,IF(I169="","Awaiting",I169)))</f>
        <v/>
      </c>
      <c r="C169" s="60">
        <f>IF(OR(B169="Awaiting",B169="Not sure yet"),IF(AD169&lt;&gt;"",HYPERLINK(AD169,"💬 Remind"),"add mobile"),"")</f>
        <v/>
      </c>
      <c r="D169" s="58" t="n"/>
      <c r="E169" s="10" t="n"/>
      <c r="F169" s="10" t="n"/>
      <c r="G169" s="10" t="n"/>
      <c r="H169" s="10" t="n"/>
      <c r="I169" s="10" t="n"/>
      <c r="J169" s="10" t="n"/>
      <c r="K169" s="10" t="n"/>
      <c r="L169" s="56" t="n"/>
      <c r="M169" s="10" t="n"/>
      <c r="N169" s="12" t="n"/>
      <c r="O169" s="10" t="n"/>
      <c r="P169" s="10" t="n"/>
      <c r="Q169" s="61">
        <f>IF(V169="","",IF(T169="","Covered by "&amp;INDEX('Form Calc'!$B:$B,V169)&amp;"'s reply (same party)","Replied "&amp;TEXT(INDEX('Form Calc'!$A:$A,T169),"mm/dd")&amp;" · "&amp;INDEX('Form Calc'!$H:$H,T169)&amp;" adult(s), "&amp;INDEX('Form Calc'!$I:$I,T169)&amp;" child(ren)"&amp;IF(INDEX('Form Calc'!$K:$K,T169)&lt;&gt;""," · "&amp;INDEX('Form Calc'!$K:$K,T169),"")&amp;IF(INDEX('Form Calc'!$M:$M,T169)&lt;&gt;""," · “"&amp;INDEX('Form Calc'!$M:$M,T169)&amp;"”","")))</f>
        <v/>
      </c>
      <c r="R169" s="32">
        <f>SUBSTITUTE(SUBSTITUTE(SUBSTITUTE(SUBSTITUTE(SUBSTITUTE(SUBSTITUTE(SUBSTITUTE(SUBSTITUTE(D169&amp;""," ",""),"-",""),"(",""),")",""),".",""),"+",""),"/",""),CHAR(160),"")</f>
        <v/>
      </c>
      <c r="S169" s="32">
        <f>IF(LEN(R169)&gt;=10,RIGHT(R169,10),R169)</f>
        <v/>
      </c>
      <c r="T169" s="32">
        <f>IF(TRIM(A169&amp;"")="","",IF(S169&lt;&gt;"",IFERROR(MATCH(S169,'Form Calc'!$P:$P,0),IFERROR(MATCH(TRIM(A169&amp;""),'Form Calc'!$Q:$Q,0),"")),IFERROR(MATCH(TRIM(A169&amp;""),'Form Calc'!$Q:$Q,0),"")))</f>
        <v/>
      </c>
      <c r="U169" s="32">
        <f>IF(AND(T169&lt;&gt;"",TRIM(E169&amp;"")&lt;&gt;""),TRIM(E169&amp;""),"")</f>
        <v/>
      </c>
      <c r="V169" s="32">
        <f>IF(TRIM(A169&amp;"")="","",IF(T169&lt;&gt;"",T169,IF(TRIM(E169&amp;"")="","",IFERROR(INDEX($T$6:$T$505,MATCH(TRIM(E169&amp;""),$U$6:$U$505,0)),""))))</f>
        <v/>
      </c>
      <c r="W169" s="32">
        <f>IF(V169="","",INDEX('Form Calc'!$G:$G,V169))</f>
        <v/>
      </c>
      <c r="X169" s="32">
        <f>IF(TRIM(A169&amp;"")="","",IF(T169&lt;&gt;"",IF(INDEX('Form Calc'!$K:$K,T169)&lt;&gt;"",INDEX('Form Calc'!$K:$K,T169),J169&amp;""),J169&amp;""))</f>
        <v/>
      </c>
      <c r="Y169" s="32">
        <f>IF(TRIM(A169&amp;"")="","",IF(TRIM(D169&amp;"")&lt;&gt;"",TRIM(D169&amp;""),IF(T169&lt;&gt;"",INDEX('Form Calc'!$C:$C,T169)&amp;"","")))</f>
        <v/>
      </c>
      <c r="Z169" s="32">
        <f>SUBSTITUTE(SUBSTITUTE(SUBSTITUTE(SUBSTITUTE(SUBSTITUTE(SUBSTITUTE(SUBSTITUTE(SUBSTITUTE(Y169," ",""),"-",""),"(",""),")",""),".",""),"+",""),"/",""),CHAR(160),"")</f>
        <v/>
      </c>
      <c r="AA169" s="32">
        <f>IF(Z169="","",IF(LEN(Z169)=10,"+1"&amp;Z169,IF(AND(LEN(Z169)=11,LEFT(Z169,1)="1"),"+"&amp;Z169,IF(LEFT(Y169,1)="+","+"&amp;Z169,Z169))))</f>
        <v/>
      </c>
      <c r="AB169" s="32">
        <f>IF(TRIM(A169&amp;"")="","",IF(TRIM(M169&amp;"")&lt;&gt;"",TRIM(M169&amp;""),IFERROR(LEFT(TRIM(A169&amp;""),FIND(" ",TRIM(A169&amp;""))-1),TRIM(A169&amp;""))))</f>
        <v/>
      </c>
      <c r="AC169" s="32">
        <f>SUBSTITUTE(SUBSTITUTE(SUBSTITUTE(SUBSTITUTE(SUBSTITUTE(SUBSTITUTE(SUBSTITUTE(SUBSTITUTE(SUBSTITUTE(SUBSTITUTE(AB169,"%","%25"),"&amp;","%26"),"#","%23"),"+","%2B"),"=","%3D"),"?","%3F"),CHAR(34),"%22"),CHAR(10),"%0A"),CHAR(13),"")," ","+")</f>
        <v/>
      </c>
      <c r="AD169" s="32">
        <f>IF(OR(AA169="",AB169=""),"",'Start Here'!$B$20&amp;"#p="&amp;SUBSTITUTE(AA169,"+","%2B")&amp;"&amp;n="&amp;AC169&amp;"&amp;m="&amp;SUBSTITUTE('Start Here'!$B$24,"{name}",AC169))</f>
        <v/>
      </c>
      <c r="AE169" s="32">
        <f>LEN(AD169)</f>
        <v/>
      </c>
      <c r="AF169" s="32">
        <f>IF(AND(TRIM(A169&amp;"")&lt;&gt;"",OR(B169="Awaiting",B169="Not sure yet")),1,0)</f>
        <v/>
      </c>
      <c r="AG169" s="32">
        <f>N(AG168)+AF169</f>
        <v/>
      </c>
      <c r="AH169" s="32">
        <f>IF(AF169=1,AG169,"")</f>
        <v/>
      </c>
      <c r="AI169" s="32">
        <f>IF(AND(TRIM(A169&amp;"")&lt;&gt;"",L169&amp;""&lt;&gt;"",L169&amp;""=Seating!$I$3&amp;"",B169&lt;&gt;"Declined"),1,0)</f>
        <v/>
      </c>
      <c r="AJ169" s="32">
        <f>N(AJ168)+AI169</f>
        <v/>
      </c>
      <c r="AK169" s="32">
        <f>IF(AI169=1,AJ169,"")</f>
        <v/>
      </c>
    </row>
    <row r="170">
      <c r="A170" s="10" t="n"/>
      <c r="B170" s="47">
        <f>IF(TRIM(A170&amp;"")="","",IF(W170&lt;&gt;"",W170,IF(I170="","Awaiting",I170)))</f>
        <v/>
      </c>
      <c r="C170" s="60">
        <f>IF(OR(B170="Awaiting",B170="Not sure yet"),IF(AD170&lt;&gt;"",HYPERLINK(AD170,"💬 Remind"),"add mobile"),"")</f>
        <v/>
      </c>
      <c r="D170" s="58" t="n"/>
      <c r="E170" s="10" t="n"/>
      <c r="F170" s="10" t="n"/>
      <c r="G170" s="10" t="n"/>
      <c r="H170" s="10" t="n"/>
      <c r="I170" s="10" t="n"/>
      <c r="J170" s="10" t="n"/>
      <c r="K170" s="10" t="n"/>
      <c r="L170" s="56" t="n"/>
      <c r="M170" s="10" t="n"/>
      <c r="N170" s="12" t="n"/>
      <c r="O170" s="10" t="n"/>
      <c r="P170" s="10" t="n"/>
      <c r="Q170" s="61">
        <f>IF(V170="","",IF(T170="","Covered by "&amp;INDEX('Form Calc'!$B:$B,V170)&amp;"'s reply (same party)","Replied "&amp;TEXT(INDEX('Form Calc'!$A:$A,T170),"mm/dd")&amp;" · "&amp;INDEX('Form Calc'!$H:$H,T170)&amp;" adult(s), "&amp;INDEX('Form Calc'!$I:$I,T170)&amp;" child(ren)"&amp;IF(INDEX('Form Calc'!$K:$K,T170)&lt;&gt;""," · "&amp;INDEX('Form Calc'!$K:$K,T170),"")&amp;IF(INDEX('Form Calc'!$M:$M,T170)&lt;&gt;""," · “"&amp;INDEX('Form Calc'!$M:$M,T170)&amp;"”","")))</f>
        <v/>
      </c>
      <c r="R170" s="32">
        <f>SUBSTITUTE(SUBSTITUTE(SUBSTITUTE(SUBSTITUTE(SUBSTITUTE(SUBSTITUTE(SUBSTITUTE(SUBSTITUTE(D170&amp;""," ",""),"-",""),"(",""),")",""),".",""),"+",""),"/",""),CHAR(160),"")</f>
        <v/>
      </c>
      <c r="S170" s="32">
        <f>IF(LEN(R170)&gt;=10,RIGHT(R170,10),R170)</f>
        <v/>
      </c>
      <c r="T170" s="32">
        <f>IF(TRIM(A170&amp;"")="","",IF(S170&lt;&gt;"",IFERROR(MATCH(S170,'Form Calc'!$P:$P,0),IFERROR(MATCH(TRIM(A170&amp;""),'Form Calc'!$Q:$Q,0),"")),IFERROR(MATCH(TRIM(A170&amp;""),'Form Calc'!$Q:$Q,0),"")))</f>
        <v/>
      </c>
      <c r="U170" s="32">
        <f>IF(AND(T170&lt;&gt;"",TRIM(E170&amp;"")&lt;&gt;""),TRIM(E170&amp;""),"")</f>
        <v/>
      </c>
      <c r="V170" s="32">
        <f>IF(TRIM(A170&amp;"")="","",IF(T170&lt;&gt;"",T170,IF(TRIM(E170&amp;"")="","",IFERROR(INDEX($T$6:$T$505,MATCH(TRIM(E170&amp;""),$U$6:$U$505,0)),""))))</f>
        <v/>
      </c>
      <c r="W170" s="32">
        <f>IF(V170="","",INDEX('Form Calc'!$G:$G,V170))</f>
        <v/>
      </c>
      <c r="X170" s="32">
        <f>IF(TRIM(A170&amp;"")="","",IF(T170&lt;&gt;"",IF(INDEX('Form Calc'!$K:$K,T170)&lt;&gt;"",INDEX('Form Calc'!$K:$K,T170),J170&amp;""),J170&amp;""))</f>
        <v/>
      </c>
      <c r="Y170" s="32">
        <f>IF(TRIM(A170&amp;"")="","",IF(TRIM(D170&amp;"")&lt;&gt;"",TRIM(D170&amp;""),IF(T170&lt;&gt;"",INDEX('Form Calc'!$C:$C,T170)&amp;"","")))</f>
        <v/>
      </c>
      <c r="Z170" s="32">
        <f>SUBSTITUTE(SUBSTITUTE(SUBSTITUTE(SUBSTITUTE(SUBSTITUTE(SUBSTITUTE(SUBSTITUTE(SUBSTITUTE(Y170," ",""),"-",""),"(",""),")",""),".",""),"+",""),"/",""),CHAR(160),"")</f>
        <v/>
      </c>
      <c r="AA170" s="32">
        <f>IF(Z170="","",IF(LEN(Z170)=10,"+1"&amp;Z170,IF(AND(LEN(Z170)=11,LEFT(Z170,1)="1"),"+"&amp;Z170,IF(LEFT(Y170,1)="+","+"&amp;Z170,Z170))))</f>
        <v/>
      </c>
      <c r="AB170" s="32">
        <f>IF(TRIM(A170&amp;"")="","",IF(TRIM(M170&amp;"")&lt;&gt;"",TRIM(M170&amp;""),IFERROR(LEFT(TRIM(A170&amp;""),FIND(" ",TRIM(A170&amp;""))-1),TRIM(A170&amp;""))))</f>
        <v/>
      </c>
      <c r="AC170" s="32">
        <f>SUBSTITUTE(SUBSTITUTE(SUBSTITUTE(SUBSTITUTE(SUBSTITUTE(SUBSTITUTE(SUBSTITUTE(SUBSTITUTE(SUBSTITUTE(SUBSTITUTE(AB170,"%","%25"),"&amp;","%26"),"#","%23"),"+","%2B"),"=","%3D"),"?","%3F"),CHAR(34),"%22"),CHAR(10),"%0A"),CHAR(13),"")," ","+")</f>
        <v/>
      </c>
      <c r="AD170" s="32">
        <f>IF(OR(AA170="",AB170=""),"",'Start Here'!$B$20&amp;"#p="&amp;SUBSTITUTE(AA170,"+","%2B")&amp;"&amp;n="&amp;AC170&amp;"&amp;m="&amp;SUBSTITUTE('Start Here'!$B$24,"{name}",AC170))</f>
        <v/>
      </c>
      <c r="AE170" s="32">
        <f>LEN(AD170)</f>
        <v/>
      </c>
      <c r="AF170" s="32">
        <f>IF(AND(TRIM(A170&amp;"")&lt;&gt;"",OR(B170="Awaiting",B170="Not sure yet")),1,0)</f>
        <v/>
      </c>
      <c r="AG170" s="32">
        <f>N(AG169)+AF170</f>
        <v/>
      </c>
      <c r="AH170" s="32">
        <f>IF(AF170=1,AG170,"")</f>
        <v/>
      </c>
      <c r="AI170" s="32">
        <f>IF(AND(TRIM(A170&amp;"")&lt;&gt;"",L170&amp;""&lt;&gt;"",L170&amp;""=Seating!$I$3&amp;"",B170&lt;&gt;"Declined"),1,0)</f>
        <v/>
      </c>
      <c r="AJ170" s="32">
        <f>N(AJ169)+AI170</f>
        <v/>
      </c>
      <c r="AK170" s="32">
        <f>IF(AI170=1,AJ170,"")</f>
        <v/>
      </c>
    </row>
    <row r="171">
      <c r="A171" s="10" t="n"/>
      <c r="B171" s="47">
        <f>IF(TRIM(A171&amp;"")="","",IF(W171&lt;&gt;"",W171,IF(I171="","Awaiting",I171)))</f>
        <v/>
      </c>
      <c r="C171" s="60">
        <f>IF(OR(B171="Awaiting",B171="Not sure yet"),IF(AD171&lt;&gt;"",HYPERLINK(AD171,"💬 Remind"),"add mobile"),"")</f>
        <v/>
      </c>
      <c r="D171" s="58" t="n"/>
      <c r="E171" s="10" t="n"/>
      <c r="F171" s="10" t="n"/>
      <c r="G171" s="10" t="n"/>
      <c r="H171" s="10" t="n"/>
      <c r="I171" s="10" t="n"/>
      <c r="J171" s="10" t="n"/>
      <c r="K171" s="10" t="n"/>
      <c r="L171" s="56" t="n"/>
      <c r="M171" s="10" t="n"/>
      <c r="N171" s="12" t="n"/>
      <c r="O171" s="10" t="n"/>
      <c r="P171" s="10" t="n"/>
      <c r="Q171" s="61">
        <f>IF(V171="","",IF(T171="","Covered by "&amp;INDEX('Form Calc'!$B:$B,V171)&amp;"'s reply (same party)","Replied "&amp;TEXT(INDEX('Form Calc'!$A:$A,T171),"mm/dd")&amp;" · "&amp;INDEX('Form Calc'!$H:$H,T171)&amp;" adult(s), "&amp;INDEX('Form Calc'!$I:$I,T171)&amp;" child(ren)"&amp;IF(INDEX('Form Calc'!$K:$K,T171)&lt;&gt;""," · "&amp;INDEX('Form Calc'!$K:$K,T171),"")&amp;IF(INDEX('Form Calc'!$M:$M,T171)&lt;&gt;""," · “"&amp;INDEX('Form Calc'!$M:$M,T171)&amp;"”","")))</f>
        <v/>
      </c>
      <c r="R171" s="32">
        <f>SUBSTITUTE(SUBSTITUTE(SUBSTITUTE(SUBSTITUTE(SUBSTITUTE(SUBSTITUTE(SUBSTITUTE(SUBSTITUTE(D171&amp;""," ",""),"-",""),"(",""),")",""),".",""),"+",""),"/",""),CHAR(160),"")</f>
        <v/>
      </c>
      <c r="S171" s="32">
        <f>IF(LEN(R171)&gt;=10,RIGHT(R171,10),R171)</f>
        <v/>
      </c>
      <c r="T171" s="32">
        <f>IF(TRIM(A171&amp;"")="","",IF(S171&lt;&gt;"",IFERROR(MATCH(S171,'Form Calc'!$P:$P,0),IFERROR(MATCH(TRIM(A171&amp;""),'Form Calc'!$Q:$Q,0),"")),IFERROR(MATCH(TRIM(A171&amp;""),'Form Calc'!$Q:$Q,0),"")))</f>
        <v/>
      </c>
      <c r="U171" s="32">
        <f>IF(AND(T171&lt;&gt;"",TRIM(E171&amp;"")&lt;&gt;""),TRIM(E171&amp;""),"")</f>
        <v/>
      </c>
      <c r="V171" s="32">
        <f>IF(TRIM(A171&amp;"")="","",IF(T171&lt;&gt;"",T171,IF(TRIM(E171&amp;"")="","",IFERROR(INDEX($T$6:$T$505,MATCH(TRIM(E171&amp;""),$U$6:$U$505,0)),""))))</f>
        <v/>
      </c>
      <c r="W171" s="32">
        <f>IF(V171="","",INDEX('Form Calc'!$G:$G,V171))</f>
        <v/>
      </c>
      <c r="X171" s="32">
        <f>IF(TRIM(A171&amp;"")="","",IF(T171&lt;&gt;"",IF(INDEX('Form Calc'!$K:$K,T171)&lt;&gt;"",INDEX('Form Calc'!$K:$K,T171),J171&amp;""),J171&amp;""))</f>
        <v/>
      </c>
      <c r="Y171" s="32">
        <f>IF(TRIM(A171&amp;"")="","",IF(TRIM(D171&amp;"")&lt;&gt;"",TRIM(D171&amp;""),IF(T171&lt;&gt;"",INDEX('Form Calc'!$C:$C,T171)&amp;"","")))</f>
        <v/>
      </c>
      <c r="Z171" s="32">
        <f>SUBSTITUTE(SUBSTITUTE(SUBSTITUTE(SUBSTITUTE(SUBSTITUTE(SUBSTITUTE(SUBSTITUTE(SUBSTITUTE(Y171," ",""),"-",""),"(",""),")",""),".",""),"+",""),"/",""),CHAR(160),"")</f>
        <v/>
      </c>
      <c r="AA171" s="32">
        <f>IF(Z171="","",IF(LEN(Z171)=10,"+1"&amp;Z171,IF(AND(LEN(Z171)=11,LEFT(Z171,1)="1"),"+"&amp;Z171,IF(LEFT(Y171,1)="+","+"&amp;Z171,Z171))))</f>
        <v/>
      </c>
      <c r="AB171" s="32">
        <f>IF(TRIM(A171&amp;"")="","",IF(TRIM(M171&amp;"")&lt;&gt;"",TRIM(M171&amp;""),IFERROR(LEFT(TRIM(A171&amp;""),FIND(" ",TRIM(A171&amp;""))-1),TRIM(A171&amp;""))))</f>
        <v/>
      </c>
      <c r="AC171" s="32">
        <f>SUBSTITUTE(SUBSTITUTE(SUBSTITUTE(SUBSTITUTE(SUBSTITUTE(SUBSTITUTE(SUBSTITUTE(SUBSTITUTE(SUBSTITUTE(SUBSTITUTE(AB171,"%","%25"),"&amp;","%26"),"#","%23"),"+","%2B"),"=","%3D"),"?","%3F"),CHAR(34),"%22"),CHAR(10),"%0A"),CHAR(13),"")," ","+")</f>
        <v/>
      </c>
      <c r="AD171" s="32">
        <f>IF(OR(AA171="",AB171=""),"",'Start Here'!$B$20&amp;"#p="&amp;SUBSTITUTE(AA171,"+","%2B")&amp;"&amp;n="&amp;AC171&amp;"&amp;m="&amp;SUBSTITUTE('Start Here'!$B$24,"{name}",AC171))</f>
        <v/>
      </c>
      <c r="AE171" s="32">
        <f>LEN(AD171)</f>
        <v/>
      </c>
      <c r="AF171" s="32">
        <f>IF(AND(TRIM(A171&amp;"")&lt;&gt;"",OR(B171="Awaiting",B171="Not sure yet")),1,0)</f>
        <v/>
      </c>
      <c r="AG171" s="32">
        <f>N(AG170)+AF171</f>
        <v/>
      </c>
      <c r="AH171" s="32">
        <f>IF(AF171=1,AG171,"")</f>
        <v/>
      </c>
      <c r="AI171" s="32">
        <f>IF(AND(TRIM(A171&amp;"")&lt;&gt;"",L171&amp;""&lt;&gt;"",L171&amp;""=Seating!$I$3&amp;"",B171&lt;&gt;"Declined"),1,0)</f>
        <v/>
      </c>
      <c r="AJ171" s="32">
        <f>N(AJ170)+AI171</f>
        <v/>
      </c>
      <c r="AK171" s="32">
        <f>IF(AI171=1,AJ171,"")</f>
        <v/>
      </c>
    </row>
    <row r="172">
      <c r="A172" s="10" t="n"/>
      <c r="B172" s="47">
        <f>IF(TRIM(A172&amp;"")="","",IF(W172&lt;&gt;"",W172,IF(I172="","Awaiting",I172)))</f>
        <v/>
      </c>
      <c r="C172" s="60">
        <f>IF(OR(B172="Awaiting",B172="Not sure yet"),IF(AD172&lt;&gt;"",HYPERLINK(AD172,"💬 Remind"),"add mobile"),"")</f>
        <v/>
      </c>
      <c r="D172" s="58" t="n"/>
      <c r="E172" s="10" t="n"/>
      <c r="F172" s="10" t="n"/>
      <c r="G172" s="10" t="n"/>
      <c r="H172" s="10" t="n"/>
      <c r="I172" s="10" t="n"/>
      <c r="J172" s="10" t="n"/>
      <c r="K172" s="10" t="n"/>
      <c r="L172" s="56" t="n"/>
      <c r="M172" s="10" t="n"/>
      <c r="N172" s="12" t="n"/>
      <c r="O172" s="10" t="n"/>
      <c r="P172" s="10" t="n"/>
      <c r="Q172" s="61">
        <f>IF(V172="","",IF(T172="","Covered by "&amp;INDEX('Form Calc'!$B:$B,V172)&amp;"'s reply (same party)","Replied "&amp;TEXT(INDEX('Form Calc'!$A:$A,T172),"mm/dd")&amp;" · "&amp;INDEX('Form Calc'!$H:$H,T172)&amp;" adult(s), "&amp;INDEX('Form Calc'!$I:$I,T172)&amp;" child(ren)"&amp;IF(INDEX('Form Calc'!$K:$K,T172)&lt;&gt;""," · "&amp;INDEX('Form Calc'!$K:$K,T172),"")&amp;IF(INDEX('Form Calc'!$M:$M,T172)&lt;&gt;""," · “"&amp;INDEX('Form Calc'!$M:$M,T172)&amp;"”","")))</f>
        <v/>
      </c>
      <c r="R172" s="32">
        <f>SUBSTITUTE(SUBSTITUTE(SUBSTITUTE(SUBSTITUTE(SUBSTITUTE(SUBSTITUTE(SUBSTITUTE(SUBSTITUTE(D172&amp;""," ",""),"-",""),"(",""),")",""),".",""),"+",""),"/",""),CHAR(160),"")</f>
        <v/>
      </c>
      <c r="S172" s="32">
        <f>IF(LEN(R172)&gt;=10,RIGHT(R172,10),R172)</f>
        <v/>
      </c>
      <c r="T172" s="32">
        <f>IF(TRIM(A172&amp;"")="","",IF(S172&lt;&gt;"",IFERROR(MATCH(S172,'Form Calc'!$P:$P,0),IFERROR(MATCH(TRIM(A172&amp;""),'Form Calc'!$Q:$Q,0),"")),IFERROR(MATCH(TRIM(A172&amp;""),'Form Calc'!$Q:$Q,0),"")))</f>
        <v/>
      </c>
      <c r="U172" s="32">
        <f>IF(AND(T172&lt;&gt;"",TRIM(E172&amp;"")&lt;&gt;""),TRIM(E172&amp;""),"")</f>
        <v/>
      </c>
      <c r="V172" s="32">
        <f>IF(TRIM(A172&amp;"")="","",IF(T172&lt;&gt;"",T172,IF(TRIM(E172&amp;"")="","",IFERROR(INDEX($T$6:$T$505,MATCH(TRIM(E172&amp;""),$U$6:$U$505,0)),""))))</f>
        <v/>
      </c>
      <c r="W172" s="32">
        <f>IF(V172="","",INDEX('Form Calc'!$G:$G,V172))</f>
        <v/>
      </c>
      <c r="X172" s="32">
        <f>IF(TRIM(A172&amp;"")="","",IF(T172&lt;&gt;"",IF(INDEX('Form Calc'!$K:$K,T172)&lt;&gt;"",INDEX('Form Calc'!$K:$K,T172),J172&amp;""),J172&amp;""))</f>
        <v/>
      </c>
      <c r="Y172" s="32">
        <f>IF(TRIM(A172&amp;"")="","",IF(TRIM(D172&amp;"")&lt;&gt;"",TRIM(D172&amp;""),IF(T172&lt;&gt;"",INDEX('Form Calc'!$C:$C,T172)&amp;"","")))</f>
        <v/>
      </c>
      <c r="Z172" s="32">
        <f>SUBSTITUTE(SUBSTITUTE(SUBSTITUTE(SUBSTITUTE(SUBSTITUTE(SUBSTITUTE(SUBSTITUTE(SUBSTITUTE(Y172," ",""),"-",""),"(",""),")",""),".",""),"+",""),"/",""),CHAR(160),"")</f>
        <v/>
      </c>
      <c r="AA172" s="32">
        <f>IF(Z172="","",IF(LEN(Z172)=10,"+1"&amp;Z172,IF(AND(LEN(Z172)=11,LEFT(Z172,1)="1"),"+"&amp;Z172,IF(LEFT(Y172,1)="+","+"&amp;Z172,Z172))))</f>
        <v/>
      </c>
      <c r="AB172" s="32">
        <f>IF(TRIM(A172&amp;"")="","",IF(TRIM(M172&amp;"")&lt;&gt;"",TRIM(M172&amp;""),IFERROR(LEFT(TRIM(A172&amp;""),FIND(" ",TRIM(A172&amp;""))-1),TRIM(A172&amp;""))))</f>
        <v/>
      </c>
      <c r="AC172" s="32">
        <f>SUBSTITUTE(SUBSTITUTE(SUBSTITUTE(SUBSTITUTE(SUBSTITUTE(SUBSTITUTE(SUBSTITUTE(SUBSTITUTE(SUBSTITUTE(SUBSTITUTE(AB172,"%","%25"),"&amp;","%26"),"#","%23"),"+","%2B"),"=","%3D"),"?","%3F"),CHAR(34),"%22"),CHAR(10),"%0A"),CHAR(13),"")," ","+")</f>
        <v/>
      </c>
      <c r="AD172" s="32">
        <f>IF(OR(AA172="",AB172=""),"",'Start Here'!$B$20&amp;"#p="&amp;SUBSTITUTE(AA172,"+","%2B")&amp;"&amp;n="&amp;AC172&amp;"&amp;m="&amp;SUBSTITUTE('Start Here'!$B$24,"{name}",AC172))</f>
        <v/>
      </c>
      <c r="AE172" s="32">
        <f>LEN(AD172)</f>
        <v/>
      </c>
      <c r="AF172" s="32">
        <f>IF(AND(TRIM(A172&amp;"")&lt;&gt;"",OR(B172="Awaiting",B172="Not sure yet")),1,0)</f>
        <v/>
      </c>
      <c r="AG172" s="32">
        <f>N(AG171)+AF172</f>
        <v/>
      </c>
      <c r="AH172" s="32">
        <f>IF(AF172=1,AG172,"")</f>
        <v/>
      </c>
      <c r="AI172" s="32">
        <f>IF(AND(TRIM(A172&amp;"")&lt;&gt;"",L172&amp;""&lt;&gt;"",L172&amp;""=Seating!$I$3&amp;"",B172&lt;&gt;"Declined"),1,0)</f>
        <v/>
      </c>
      <c r="AJ172" s="32">
        <f>N(AJ171)+AI172</f>
        <v/>
      </c>
      <c r="AK172" s="32">
        <f>IF(AI172=1,AJ172,"")</f>
        <v/>
      </c>
    </row>
    <row r="173">
      <c r="A173" s="10" t="n"/>
      <c r="B173" s="47">
        <f>IF(TRIM(A173&amp;"")="","",IF(W173&lt;&gt;"",W173,IF(I173="","Awaiting",I173)))</f>
        <v/>
      </c>
      <c r="C173" s="60">
        <f>IF(OR(B173="Awaiting",B173="Not sure yet"),IF(AD173&lt;&gt;"",HYPERLINK(AD173,"💬 Remind"),"add mobile"),"")</f>
        <v/>
      </c>
      <c r="D173" s="58" t="n"/>
      <c r="E173" s="10" t="n"/>
      <c r="F173" s="10" t="n"/>
      <c r="G173" s="10" t="n"/>
      <c r="H173" s="10" t="n"/>
      <c r="I173" s="10" t="n"/>
      <c r="J173" s="10" t="n"/>
      <c r="K173" s="10" t="n"/>
      <c r="L173" s="56" t="n"/>
      <c r="M173" s="10" t="n"/>
      <c r="N173" s="12" t="n"/>
      <c r="O173" s="10" t="n"/>
      <c r="P173" s="10" t="n"/>
      <c r="Q173" s="61">
        <f>IF(V173="","",IF(T173="","Covered by "&amp;INDEX('Form Calc'!$B:$B,V173)&amp;"'s reply (same party)","Replied "&amp;TEXT(INDEX('Form Calc'!$A:$A,T173),"mm/dd")&amp;" · "&amp;INDEX('Form Calc'!$H:$H,T173)&amp;" adult(s), "&amp;INDEX('Form Calc'!$I:$I,T173)&amp;" child(ren)"&amp;IF(INDEX('Form Calc'!$K:$K,T173)&lt;&gt;""," · "&amp;INDEX('Form Calc'!$K:$K,T173),"")&amp;IF(INDEX('Form Calc'!$M:$M,T173)&lt;&gt;""," · “"&amp;INDEX('Form Calc'!$M:$M,T173)&amp;"”","")))</f>
        <v/>
      </c>
      <c r="R173" s="32">
        <f>SUBSTITUTE(SUBSTITUTE(SUBSTITUTE(SUBSTITUTE(SUBSTITUTE(SUBSTITUTE(SUBSTITUTE(SUBSTITUTE(D173&amp;""," ",""),"-",""),"(",""),")",""),".",""),"+",""),"/",""),CHAR(160),"")</f>
        <v/>
      </c>
      <c r="S173" s="32">
        <f>IF(LEN(R173)&gt;=10,RIGHT(R173,10),R173)</f>
        <v/>
      </c>
      <c r="T173" s="32">
        <f>IF(TRIM(A173&amp;"")="","",IF(S173&lt;&gt;"",IFERROR(MATCH(S173,'Form Calc'!$P:$P,0),IFERROR(MATCH(TRIM(A173&amp;""),'Form Calc'!$Q:$Q,0),"")),IFERROR(MATCH(TRIM(A173&amp;""),'Form Calc'!$Q:$Q,0),"")))</f>
        <v/>
      </c>
      <c r="U173" s="32">
        <f>IF(AND(T173&lt;&gt;"",TRIM(E173&amp;"")&lt;&gt;""),TRIM(E173&amp;""),"")</f>
        <v/>
      </c>
      <c r="V173" s="32">
        <f>IF(TRIM(A173&amp;"")="","",IF(T173&lt;&gt;"",T173,IF(TRIM(E173&amp;"")="","",IFERROR(INDEX($T$6:$T$505,MATCH(TRIM(E173&amp;""),$U$6:$U$505,0)),""))))</f>
        <v/>
      </c>
      <c r="W173" s="32">
        <f>IF(V173="","",INDEX('Form Calc'!$G:$G,V173))</f>
        <v/>
      </c>
      <c r="X173" s="32">
        <f>IF(TRIM(A173&amp;"")="","",IF(T173&lt;&gt;"",IF(INDEX('Form Calc'!$K:$K,T173)&lt;&gt;"",INDEX('Form Calc'!$K:$K,T173),J173&amp;""),J173&amp;""))</f>
        <v/>
      </c>
      <c r="Y173" s="32">
        <f>IF(TRIM(A173&amp;"")="","",IF(TRIM(D173&amp;"")&lt;&gt;"",TRIM(D173&amp;""),IF(T173&lt;&gt;"",INDEX('Form Calc'!$C:$C,T173)&amp;"","")))</f>
        <v/>
      </c>
      <c r="Z173" s="32">
        <f>SUBSTITUTE(SUBSTITUTE(SUBSTITUTE(SUBSTITUTE(SUBSTITUTE(SUBSTITUTE(SUBSTITUTE(SUBSTITUTE(Y173," ",""),"-",""),"(",""),")",""),".",""),"+",""),"/",""),CHAR(160),"")</f>
        <v/>
      </c>
      <c r="AA173" s="32">
        <f>IF(Z173="","",IF(LEN(Z173)=10,"+1"&amp;Z173,IF(AND(LEN(Z173)=11,LEFT(Z173,1)="1"),"+"&amp;Z173,IF(LEFT(Y173,1)="+","+"&amp;Z173,Z173))))</f>
        <v/>
      </c>
      <c r="AB173" s="32">
        <f>IF(TRIM(A173&amp;"")="","",IF(TRIM(M173&amp;"")&lt;&gt;"",TRIM(M173&amp;""),IFERROR(LEFT(TRIM(A173&amp;""),FIND(" ",TRIM(A173&amp;""))-1),TRIM(A173&amp;""))))</f>
        <v/>
      </c>
      <c r="AC173" s="32">
        <f>SUBSTITUTE(SUBSTITUTE(SUBSTITUTE(SUBSTITUTE(SUBSTITUTE(SUBSTITUTE(SUBSTITUTE(SUBSTITUTE(SUBSTITUTE(SUBSTITUTE(AB173,"%","%25"),"&amp;","%26"),"#","%23"),"+","%2B"),"=","%3D"),"?","%3F"),CHAR(34),"%22"),CHAR(10),"%0A"),CHAR(13),"")," ","+")</f>
        <v/>
      </c>
      <c r="AD173" s="32">
        <f>IF(OR(AA173="",AB173=""),"",'Start Here'!$B$20&amp;"#p="&amp;SUBSTITUTE(AA173,"+","%2B")&amp;"&amp;n="&amp;AC173&amp;"&amp;m="&amp;SUBSTITUTE('Start Here'!$B$24,"{name}",AC173))</f>
        <v/>
      </c>
      <c r="AE173" s="32">
        <f>LEN(AD173)</f>
        <v/>
      </c>
      <c r="AF173" s="32">
        <f>IF(AND(TRIM(A173&amp;"")&lt;&gt;"",OR(B173="Awaiting",B173="Not sure yet")),1,0)</f>
        <v/>
      </c>
      <c r="AG173" s="32">
        <f>N(AG172)+AF173</f>
        <v/>
      </c>
      <c r="AH173" s="32">
        <f>IF(AF173=1,AG173,"")</f>
        <v/>
      </c>
      <c r="AI173" s="32">
        <f>IF(AND(TRIM(A173&amp;"")&lt;&gt;"",L173&amp;""&lt;&gt;"",L173&amp;""=Seating!$I$3&amp;"",B173&lt;&gt;"Declined"),1,0)</f>
        <v/>
      </c>
      <c r="AJ173" s="32">
        <f>N(AJ172)+AI173</f>
        <v/>
      </c>
      <c r="AK173" s="32">
        <f>IF(AI173=1,AJ173,"")</f>
        <v/>
      </c>
    </row>
    <row r="174">
      <c r="A174" s="10" t="n"/>
      <c r="B174" s="47">
        <f>IF(TRIM(A174&amp;"")="","",IF(W174&lt;&gt;"",W174,IF(I174="","Awaiting",I174)))</f>
        <v/>
      </c>
      <c r="C174" s="60">
        <f>IF(OR(B174="Awaiting",B174="Not sure yet"),IF(AD174&lt;&gt;"",HYPERLINK(AD174,"💬 Remind"),"add mobile"),"")</f>
        <v/>
      </c>
      <c r="D174" s="58" t="n"/>
      <c r="E174" s="10" t="n"/>
      <c r="F174" s="10" t="n"/>
      <c r="G174" s="10" t="n"/>
      <c r="H174" s="10" t="n"/>
      <c r="I174" s="10" t="n"/>
      <c r="J174" s="10" t="n"/>
      <c r="K174" s="10" t="n"/>
      <c r="L174" s="56" t="n"/>
      <c r="M174" s="10" t="n"/>
      <c r="N174" s="12" t="n"/>
      <c r="O174" s="10" t="n"/>
      <c r="P174" s="10" t="n"/>
      <c r="Q174" s="61">
        <f>IF(V174="","",IF(T174="","Covered by "&amp;INDEX('Form Calc'!$B:$B,V174)&amp;"'s reply (same party)","Replied "&amp;TEXT(INDEX('Form Calc'!$A:$A,T174),"mm/dd")&amp;" · "&amp;INDEX('Form Calc'!$H:$H,T174)&amp;" adult(s), "&amp;INDEX('Form Calc'!$I:$I,T174)&amp;" child(ren)"&amp;IF(INDEX('Form Calc'!$K:$K,T174)&lt;&gt;""," · "&amp;INDEX('Form Calc'!$K:$K,T174),"")&amp;IF(INDEX('Form Calc'!$M:$M,T174)&lt;&gt;""," · “"&amp;INDEX('Form Calc'!$M:$M,T174)&amp;"”","")))</f>
        <v/>
      </c>
      <c r="R174" s="32">
        <f>SUBSTITUTE(SUBSTITUTE(SUBSTITUTE(SUBSTITUTE(SUBSTITUTE(SUBSTITUTE(SUBSTITUTE(SUBSTITUTE(D174&amp;""," ",""),"-",""),"(",""),")",""),".",""),"+",""),"/",""),CHAR(160),"")</f>
        <v/>
      </c>
      <c r="S174" s="32">
        <f>IF(LEN(R174)&gt;=10,RIGHT(R174,10),R174)</f>
        <v/>
      </c>
      <c r="T174" s="32">
        <f>IF(TRIM(A174&amp;"")="","",IF(S174&lt;&gt;"",IFERROR(MATCH(S174,'Form Calc'!$P:$P,0),IFERROR(MATCH(TRIM(A174&amp;""),'Form Calc'!$Q:$Q,0),"")),IFERROR(MATCH(TRIM(A174&amp;""),'Form Calc'!$Q:$Q,0),"")))</f>
        <v/>
      </c>
      <c r="U174" s="32">
        <f>IF(AND(T174&lt;&gt;"",TRIM(E174&amp;"")&lt;&gt;""),TRIM(E174&amp;""),"")</f>
        <v/>
      </c>
      <c r="V174" s="32">
        <f>IF(TRIM(A174&amp;"")="","",IF(T174&lt;&gt;"",T174,IF(TRIM(E174&amp;"")="","",IFERROR(INDEX($T$6:$T$505,MATCH(TRIM(E174&amp;""),$U$6:$U$505,0)),""))))</f>
        <v/>
      </c>
      <c r="W174" s="32">
        <f>IF(V174="","",INDEX('Form Calc'!$G:$G,V174))</f>
        <v/>
      </c>
      <c r="X174" s="32">
        <f>IF(TRIM(A174&amp;"")="","",IF(T174&lt;&gt;"",IF(INDEX('Form Calc'!$K:$K,T174)&lt;&gt;"",INDEX('Form Calc'!$K:$K,T174),J174&amp;""),J174&amp;""))</f>
        <v/>
      </c>
      <c r="Y174" s="32">
        <f>IF(TRIM(A174&amp;"")="","",IF(TRIM(D174&amp;"")&lt;&gt;"",TRIM(D174&amp;""),IF(T174&lt;&gt;"",INDEX('Form Calc'!$C:$C,T174)&amp;"","")))</f>
        <v/>
      </c>
      <c r="Z174" s="32">
        <f>SUBSTITUTE(SUBSTITUTE(SUBSTITUTE(SUBSTITUTE(SUBSTITUTE(SUBSTITUTE(SUBSTITUTE(SUBSTITUTE(Y174," ",""),"-",""),"(",""),")",""),".",""),"+",""),"/",""),CHAR(160),"")</f>
        <v/>
      </c>
      <c r="AA174" s="32">
        <f>IF(Z174="","",IF(LEN(Z174)=10,"+1"&amp;Z174,IF(AND(LEN(Z174)=11,LEFT(Z174,1)="1"),"+"&amp;Z174,IF(LEFT(Y174,1)="+","+"&amp;Z174,Z174))))</f>
        <v/>
      </c>
      <c r="AB174" s="32">
        <f>IF(TRIM(A174&amp;"")="","",IF(TRIM(M174&amp;"")&lt;&gt;"",TRIM(M174&amp;""),IFERROR(LEFT(TRIM(A174&amp;""),FIND(" ",TRIM(A174&amp;""))-1),TRIM(A174&amp;""))))</f>
        <v/>
      </c>
      <c r="AC174" s="32">
        <f>SUBSTITUTE(SUBSTITUTE(SUBSTITUTE(SUBSTITUTE(SUBSTITUTE(SUBSTITUTE(SUBSTITUTE(SUBSTITUTE(SUBSTITUTE(SUBSTITUTE(AB174,"%","%25"),"&amp;","%26"),"#","%23"),"+","%2B"),"=","%3D"),"?","%3F"),CHAR(34),"%22"),CHAR(10),"%0A"),CHAR(13),"")," ","+")</f>
        <v/>
      </c>
      <c r="AD174" s="32">
        <f>IF(OR(AA174="",AB174=""),"",'Start Here'!$B$20&amp;"#p="&amp;SUBSTITUTE(AA174,"+","%2B")&amp;"&amp;n="&amp;AC174&amp;"&amp;m="&amp;SUBSTITUTE('Start Here'!$B$24,"{name}",AC174))</f>
        <v/>
      </c>
      <c r="AE174" s="32">
        <f>LEN(AD174)</f>
        <v/>
      </c>
      <c r="AF174" s="32">
        <f>IF(AND(TRIM(A174&amp;"")&lt;&gt;"",OR(B174="Awaiting",B174="Not sure yet")),1,0)</f>
        <v/>
      </c>
      <c r="AG174" s="32">
        <f>N(AG173)+AF174</f>
        <v/>
      </c>
      <c r="AH174" s="32">
        <f>IF(AF174=1,AG174,"")</f>
        <v/>
      </c>
      <c r="AI174" s="32">
        <f>IF(AND(TRIM(A174&amp;"")&lt;&gt;"",L174&amp;""&lt;&gt;"",L174&amp;""=Seating!$I$3&amp;"",B174&lt;&gt;"Declined"),1,0)</f>
        <v/>
      </c>
      <c r="AJ174" s="32">
        <f>N(AJ173)+AI174</f>
        <v/>
      </c>
      <c r="AK174" s="32">
        <f>IF(AI174=1,AJ174,"")</f>
        <v/>
      </c>
    </row>
    <row r="175">
      <c r="A175" s="10" t="n"/>
      <c r="B175" s="47">
        <f>IF(TRIM(A175&amp;"")="","",IF(W175&lt;&gt;"",W175,IF(I175="","Awaiting",I175)))</f>
        <v/>
      </c>
      <c r="C175" s="60">
        <f>IF(OR(B175="Awaiting",B175="Not sure yet"),IF(AD175&lt;&gt;"",HYPERLINK(AD175,"💬 Remind"),"add mobile"),"")</f>
        <v/>
      </c>
      <c r="D175" s="58" t="n"/>
      <c r="E175" s="10" t="n"/>
      <c r="F175" s="10" t="n"/>
      <c r="G175" s="10" t="n"/>
      <c r="H175" s="10" t="n"/>
      <c r="I175" s="10" t="n"/>
      <c r="J175" s="10" t="n"/>
      <c r="K175" s="10" t="n"/>
      <c r="L175" s="56" t="n"/>
      <c r="M175" s="10" t="n"/>
      <c r="N175" s="12" t="n"/>
      <c r="O175" s="10" t="n"/>
      <c r="P175" s="10" t="n"/>
      <c r="Q175" s="61">
        <f>IF(V175="","",IF(T175="","Covered by "&amp;INDEX('Form Calc'!$B:$B,V175)&amp;"'s reply (same party)","Replied "&amp;TEXT(INDEX('Form Calc'!$A:$A,T175),"mm/dd")&amp;" · "&amp;INDEX('Form Calc'!$H:$H,T175)&amp;" adult(s), "&amp;INDEX('Form Calc'!$I:$I,T175)&amp;" child(ren)"&amp;IF(INDEX('Form Calc'!$K:$K,T175)&lt;&gt;""," · "&amp;INDEX('Form Calc'!$K:$K,T175),"")&amp;IF(INDEX('Form Calc'!$M:$M,T175)&lt;&gt;""," · “"&amp;INDEX('Form Calc'!$M:$M,T175)&amp;"”","")))</f>
        <v/>
      </c>
      <c r="R175" s="32">
        <f>SUBSTITUTE(SUBSTITUTE(SUBSTITUTE(SUBSTITUTE(SUBSTITUTE(SUBSTITUTE(SUBSTITUTE(SUBSTITUTE(D175&amp;""," ",""),"-",""),"(",""),")",""),".",""),"+",""),"/",""),CHAR(160),"")</f>
        <v/>
      </c>
      <c r="S175" s="32">
        <f>IF(LEN(R175)&gt;=10,RIGHT(R175,10),R175)</f>
        <v/>
      </c>
      <c r="T175" s="32">
        <f>IF(TRIM(A175&amp;"")="","",IF(S175&lt;&gt;"",IFERROR(MATCH(S175,'Form Calc'!$P:$P,0),IFERROR(MATCH(TRIM(A175&amp;""),'Form Calc'!$Q:$Q,0),"")),IFERROR(MATCH(TRIM(A175&amp;""),'Form Calc'!$Q:$Q,0),"")))</f>
        <v/>
      </c>
      <c r="U175" s="32">
        <f>IF(AND(T175&lt;&gt;"",TRIM(E175&amp;"")&lt;&gt;""),TRIM(E175&amp;""),"")</f>
        <v/>
      </c>
      <c r="V175" s="32">
        <f>IF(TRIM(A175&amp;"")="","",IF(T175&lt;&gt;"",T175,IF(TRIM(E175&amp;"")="","",IFERROR(INDEX($T$6:$T$505,MATCH(TRIM(E175&amp;""),$U$6:$U$505,0)),""))))</f>
        <v/>
      </c>
      <c r="W175" s="32">
        <f>IF(V175="","",INDEX('Form Calc'!$G:$G,V175))</f>
        <v/>
      </c>
      <c r="X175" s="32">
        <f>IF(TRIM(A175&amp;"")="","",IF(T175&lt;&gt;"",IF(INDEX('Form Calc'!$K:$K,T175)&lt;&gt;"",INDEX('Form Calc'!$K:$K,T175),J175&amp;""),J175&amp;""))</f>
        <v/>
      </c>
      <c r="Y175" s="32">
        <f>IF(TRIM(A175&amp;"")="","",IF(TRIM(D175&amp;"")&lt;&gt;"",TRIM(D175&amp;""),IF(T175&lt;&gt;"",INDEX('Form Calc'!$C:$C,T175)&amp;"","")))</f>
        <v/>
      </c>
      <c r="Z175" s="32">
        <f>SUBSTITUTE(SUBSTITUTE(SUBSTITUTE(SUBSTITUTE(SUBSTITUTE(SUBSTITUTE(SUBSTITUTE(SUBSTITUTE(Y175," ",""),"-",""),"(",""),")",""),".",""),"+",""),"/",""),CHAR(160),"")</f>
        <v/>
      </c>
      <c r="AA175" s="32">
        <f>IF(Z175="","",IF(LEN(Z175)=10,"+1"&amp;Z175,IF(AND(LEN(Z175)=11,LEFT(Z175,1)="1"),"+"&amp;Z175,IF(LEFT(Y175,1)="+","+"&amp;Z175,Z175))))</f>
        <v/>
      </c>
      <c r="AB175" s="32">
        <f>IF(TRIM(A175&amp;"")="","",IF(TRIM(M175&amp;"")&lt;&gt;"",TRIM(M175&amp;""),IFERROR(LEFT(TRIM(A175&amp;""),FIND(" ",TRIM(A175&amp;""))-1),TRIM(A175&amp;""))))</f>
        <v/>
      </c>
      <c r="AC175" s="32">
        <f>SUBSTITUTE(SUBSTITUTE(SUBSTITUTE(SUBSTITUTE(SUBSTITUTE(SUBSTITUTE(SUBSTITUTE(SUBSTITUTE(SUBSTITUTE(SUBSTITUTE(AB175,"%","%25"),"&amp;","%26"),"#","%23"),"+","%2B"),"=","%3D"),"?","%3F"),CHAR(34),"%22"),CHAR(10),"%0A"),CHAR(13),"")," ","+")</f>
        <v/>
      </c>
      <c r="AD175" s="32">
        <f>IF(OR(AA175="",AB175=""),"",'Start Here'!$B$20&amp;"#p="&amp;SUBSTITUTE(AA175,"+","%2B")&amp;"&amp;n="&amp;AC175&amp;"&amp;m="&amp;SUBSTITUTE('Start Here'!$B$24,"{name}",AC175))</f>
        <v/>
      </c>
      <c r="AE175" s="32">
        <f>LEN(AD175)</f>
        <v/>
      </c>
      <c r="AF175" s="32">
        <f>IF(AND(TRIM(A175&amp;"")&lt;&gt;"",OR(B175="Awaiting",B175="Not sure yet")),1,0)</f>
        <v/>
      </c>
      <c r="AG175" s="32">
        <f>N(AG174)+AF175</f>
        <v/>
      </c>
      <c r="AH175" s="32">
        <f>IF(AF175=1,AG175,"")</f>
        <v/>
      </c>
      <c r="AI175" s="32">
        <f>IF(AND(TRIM(A175&amp;"")&lt;&gt;"",L175&amp;""&lt;&gt;"",L175&amp;""=Seating!$I$3&amp;"",B175&lt;&gt;"Declined"),1,0)</f>
        <v/>
      </c>
      <c r="AJ175" s="32">
        <f>N(AJ174)+AI175</f>
        <v/>
      </c>
      <c r="AK175" s="32">
        <f>IF(AI175=1,AJ175,"")</f>
        <v/>
      </c>
    </row>
    <row r="176">
      <c r="A176" s="10" t="n"/>
      <c r="B176" s="47">
        <f>IF(TRIM(A176&amp;"")="","",IF(W176&lt;&gt;"",W176,IF(I176="","Awaiting",I176)))</f>
        <v/>
      </c>
      <c r="C176" s="60">
        <f>IF(OR(B176="Awaiting",B176="Not sure yet"),IF(AD176&lt;&gt;"",HYPERLINK(AD176,"💬 Remind"),"add mobile"),"")</f>
        <v/>
      </c>
      <c r="D176" s="58" t="n"/>
      <c r="E176" s="10" t="n"/>
      <c r="F176" s="10" t="n"/>
      <c r="G176" s="10" t="n"/>
      <c r="H176" s="10" t="n"/>
      <c r="I176" s="10" t="n"/>
      <c r="J176" s="10" t="n"/>
      <c r="K176" s="10" t="n"/>
      <c r="L176" s="56" t="n"/>
      <c r="M176" s="10" t="n"/>
      <c r="N176" s="12" t="n"/>
      <c r="O176" s="10" t="n"/>
      <c r="P176" s="10" t="n"/>
      <c r="Q176" s="61">
        <f>IF(V176="","",IF(T176="","Covered by "&amp;INDEX('Form Calc'!$B:$B,V176)&amp;"'s reply (same party)","Replied "&amp;TEXT(INDEX('Form Calc'!$A:$A,T176),"mm/dd")&amp;" · "&amp;INDEX('Form Calc'!$H:$H,T176)&amp;" adult(s), "&amp;INDEX('Form Calc'!$I:$I,T176)&amp;" child(ren)"&amp;IF(INDEX('Form Calc'!$K:$K,T176)&lt;&gt;""," · "&amp;INDEX('Form Calc'!$K:$K,T176),"")&amp;IF(INDEX('Form Calc'!$M:$M,T176)&lt;&gt;""," · “"&amp;INDEX('Form Calc'!$M:$M,T176)&amp;"”","")))</f>
        <v/>
      </c>
      <c r="R176" s="32">
        <f>SUBSTITUTE(SUBSTITUTE(SUBSTITUTE(SUBSTITUTE(SUBSTITUTE(SUBSTITUTE(SUBSTITUTE(SUBSTITUTE(D176&amp;""," ",""),"-",""),"(",""),")",""),".",""),"+",""),"/",""),CHAR(160),"")</f>
        <v/>
      </c>
      <c r="S176" s="32">
        <f>IF(LEN(R176)&gt;=10,RIGHT(R176,10),R176)</f>
        <v/>
      </c>
      <c r="T176" s="32">
        <f>IF(TRIM(A176&amp;"")="","",IF(S176&lt;&gt;"",IFERROR(MATCH(S176,'Form Calc'!$P:$P,0),IFERROR(MATCH(TRIM(A176&amp;""),'Form Calc'!$Q:$Q,0),"")),IFERROR(MATCH(TRIM(A176&amp;""),'Form Calc'!$Q:$Q,0),"")))</f>
        <v/>
      </c>
      <c r="U176" s="32">
        <f>IF(AND(T176&lt;&gt;"",TRIM(E176&amp;"")&lt;&gt;""),TRIM(E176&amp;""),"")</f>
        <v/>
      </c>
      <c r="V176" s="32">
        <f>IF(TRIM(A176&amp;"")="","",IF(T176&lt;&gt;"",T176,IF(TRIM(E176&amp;"")="","",IFERROR(INDEX($T$6:$T$505,MATCH(TRIM(E176&amp;""),$U$6:$U$505,0)),""))))</f>
        <v/>
      </c>
      <c r="W176" s="32">
        <f>IF(V176="","",INDEX('Form Calc'!$G:$G,V176))</f>
        <v/>
      </c>
      <c r="X176" s="32">
        <f>IF(TRIM(A176&amp;"")="","",IF(T176&lt;&gt;"",IF(INDEX('Form Calc'!$K:$K,T176)&lt;&gt;"",INDEX('Form Calc'!$K:$K,T176),J176&amp;""),J176&amp;""))</f>
        <v/>
      </c>
      <c r="Y176" s="32">
        <f>IF(TRIM(A176&amp;"")="","",IF(TRIM(D176&amp;"")&lt;&gt;"",TRIM(D176&amp;""),IF(T176&lt;&gt;"",INDEX('Form Calc'!$C:$C,T176)&amp;"","")))</f>
        <v/>
      </c>
      <c r="Z176" s="32">
        <f>SUBSTITUTE(SUBSTITUTE(SUBSTITUTE(SUBSTITUTE(SUBSTITUTE(SUBSTITUTE(SUBSTITUTE(SUBSTITUTE(Y176," ",""),"-",""),"(",""),")",""),".",""),"+",""),"/",""),CHAR(160),"")</f>
        <v/>
      </c>
      <c r="AA176" s="32">
        <f>IF(Z176="","",IF(LEN(Z176)=10,"+1"&amp;Z176,IF(AND(LEN(Z176)=11,LEFT(Z176,1)="1"),"+"&amp;Z176,IF(LEFT(Y176,1)="+","+"&amp;Z176,Z176))))</f>
        <v/>
      </c>
      <c r="AB176" s="32">
        <f>IF(TRIM(A176&amp;"")="","",IF(TRIM(M176&amp;"")&lt;&gt;"",TRIM(M176&amp;""),IFERROR(LEFT(TRIM(A176&amp;""),FIND(" ",TRIM(A176&amp;""))-1),TRIM(A176&amp;""))))</f>
        <v/>
      </c>
      <c r="AC176" s="32">
        <f>SUBSTITUTE(SUBSTITUTE(SUBSTITUTE(SUBSTITUTE(SUBSTITUTE(SUBSTITUTE(SUBSTITUTE(SUBSTITUTE(SUBSTITUTE(SUBSTITUTE(AB176,"%","%25"),"&amp;","%26"),"#","%23"),"+","%2B"),"=","%3D"),"?","%3F"),CHAR(34),"%22"),CHAR(10),"%0A"),CHAR(13),"")," ","+")</f>
        <v/>
      </c>
      <c r="AD176" s="32">
        <f>IF(OR(AA176="",AB176=""),"",'Start Here'!$B$20&amp;"#p="&amp;SUBSTITUTE(AA176,"+","%2B")&amp;"&amp;n="&amp;AC176&amp;"&amp;m="&amp;SUBSTITUTE('Start Here'!$B$24,"{name}",AC176))</f>
        <v/>
      </c>
      <c r="AE176" s="32">
        <f>LEN(AD176)</f>
        <v/>
      </c>
      <c r="AF176" s="32">
        <f>IF(AND(TRIM(A176&amp;"")&lt;&gt;"",OR(B176="Awaiting",B176="Not sure yet")),1,0)</f>
        <v/>
      </c>
      <c r="AG176" s="32">
        <f>N(AG175)+AF176</f>
        <v/>
      </c>
      <c r="AH176" s="32">
        <f>IF(AF176=1,AG176,"")</f>
        <v/>
      </c>
      <c r="AI176" s="32">
        <f>IF(AND(TRIM(A176&amp;"")&lt;&gt;"",L176&amp;""&lt;&gt;"",L176&amp;""=Seating!$I$3&amp;"",B176&lt;&gt;"Declined"),1,0)</f>
        <v/>
      </c>
      <c r="AJ176" s="32">
        <f>N(AJ175)+AI176</f>
        <v/>
      </c>
      <c r="AK176" s="32">
        <f>IF(AI176=1,AJ176,"")</f>
        <v/>
      </c>
    </row>
    <row r="177">
      <c r="A177" s="10" t="n"/>
      <c r="B177" s="47">
        <f>IF(TRIM(A177&amp;"")="","",IF(W177&lt;&gt;"",W177,IF(I177="","Awaiting",I177)))</f>
        <v/>
      </c>
      <c r="C177" s="60">
        <f>IF(OR(B177="Awaiting",B177="Not sure yet"),IF(AD177&lt;&gt;"",HYPERLINK(AD177,"💬 Remind"),"add mobile"),"")</f>
        <v/>
      </c>
      <c r="D177" s="58" t="n"/>
      <c r="E177" s="10" t="n"/>
      <c r="F177" s="10" t="n"/>
      <c r="G177" s="10" t="n"/>
      <c r="H177" s="10" t="n"/>
      <c r="I177" s="10" t="n"/>
      <c r="J177" s="10" t="n"/>
      <c r="K177" s="10" t="n"/>
      <c r="L177" s="56" t="n"/>
      <c r="M177" s="10" t="n"/>
      <c r="N177" s="12" t="n"/>
      <c r="O177" s="10" t="n"/>
      <c r="P177" s="10" t="n"/>
      <c r="Q177" s="61">
        <f>IF(V177="","",IF(T177="","Covered by "&amp;INDEX('Form Calc'!$B:$B,V177)&amp;"'s reply (same party)","Replied "&amp;TEXT(INDEX('Form Calc'!$A:$A,T177),"mm/dd")&amp;" · "&amp;INDEX('Form Calc'!$H:$H,T177)&amp;" adult(s), "&amp;INDEX('Form Calc'!$I:$I,T177)&amp;" child(ren)"&amp;IF(INDEX('Form Calc'!$K:$K,T177)&lt;&gt;""," · "&amp;INDEX('Form Calc'!$K:$K,T177),"")&amp;IF(INDEX('Form Calc'!$M:$M,T177)&lt;&gt;""," · “"&amp;INDEX('Form Calc'!$M:$M,T177)&amp;"”","")))</f>
        <v/>
      </c>
      <c r="R177" s="32">
        <f>SUBSTITUTE(SUBSTITUTE(SUBSTITUTE(SUBSTITUTE(SUBSTITUTE(SUBSTITUTE(SUBSTITUTE(SUBSTITUTE(D177&amp;""," ",""),"-",""),"(",""),")",""),".",""),"+",""),"/",""),CHAR(160),"")</f>
        <v/>
      </c>
      <c r="S177" s="32">
        <f>IF(LEN(R177)&gt;=10,RIGHT(R177,10),R177)</f>
        <v/>
      </c>
      <c r="T177" s="32">
        <f>IF(TRIM(A177&amp;"")="","",IF(S177&lt;&gt;"",IFERROR(MATCH(S177,'Form Calc'!$P:$P,0),IFERROR(MATCH(TRIM(A177&amp;""),'Form Calc'!$Q:$Q,0),"")),IFERROR(MATCH(TRIM(A177&amp;""),'Form Calc'!$Q:$Q,0),"")))</f>
        <v/>
      </c>
      <c r="U177" s="32">
        <f>IF(AND(T177&lt;&gt;"",TRIM(E177&amp;"")&lt;&gt;""),TRIM(E177&amp;""),"")</f>
        <v/>
      </c>
      <c r="V177" s="32">
        <f>IF(TRIM(A177&amp;"")="","",IF(T177&lt;&gt;"",T177,IF(TRIM(E177&amp;"")="","",IFERROR(INDEX($T$6:$T$505,MATCH(TRIM(E177&amp;""),$U$6:$U$505,0)),""))))</f>
        <v/>
      </c>
      <c r="W177" s="32">
        <f>IF(V177="","",INDEX('Form Calc'!$G:$G,V177))</f>
        <v/>
      </c>
      <c r="X177" s="32">
        <f>IF(TRIM(A177&amp;"")="","",IF(T177&lt;&gt;"",IF(INDEX('Form Calc'!$K:$K,T177)&lt;&gt;"",INDEX('Form Calc'!$K:$K,T177),J177&amp;""),J177&amp;""))</f>
        <v/>
      </c>
      <c r="Y177" s="32">
        <f>IF(TRIM(A177&amp;"")="","",IF(TRIM(D177&amp;"")&lt;&gt;"",TRIM(D177&amp;""),IF(T177&lt;&gt;"",INDEX('Form Calc'!$C:$C,T177)&amp;"","")))</f>
        <v/>
      </c>
      <c r="Z177" s="32">
        <f>SUBSTITUTE(SUBSTITUTE(SUBSTITUTE(SUBSTITUTE(SUBSTITUTE(SUBSTITUTE(SUBSTITUTE(SUBSTITUTE(Y177," ",""),"-",""),"(",""),")",""),".",""),"+",""),"/",""),CHAR(160),"")</f>
        <v/>
      </c>
      <c r="AA177" s="32">
        <f>IF(Z177="","",IF(LEN(Z177)=10,"+1"&amp;Z177,IF(AND(LEN(Z177)=11,LEFT(Z177,1)="1"),"+"&amp;Z177,IF(LEFT(Y177,1)="+","+"&amp;Z177,Z177))))</f>
        <v/>
      </c>
      <c r="AB177" s="32">
        <f>IF(TRIM(A177&amp;"")="","",IF(TRIM(M177&amp;"")&lt;&gt;"",TRIM(M177&amp;""),IFERROR(LEFT(TRIM(A177&amp;""),FIND(" ",TRIM(A177&amp;""))-1),TRIM(A177&amp;""))))</f>
        <v/>
      </c>
      <c r="AC177" s="32">
        <f>SUBSTITUTE(SUBSTITUTE(SUBSTITUTE(SUBSTITUTE(SUBSTITUTE(SUBSTITUTE(SUBSTITUTE(SUBSTITUTE(SUBSTITUTE(SUBSTITUTE(AB177,"%","%25"),"&amp;","%26"),"#","%23"),"+","%2B"),"=","%3D"),"?","%3F"),CHAR(34),"%22"),CHAR(10),"%0A"),CHAR(13),"")," ","+")</f>
        <v/>
      </c>
      <c r="AD177" s="32">
        <f>IF(OR(AA177="",AB177=""),"",'Start Here'!$B$20&amp;"#p="&amp;SUBSTITUTE(AA177,"+","%2B")&amp;"&amp;n="&amp;AC177&amp;"&amp;m="&amp;SUBSTITUTE('Start Here'!$B$24,"{name}",AC177))</f>
        <v/>
      </c>
      <c r="AE177" s="32">
        <f>LEN(AD177)</f>
        <v/>
      </c>
      <c r="AF177" s="32">
        <f>IF(AND(TRIM(A177&amp;"")&lt;&gt;"",OR(B177="Awaiting",B177="Not sure yet")),1,0)</f>
        <v/>
      </c>
      <c r="AG177" s="32">
        <f>N(AG176)+AF177</f>
        <v/>
      </c>
      <c r="AH177" s="32">
        <f>IF(AF177=1,AG177,"")</f>
        <v/>
      </c>
      <c r="AI177" s="32">
        <f>IF(AND(TRIM(A177&amp;"")&lt;&gt;"",L177&amp;""&lt;&gt;"",L177&amp;""=Seating!$I$3&amp;"",B177&lt;&gt;"Declined"),1,0)</f>
        <v/>
      </c>
      <c r="AJ177" s="32">
        <f>N(AJ176)+AI177</f>
        <v/>
      </c>
      <c r="AK177" s="32">
        <f>IF(AI177=1,AJ177,"")</f>
        <v/>
      </c>
    </row>
    <row r="178">
      <c r="A178" s="10" t="n"/>
      <c r="B178" s="47">
        <f>IF(TRIM(A178&amp;"")="","",IF(W178&lt;&gt;"",W178,IF(I178="","Awaiting",I178)))</f>
        <v/>
      </c>
      <c r="C178" s="60">
        <f>IF(OR(B178="Awaiting",B178="Not sure yet"),IF(AD178&lt;&gt;"",HYPERLINK(AD178,"💬 Remind"),"add mobile"),"")</f>
        <v/>
      </c>
      <c r="D178" s="58" t="n"/>
      <c r="E178" s="10" t="n"/>
      <c r="F178" s="10" t="n"/>
      <c r="G178" s="10" t="n"/>
      <c r="H178" s="10" t="n"/>
      <c r="I178" s="10" t="n"/>
      <c r="J178" s="10" t="n"/>
      <c r="K178" s="10" t="n"/>
      <c r="L178" s="56" t="n"/>
      <c r="M178" s="10" t="n"/>
      <c r="N178" s="12" t="n"/>
      <c r="O178" s="10" t="n"/>
      <c r="P178" s="10" t="n"/>
      <c r="Q178" s="61">
        <f>IF(V178="","",IF(T178="","Covered by "&amp;INDEX('Form Calc'!$B:$B,V178)&amp;"'s reply (same party)","Replied "&amp;TEXT(INDEX('Form Calc'!$A:$A,T178),"mm/dd")&amp;" · "&amp;INDEX('Form Calc'!$H:$H,T178)&amp;" adult(s), "&amp;INDEX('Form Calc'!$I:$I,T178)&amp;" child(ren)"&amp;IF(INDEX('Form Calc'!$K:$K,T178)&lt;&gt;""," · "&amp;INDEX('Form Calc'!$K:$K,T178),"")&amp;IF(INDEX('Form Calc'!$M:$M,T178)&lt;&gt;""," · “"&amp;INDEX('Form Calc'!$M:$M,T178)&amp;"”","")))</f>
        <v/>
      </c>
      <c r="R178" s="32">
        <f>SUBSTITUTE(SUBSTITUTE(SUBSTITUTE(SUBSTITUTE(SUBSTITUTE(SUBSTITUTE(SUBSTITUTE(SUBSTITUTE(D178&amp;""," ",""),"-",""),"(",""),")",""),".",""),"+",""),"/",""),CHAR(160),"")</f>
        <v/>
      </c>
      <c r="S178" s="32">
        <f>IF(LEN(R178)&gt;=10,RIGHT(R178,10),R178)</f>
        <v/>
      </c>
      <c r="T178" s="32">
        <f>IF(TRIM(A178&amp;"")="","",IF(S178&lt;&gt;"",IFERROR(MATCH(S178,'Form Calc'!$P:$P,0),IFERROR(MATCH(TRIM(A178&amp;""),'Form Calc'!$Q:$Q,0),"")),IFERROR(MATCH(TRIM(A178&amp;""),'Form Calc'!$Q:$Q,0),"")))</f>
        <v/>
      </c>
      <c r="U178" s="32">
        <f>IF(AND(T178&lt;&gt;"",TRIM(E178&amp;"")&lt;&gt;""),TRIM(E178&amp;""),"")</f>
        <v/>
      </c>
      <c r="V178" s="32">
        <f>IF(TRIM(A178&amp;"")="","",IF(T178&lt;&gt;"",T178,IF(TRIM(E178&amp;"")="","",IFERROR(INDEX($T$6:$T$505,MATCH(TRIM(E178&amp;""),$U$6:$U$505,0)),""))))</f>
        <v/>
      </c>
      <c r="W178" s="32">
        <f>IF(V178="","",INDEX('Form Calc'!$G:$G,V178))</f>
        <v/>
      </c>
      <c r="X178" s="32">
        <f>IF(TRIM(A178&amp;"")="","",IF(T178&lt;&gt;"",IF(INDEX('Form Calc'!$K:$K,T178)&lt;&gt;"",INDEX('Form Calc'!$K:$K,T178),J178&amp;""),J178&amp;""))</f>
        <v/>
      </c>
      <c r="Y178" s="32">
        <f>IF(TRIM(A178&amp;"")="","",IF(TRIM(D178&amp;"")&lt;&gt;"",TRIM(D178&amp;""),IF(T178&lt;&gt;"",INDEX('Form Calc'!$C:$C,T178)&amp;"","")))</f>
        <v/>
      </c>
      <c r="Z178" s="32">
        <f>SUBSTITUTE(SUBSTITUTE(SUBSTITUTE(SUBSTITUTE(SUBSTITUTE(SUBSTITUTE(SUBSTITUTE(SUBSTITUTE(Y178," ",""),"-",""),"(",""),")",""),".",""),"+",""),"/",""),CHAR(160),"")</f>
        <v/>
      </c>
      <c r="AA178" s="32">
        <f>IF(Z178="","",IF(LEN(Z178)=10,"+1"&amp;Z178,IF(AND(LEN(Z178)=11,LEFT(Z178,1)="1"),"+"&amp;Z178,IF(LEFT(Y178,1)="+","+"&amp;Z178,Z178))))</f>
        <v/>
      </c>
      <c r="AB178" s="32">
        <f>IF(TRIM(A178&amp;"")="","",IF(TRIM(M178&amp;"")&lt;&gt;"",TRIM(M178&amp;""),IFERROR(LEFT(TRIM(A178&amp;""),FIND(" ",TRIM(A178&amp;""))-1),TRIM(A178&amp;""))))</f>
        <v/>
      </c>
      <c r="AC178" s="32">
        <f>SUBSTITUTE(SUBSTITUTE(SUBSTITUTE(SUBSTITUTE(SUBSTITUTE(SUBSTITUTE(SUBSTITUTE(SUBSTITUTE(SUBSTITUTE(SUBSTITUTE(AB178,"%","%25"),"&amp;","%26"),"#","%23"),"+","%2B"),"=","%3D"),"?","%3F"),CHAR(34),"%22"),CHAR(10),"%0A"),CHAR(13),"")," ","+")</f>
        <v/>
      </c>
      <c r="AD178" s="32">
        <f>IF(OR(AA178="",AB178=""),"",'Start Here'!$B$20&amp;"#p="&amp;SUBSTITUTE(AA178,"+","%2B")&amp;"&amp;n="&amp;AC178&amp;"&amp;m="&amp;SUBSTITUTE('Start Here'!$B$24,"{name}",AC178))</f>
        <v/>
      </c>
      <c r="AE178" s="32">
        <f>LEN(AD178)</f>
        <v/>
      </c>
      <c r="AF178" s="32">
        <f>IF(AND(TRIM(A178&amp;"")&lt;&gt;"",OR(B178="Awaiting",B178="Not sure yet")),1,0)</f>
        <v/>
      </c>
      <c r="AG178" s="32">
        <f>N(AG177)+AF178</f>
        <v/>
      </c>
      <c r="AH178" s="32">
        <f>IF(AF178=1,AG178,"")</f>
        <v/>
      </c>
      <c r="AI178" s="32">
        <f>IF(AND(TRIM(A178&amp;"")&lt;&gt;"",L178&amp;""&lt;&gt;"",L178&amp;""=Seating!$I$3&amp;"",B178&lt;&gt;"Declined"),1,0)</f>
        <v/>
      </c>
      <c r="AJ178" s="32">
        <f>N(AJ177)+AI178</f>
        <v/>
      </c>
      <c r="AK178" s="32">
        <f>IF(AI178=1,AJ178,"")</f>
        <v/>
      </c>
    </row>
    <row r="179">
      <c r="A179" s="10" t="n"/>
      <c r="B179" s="47">
        <f>IF(TRIM(A179&amp;"")="","",IF(W179&lt;&gt;"",W179,IF(I179="","Awaiting",I179)))</f>
        <v/>
      </c>
      <c r="C179" s="60">
        <f>IF(OR(B179="Awaiting",B179="Not sure yet"),IF(AD179&lt;&gt;"",HYPERLINK(AD179,"💬 Remind"),"add mobile"),"")</f>
        <v/>
      </c>
      <c r="D179" s="58" t="n"/>
      <c r="E179" s="10" t="n"/>
      <c r="F179" s="10" t="n"/>
      <c r="G179" s="10" t="n"/>
      <c r="H179" s="10" t="n"/>
      <c r="I179" s="10" t="n"/>
      <c r="J179" s="10" t="n"/>
      <c r="K179" s="10" t="n"/>
      <c r="L179" s="56" t="n"/>
      <c r="M179" s="10" t="n"/>
      <c r="N179" s="12" t="n"/>
      <c r="O179" s="10" t="n"/>
      <c r="P179" s="10" t="n"/>
      <c r="Q179" s="61">
        <f>IF(V179="","",IF(T179="","Covered by "&amp;INDEX('Form Calc'!$B:$B,V179)&amp;"'s reply (same party)","Replied "&amp;TEXT(INDEX('Form Calc'!$A:$A,T179),"mm/dd")&amp;" · "&amp;INDEX('Form Calc'!$H:$H,T179)&amp;" adult(s), "&amp;INDEX('Form Calc'!$I:$I,T179)&amp;" child(ren)"&amp;IF(INDEX('Form Calc'!$K:$K,T179)&lt;&gt;""," · "&amp;INDEX('Form Calc'!$K:$K,T179),"")&amp;IF(INDEX('Form Calc'!$M:$M,T179)&lt;&gt;""," · “"&amp;INDEX('Form Calc'!$M:$M,T179)&amp;"”","")))</f>
        <v/>
      </c>
      <c r="R179" s="32">
        <f>SUBSTITUTE(SUBSTITUTE(SUBSTITUTE(SUBSTITUTE(SUBSTITUTE(SUBSTITUTE(SUBSTITUTE(SUBSTITUTE(D179&amp;""," ",""),"-",""),"(",""),")",""),".",""),"+",""),"/",""),CHAR(160),"")</f>
        <v/>
      </c>
      <c r="S179" s="32">
        <f>IF(LEN(R179)&gt;=10,RIGHT(R179,10),R179)</f>
        <v/>
      </c>
      <c r="T179" s="32">
        <f>IF(TRIM(A179&amp;"")="","",IF(S179&lt;&gt;"",IFERROR(MATCH(S179,'Form Calc'!$P:$P,0),IFERROR(MATCH(TRIM(A179&amp;""),'Form Calc'!$Q:$Q,0),"")),IFERROR(MATCH(TRIM(A179&amp;""),'Form Calc'!$Q:$Q,0),"")))</f>
        <v/>
      </c>
      <c r="U179" s="32">
        <f>IF(AND(T179&lt;&gt;"",TRIM(E179&amp;"")&lt;&gt;""),TRIM(E179&amp;""),"")</f>
        <v/>
      </c>
      <c r="V179" s="32">
        <f>IF(TRIM(A179&amp;"")="","",IF(T179&lt;&gt;"",T179,IF(TRIM(E179&amp;"")="","",IFERROR(INDEX($T$6:$T$505,MATCH(TRIM(E179&amp;""),$U$6:$U$505,0)),""))))</f>
        <v/>
      </c>
      <c r="W179" s="32">
        <f>IF(V179="","",INDEX('Form Calc'!$G:$G,V179))</f>
        <v/>
      </c>
      <c r="X179" s="32">
        <f>IF(TRIM(A179&amp;"")="","",IF(T179&lt;&gt;"",IF(INDEX('Form Calc'!$K:$K,T179)&lt;&gt;"",INDEX('Form Calc'!$K:$K,T179),J179&amp;""),J179&amp;""))</f>
        <v/>
      </c>
      <c r="Y179" s="32">
        <f>IF(TRIM(A179&amp;"")="","",IF(TRIM(D179&amp;"")&lt;&gt;"",TRIM(D179&amp;""),IF(T179&lt;&gt;"",INDEX('Form Calc'!$C:$C,T179)&amp;"","")))</f>
        <v/>
      </c>
      <c r="Z179" s="32">
        <f>SUBSTITUTE(SUBSTITUTE(SUBSTITUTE(SUBSTITUTE(SUBSTITUTE(SUBSTITUTE(SUBSTITUTE(SUBSTITUTE(Y179," ",""),"-",""),"(",""),")",""),".",""),"+",""),"/",""),CHAR(160),"")</f>
        <v/>
      </c>
      <c r="AA179" s="32">
        <f>IF(Z179="","",IF(LEN(Z179)=10,"+1"&amp;Z179,IF(AND(LEN(Z179)=11,LEFT(Z179,1)="1"),"+"&amp;Z179,IF(LEFT(Y179,1)="+","+"&amp;Z179,Z179))))</f>
        <v/>
      </c>
      <c r="AB179" s="32">
        <f>IF(TRIM(A179&amp;"")="","",IF(TRIM(M179&amp;"")&lt;&gt;"",TRIM(M179&amp;""),IFERROR(LEFT(TRIM(A179&amp;""),FIND(" ",TRIM(A179&amp;""))-1),TRIM(A179&amp;""))))</f>
        <v/>
      </c>
      <c r="AC179" s="32">
        <f>SUBSTITUTE(SUBSTITUTE(SUBSTITUTE(SUBSTITUTE(SUBSTITUTE(SUBSTITUTE(SUBSTITUTE(SUBSTITUTE(SUBSTITUTE(SUBSTITUTE(AB179,"%","%25"),"&amp;","%26"),"#","%23"),"+","%2B"),"=","%3D"),"?","%3F"),CHAR(34),"%22"),CHAR(10),"%0A"),CHAR(13),"")," ","+")</f>
        <v/>
      </c>
      <c r="AD179" s="32">
        <f>IF(OR(AA179="",AB179=""),"",'Start Here'!$B$20&amp;"#p="&amp;SUBSTITUTE(AA179,"+","%2B")&amp;"&amp;n="&amp;AC179&amp;"&amp;m="&amp;SUBSTITUTE('Start Here'!$B$24,"{name}",AC179))</f>
        <v/>
      </c>
      <c r="AE179" s="32">
        <f>LEN(AD179)</f>
        <v/>
      </c>
      <c r="AF179" s="32">
        <f>IF(AND(TRIM(A179&amp;"")&lt;&gt;"",OR(B179="Awaiting",B179="Not sure yet")),1,0)</f>
        <v/>
      </c>
      <c r="AG179" s="32">
        <f>N(AG178)+AF179</f>
        <v/>
      </c>
      <c r="AH179" s="32">
        <f>IF(AF179=1,AG179,"")</f>
        <v/>
      </c>
      <c r="AI179" s="32">
        <f>IF(AND(TRIM(A179&amp;"")&lt;&gt;"",L179&amp;""&lt;&gt;"",L179&amp;""=Seating!$I$3&amp;"",B179&lt;&gt;"Declined"),1,0)</f>
        <v/>
      </c>
      <c r="AJ179" s="32">
        <f>N(AJ178)+AI179</f>
        <v/>
      </c>
      <c r="AK179" s="32">
        <f>IF(AI179=1,AJ179,"")</f>
        <v/>
      </c>
    </row>
    <row r="180">
      <c r="A180" s="10" t="n"/>
      <c r="B180" s="47">
        <f>IF(TRIM(A180&amp;"")="","",IF(W180&lt;&gt;"",W180,IF(I180="","Awaiting",I180)))</f>
        <v/>
      </c>
      <c r="C180" s="60">
        <f>IF(OR(B180="Awaiting",B180="Not sure yet"),IF(AD180&lt;&gt;"",HYPERLINK(AD180,"💬 Remind"),"add mobile"),"")</f>
        <v/>
      </c>
      <c r="D180" s="58" t="n"/>
      <c r="E180" s="10" t="n"/>
      <c r="F180" s="10" t="n"/>
      <c r="G180" s="10" t="n"/>
      <c r="H180" s="10" t="n"/>
      <c r="I180" s="10" t="n"/>
      <c r="J180" s="10" t="n"/>
      <c r="K180" s="10" t="n"/>
      <c r="L180" s="56" t="n"/>
      <c r="M180" s="10" t="n"/>
      <c r="N180" s="12" t="n"/>
      <c r="O180" s="10" t="n"/>
      <c r="P180" s="10" t="n"/>
      <c r="Q180" s="61">
        <f>IF(V180="","",IF(T180="","Covered by "&amp;INDEX('Form Calc'!$B:$B,V180)&amp;"'s reply (same party)","Replied "&amp;TEXT(INDEX('Form Calc'!$A:$A,T180),"mm/dd")&amp;" · "&amp;INDEX('Form Calc'!$H:$H,T180)&amp;" adult(s), "&amp;INDEX('Form Calc'!$I:$I,T180)&amp;" child(ren)"&amp;IF(INDEX('Form Calc'!$K:$K,T180)&lt;&gt;""," · "&amp;INDEX('Form Calc'!$K:$K,T180),"")&amp;IF(INDEX('Form Calc'!$M:$M,T180)&lt;&gt;""," · “"&amp;INDEX('Form Calc'!$M:$M,T180)&amp;"”","")))</f>
        <v/>
      </c>
      <c r="R180" s="32">
        <f>SUBSTITUTE(SUBSTITUTE(SUBSTITUTE(SUBSTITUTE(SUBSTITUTE(SUBSTITUTE(SUBSTITUTE(SUBSTITUTE(D180&amp;""," ",""),"-",""),"(",""),")",""),".",""),"+",""),"/",""),CHAR(160),"")</f>
        <v/>
      </c>
      <c r="S180" s="32">
        <f>IF(LEN(R180)&gt;=10,RIGHT(R180,10),R180)</f>
        <v/>
      </c>
      <c r="T180" s="32">
        <f>IF(TRIM(A180&amp;"")="","",IF(S180&lt;&gt;"",IFERROR(MATCH(S180,'Form Calc'!$P:$P,0),IFERROR(MATCH(TRIM(A180&amp;""),'Form Calc'!$Q:$Q,0),"")),IFERROR(MATCH(TRIM(A180&amp;""),'Form Calc'!$Q:$Q,0),"")))</f>
        <v/>
      </c>
      <c r="U180" s="32">
        <f>IF(AND(T180&lt;&gt;"",TRIM(E180&amp;"")&lt;&gt;""),TRIM(E180&amp;""),"")</f>
        <v/>
      </c>
      <c r="V180" s="32">
        <f>IF(TRIM(A180&amp;"")="","",IF(T180&lt;&gt;"",T180,IF(TRIM(E180&amp;"")="","",IFERROR(INDEX($T$6:$T$505,MATCH(TRIM(E180&amp;""),$U$6:$U$505,0)),""))))</f>
        <v/>
      </c>
      <c r="W180" s="32">
        <f>IF(V180="","",INDEX('Form Calc'!$G:$G,V180))</f>
        <v/>
      </c>
      <c r="X180" s="32">
        <f>IF(TRIM(A180&amp;"")="","",IF(T180&lt;&gt;"",IF(INDEX('Form Calc'!$K:$K,T180)&lt;&gt;"",INDEX('Form Calc'!$K:$K,T180),J180&amp;""),J180&amp;""))</f>
        <v/>
      </c>
      <c r="Y180" s="32">
        <f>IF(TRIM(A180&amp;"")="","",IF(TRIM(D180&amp;"")&lt;&gt;"",TRIM(D180&amp;""),IF(T180&lt;&gt;"",INDEX('Form Calc'!$C:$C,T180)&amp;"","")))</f>
        <v/>
      </c>
      <c r="Z180" s="32">
        <f>SUBSTITUTE(SUBSTITUTE(SUBSTITUTE(SUBSTITUTE(SUBSTITUTE(SUBSTITUTE(SUBSTITUTE(SUBSTITUTE(Y180," ",""),"-",""),"(",""),")",""),".",""),"+",""),"/",""),CHAR(160),"")</f>
        <v/>
      </c>
      <c r="AA180" s="32">
        <f>IF(Z180="","",IF(LEN(Z180)=10,"+1"&amp;Z180,IF(AND(LEN(Z180)=11,LEFT(Z180,1)="1"),"+"&amp;Z180,IF(LEFT(Y180,1)="+","+"&amp;Z180,Z180))))</f>
        <v/>
      </c>
      <c r="AB180" s="32">
        <f>IF(TRIM(A180&amp;"")="","",IF(TRIM(M180&amp;"")&lt;&gt;"",TRIM(M180&amp;""),IFERROR(LEFT(TRIM(A180&amp;""),FIND(" ",TRIM(A180&amp;""))-1),TRIM(A180&amp;""))))</f>
        <v/>
      </c>
      <c r="AC180" s="32">
        <f>SUBSTITUTE(SUBSTITUTE(SUBSTITUTE(SUBSTITUTE(SUBSTITUTE(SUBSTITUTE(SUBSTITUTE(SUBSTITUTE(SUBSTITUTE(SUBSTITUTE(AB180,"%","%25"),"&amp;","%26"),"#","%23"),"+","%2B"),"=","%3D"),"?","%3F"),CHAR(34),"%22"),CHAR(10),"%0A"),CHAR(13),"")," ","+")</f>
        <v/>
      </c>
      <c r="AD180" s="32">
        <f>IF(OR(AA180="",AB180=""),"",'Start Here'!$B$20&amp;"#p="&amp;SUBSTITUTE(AA180,"+","%2B")&amp;"&amp;n="&amp;AC180&amp;"&amp;m="&amp;SUBSTITUTE('Start Here'!$B$24,"{name}",AC180))</f>
        <v/>
      </c>
      <c r="AE180" s="32">
        <f>LEN(AD180)</f>
        <v/>
      </c>
      <c r="AF180" s="32">
        <f>IF(AND(TRIM(A180&amp;"")&lt;&gt;"",OR(B180="Awaiting",B180="Not sure yet")),1,0)</f>
        <v/>
      </c>
      <c r="AG180" s="32">
        <f>N(AG179)+AF180</f>
        <v/>
      </c>
      <c r="AH180" s="32">
        <f>IF(AF180=1,AG180,"")</f>
        <v/>
      </c>
      <c r="AI180" s="32">
        <f>IF(AND(TRIM(A180&amp;"")&lt;&gt;"",L180&amp;""&lt;&gt;"",L180&amp;""=Seating!$I$3&amp;"",B180&lt;&gt;"Declined"),1,0)</f>
        <v/>
      </c>
      <c r="AJ180" s="32">
        <f>N(AJ179)+AI180</f>
        <v/>
      </c>
      <c r="AK180" s="32">
        <f>IF(AI180=1,AJ180,"")</f>
        <v/>
      </c>
    </row>
    <row r="181">
      <c r="A181" s="10" t="n"/>
      <c r="B181" s="47">
        <f>IF(TRIM(A181&amp;"")="","",IF(W181&lt;&gt;"",W181,IF(I181="","Awaiting",I181)))</f>
        <v/>
      </c>
      <c r="C181" s="60">
        <f>IF(OR(B181="Awaiting",B181="Not sure yet"),IF(AD181&lt;&gt;"",HYPERLINK(AD181,"💬 Remind"),"add mobile"),"")</f>
        <v/>
      </c>
      <c r="D181" s="58" t="n"/>
      <c r="E181" s="10" t="n"/>
      <c r="F181" s="10" t="n"/>
      <c r="G181" s="10" t="n"/>
      <c r="H181" s="10" t="n"/>
      <c r="I181" s="10" t="n"/>
      <c r="J181" s="10" t="n"/>
      <c r="K181" s="10" t="n"/>
      <c r="L181" s="56" t="n"/>
      <c r="M181" s="10" t="n"/>
      <c r="N181" s="12" t="n"/>
      <c r="O181" s="10" t="n"/>
      <c r="P181" s="10" t="n"/>
      <c r="Q181" s="61">
        <f>IF(V181="","",IF(T181="","Covered by "&amp;INDEX('Form Calc'!$B:$B,V181)&amp;"'s reply (same party)","Replied "&amp;TEXT(INDEX('Form Calc'!$A:$A,T181),"mm/dd")&amp;" · "&amp;INDEX('Form Calc'!$H:$H,T181)&amp;" adult(s), "&amp;INDEX('Form Calc'!$I:$I,T181)&amp;" child(ren)"&amp;IF(INDEX('Form Calc'!$K:$K,T181)&lt;&gt;""," · "&amp;INDEX('Form Calc'!$K:$K,T181),"")&amp;IF(INDEX('Form Calc'!$M:$M,T181)&lt;&gt;""," · “"&amp;INDEX('Form Calc'!$M:$M,T181)&amp;"”","")))</f>
        <v/>
      </c>
      <c r="R181" s="32">
        <f>SUBSTITUTE(SUBSTITUTE(SUBSTITUTE(SUBSTITUTE(SUBSTITUTE(SUBSTITUTE(SUBSTITUTE(SUBSTITUTE(D181&amp;""," ",""),"-",""),"(",""),")",""),".",""),"+",""),"/",""),CHAR(160),"")</f>
        <v/>
      </c>
      <c r="S181" s="32">
        <f>IF(LEN(R181)&gt;=10,RIGHT(R181,10),R181)</f>
        <v/>
      </c>
      <c r="T181" s="32">
        <f>IF(TRIM(A181&amp;"")="","",IF(S181&lt;&gt;"",IFERROR(MATCH(S181,'Form Calc'!$P:$P,0),IFERROR(MATCH(TRIM(A181&amp;""),'Form Calc'!$Q:$Q,0),"")),IFERROR(MATCH(TRIM(A181&amp;""),'Form Calc'!$Q:$Q,0),"")))</f>
        <v/>
      </c>
      <c r="U181" s="32">
        <f>IF(AND(T181&lt;&gt;"",TRIM(E181&amp;"")&lt;&gt;""),TRIM(E181&amp;""),"")</f>
        <v/>
      </c>
      <c r="V181" s="32">
        <f>IF(TRIM(A181&amp;"")="","",IF(T181&lt;&gt;"",T181,IF(TRIM(E181&amp;"")="","",IFERROR(INDEX($T$6:$T$505,MATCH(TRIM(E181&amp;""),$U$6:$U$505,0)),""))))</f>
        <v/>
      </c>
      <c r="W181" s="32">
        <f>IF(V181="","",INDEX('Form Calc'!$G:$G,V181))</f>
        <v/>
      </c>
      <c r="X181" s="32">
        <f>IF(TRIM(A181&amp;"")="","",IF(T181&lt;&gt;"",IF(INDEX('Form Calc'!$K:$K,T181)&lt;&gt;"",INDEX('Form Calc'!$K:$K,T181),J181&amp;""),J181&amp;""))</f>
        <v/>
      </c>
      <c r="Y181" s="32">
        <f>IF(TRIM(A181&amp;"")="","",IF(TRIM(D181&amp;"")&lt;&gt;"",TRIM(D181&amp;""),IF(T181&lt;&gt;"",INDEX('Form Calc'!$C:$C,T181)&amp;"","")))</f>
        <v/>
      </c>
      <c r="Z181" s="32">
        <f>SUBSTITUTE(SUBSTITUTE(SUBSTITUTE(SUBSTITUTE(SUBSTITUTE(SUBSTITUTE(SUBSTITUTE(SUBSTITUTE(Y181," ",""),"-",""),"(",""),")",""),".",""),"+",""),"/",""),CHAR(160),"")</f>
        <v/>
      </c>
      <c r="AA181" s="32">
        <f>IF(Z181="","",IF(LEN(Z181)=10,"+1"&amp;Z181,IF(AND(LEN(Z181)=11,LEFT(Z181,1)="1"),"+"&amp;Z181,IF(LEFT(Y181,1)="+","+"&amp;Z181,Z181))))</f>
        <v/>
      </c>
      <c r="AB181" s="32">
        <f>IF(TRIM(A181&amp;"")="","",IF(TRIM(M181&amp;"")&lt;&gt;"",TRIM(M181&amp;""),IFERROR(LEFT(TRIM(A181&amp;""),FIND(" ",TRIM(A181&amp;""))-1),TRIM(A181&amp;""))))</f>
        <v/>
      </c>
      <c r="AC181" s="32">
        <f>SUBSTITUTE(SUBSTITUTE(SUBSTITUTE(SUBSTITUTE(SUBSTITUTE(SUBSTITUTE(SUBSTITUTE(SUBSTITUTE(SUBSTITUTE(SUBSTITUTE(AB181,"%","%25"),"&amp;","%26"),"#","%23"),"+","%2B"),"=","%3D"),"?","%3F"),CHAR(34),"%22"),CHAR(10),"%0A"),CHAR(13),"")," ","+")</f>
        <v/>
      </c>
      <c r="AD181" s="32">
        <f>IF(OR(AA181="",AB181=""),"",'Start Here'!$B$20&amp;"#p="&amp;SUBSTITUTE(AA181,"+","%2B")&amp;"&amp;n="&amp;AC181&amp;"&amp;m="&amp;SUBSTITUTE('Start Here'!$B$24,"{name}",AC181))</f>
        <v/>
      </c>
      <c r="AE181" s="32">
        <f>LEN(AD181)</f>
        <v/>
      </c>
      <c r="AF181" s="32">
        <f>IF(AND(TRIM(A181&amp;"")&lt;&gt;"",OR(B181="Awaiting",B181="Not sure yet")),1,0)</f>
        <v/>
      </c>
      <c r="AG181" s="32">
        <f>N(AG180)+AF181</f>
        <v/>
      </c>
      <c r="AH181" s="32">
        <f>IF(AF181=1,AG181,"")</f>
        <v/>
      </c>
      <c r="AI181" s="32">
        <f>IF(AND(TRIM(A181&amp;"")&lt;&gt;"",L181&amp;""&lt;&gt;"",L181&amp;""=Seating!$I$3&amp;"",B181&lt;&gt;"Declined"),1,0)</f>
        <v/>
      </c>
      <c r="AJ181" s="32">
        <f>N(AJ180)+AI181</f>
        <v/>
      </c>
      <c r="AK181" s="32">
        <f>IF(AI181=1,AJ181,"")</f>
        <v/>
      </c>
    </row>
    <row r="182">
      <c r="A182" s="10" t="n"/>
      <c r="B182" s="47">
        <f>IF(TRIM(A182&amp;"")="","",IF(W182&lt;&gt;"",W182,IF(I182="","Awaiting",I182)))</f>
        <v/>
      </c>
      <c r="C182" s="60">
        <f>IF(OR(B182="Awaiting",B182="Not sure yet"),IF(AD182&lt;&gt;"",HYPERLINK(AD182,"💬 Remind"),"add mobile"),"")</f>
        <v/>
      </c>
      <c r="D182" s="58" t="n"/>
      <c r="E182" s="10" t="n"/>
      <c r="F182" s="10" t="n"/>
      <c r="G182" s="10" t="n"/>
      <c r="H182" s="10" t="n"/>
      <c r="I182" s="10" t="n"/>
      <c r="J182" s="10" t="n"/>
      <c r="K182" s="10" t="n"/>
      <c r="L182" s="56" t="n"/>
      <c r="M182" s="10" t="n"/>
      <c r="N182" s="12" t="n"/>
      <c r="O182" s="10" t="n"/>
      <c r="P182" s="10" t="n"/>
      <c r="Q182" s="61">
        <f>IF(V182="","",IF(T182="","Covered by "&amp;INDEX('Form Calc'!$B:$B,V182)&amp;"'s reply (same party)","Replied "&amp;TEXT(INDEX('Form Calc'!$A:$A,T182),"mm/dd")&amp;" · "&amp;INDEX('Form Calc'!$H:$H,T182)&amp;" adult(s), "&amp;INDEX('Form Calc'!$I:$I,T182)&amp;" child(ren)"&amp;IF(INDEX('Form Calc'!$K:$K,T182)&lt;&gt;""," · "&amp;INDEX('Form Calc'!$K:$K,T182),"")&amp;IF(INDEX('Form Calc'!$M:$M,T182)&lt;&gt;""," · “"&amp;INDEX('Form Calc'!$M:$M,T182)&amp;"”","")))</f>
        <v/>
      </c>
      <c r="R182" s="32">
        <f>SUBSTITUTE(SUBSTITUTE(SUBSTITUTE(SUBSTITUTE(SUBSTITUTE(SUBSTITUTE(SUBSTITUTE(SUBSTITUTE(D182&amp;""," ",""),"-",""),"(",""),")",""),".",""),"+",""),"/",""),CHAR(160),"")</f>
        <v/>
      </c>
      <c r="S182" s="32">
        <f>IF(LEN(R182)&gt;=10,RIGHT(R182,10),R182)</f>
        <v/>
      </c>
      <c r="T182" s="32">
        <f>IF(TRIM(A182&amp;"")="","",IF(S182&lt;&gt;"",IFERROR(MATCH(S182,'Form Calc'!$P:$P,0),IFERROR(MATCH(TRIM(A182&amp;""),'Form Calc'!$Q:$Q,0),"")),IFERROR(MATCH(TRIM(A182&amp;""),'Form Calc'!$Q:$Q,0),"")))</f>
        <v/>
      </c>
      <c r="U182" s="32">
        <f>IF(AND(T182&lt;&gt;"",TRIM(E182&amp;"")&lt;&gt;""),TRIM(E182&amp;""),"")</f>
        <v/>
      </c>
      <c r="V182" s="32">
        <f>IF(TRIM(A182&amp;"")="","",IF(T182&lt;&gt;"",T182,IF(TRIM(E182&amp;"")="","",IFERROR(INDEX($T$6:$T$505,MATCH(TRIM(E182&amp;""),$U$6:$U$505,0)),""))))</f>
        <v/>
      </c>
      <c r="W182" s="32">
        <f>IF(V182="","",INDEX('Form Calc'!$G:$G,V182))</f>
        <v/>
      </c>
      <c r="X182" s="32">
        <f>IF(TRIM(A182&amp;"")="","",IF(T182&lt;&gt;"",IF(INDEX('Form Calc'!$K:$K,T182)&lt;&gt;"",INDEX('Form Calc'!$K:$K,T182),J182&amp;""),J182&amp;""))</f>
        <v/>
      </c>
      <c r="Y182" s="32">
        <f>IF(TRIM(A182&amp;"")="","",IF(TRIM(D182&amp;"")&lt;&gt;"",TRIM(D182&amp;""),IF(T182&lt;&gt;"",INDEX('Form Calc'!$C:$C,T182)&amp;"","")))</f>
        <v/>
      </c>
      <c r="Z182" s="32">
        <f>SUBSTITUTE(SUBSTITUTE(SUBSTITUTE(SUBSTITUTE(SUBSTITUTE(SUBSTITUTE(SUBSTITUTE(SUBSTITUTE(Y182," ",""),"-",""),"(",""),")",""),".",""),"+",""),"/",""),CHAR(160),"")</f>
        <v/>
      </c>
      <c r="AA182" s="32">
        <f>IF(Z182="","",IF(LEN(Z182)=10,"+1"&amp;Z182,IF(AND(LEN(Z182)=11,LEFT(Z182,1)="1"),"+"&amp;Z182,IF(LEFT(Y182,1)="+","+"&amp;Z182,Z182))))</f>
        <v/>
      </c>
      <c r="AB182" s="32">
        <f>IF(TRIM(A182&amp;"")="","",IF(TRIM(M182&amp;"")&lt;&gt;"",TRIM(M182&amp;""),IFERROR(LEFT(TRIM(A182&amp;""),FIND(" ",TRIM(A182&amp;""))-1),TRIM(A182&amp;""))))</f>
        <v/>
      </c>
      <c r="AC182" s="32">
        <f>SUBSTITUTE(SUBSTITUTE(SUBSTITUTE(SUBSTITUTE(SUBSTITUTE(SUBSTITUTE(SUBSTITUTE(SUBSTITUTE(SUBSTITUTE(SUBSTITUTE(AB182,"%","%25"),"&amp;","%26"),"#","%23"),"+","%2B"),"=","%3D"),"?","%3F"),CHAR(34),"%22"),CHAR(10),"%0A"),CHAR(13),"")," ","+")</f>
        <v/>
      </c>
      <c r="AD182" s="32">
        <f>IF(OR(AA182="",AB182=""),"",'Start Here'!$B$20&amp;"#p="&amp;SUBSTITUTE(AA182,"+","%2B")&amp;"&amp;n="&amp;AC182&amp;"&amp;m="&amp;SUBSTITUTE('Start Here'!$B$24,"{name}",AC182))</f>
        <v/>
      </c>
      <c r="AE182" s="32">
        <f>LEN(AD182)</f>
        <v/>
      </c>
      <c r="AF182" s="32">
        <f>IF(AND(TRIM(A182&amp;"")&lt;&gt;"",OR(B182="Awaiting",B182="Not sure yet")),1,0)</f>
        <v/>
      </c>
      <c r="AG182" s="32">
        <f>N(AG181)+AF182</f>
        <v/>
      </c>
      <c r="AH182" s="32">
        <f>IF(AF182=1,AG182,"")</f>
        <v/>
      </c>
      <c r="AI182" s="32">
        <f>IF(AND(TRIM(A182&amp;"")&lt;&gt;"",L182&amp;""&lt;&gt;"",L182&amp;""=Seating!$I$3&amp;"",B182&lt;&gt;"Declined"),1,0)</f>
        <v/>
      </c>
      <c r="AJ182" s="32">
        <f>N(AJ181)+AI182</f>
        <v/>
      </c>
      <c r="AK182" s="32">
        <f>IF(AI182=1,AJ182,"")</f>
        <v/>
      </c>
    </row>
    <row r="183">
      <c r="A183" s="10" t="n"/>
      <c r="B183" s="47">
        <f>IF(TRIM(A183&amp;"")="","",IF(W183&lt;&gt;"",W183,IF(I183="","Awaiting",I183)))</f>
        <v/>
      </c>
      <c r="C183" s="60">
        <f>IF(OR(B183="Awaiting",B183="Not sure yet"),IF(AD183&lt;&gt;"",HYPERLINK(AD183,"💬 Remind"),"add mobile"),"")</f>
        <v/>
      </c>
      <c r="D183" s="58" t="n"/>
      <c r="E183" s="10" t="n"/>
      <c r="F183" s="10" t="n"/>
      <c r="G183" s="10" t="n"/>
      <c r="H183" s="10" t="n"/>
      <c r="I183" s="10" t="n"/>
      <c r="J183" s="10" t="n"/>
      <c r="K183" s="10" t="n"/>
      <c r="L183" s="56" t="n"/>
      <c r="M183" s="10" t="n"/>
      <c r="N183" s="12" t="n"/>
      <c r="O183" s="10" t="n"/>
      <c r="P183" s="10" t="n"/>
      <c r="Q183" s="61">
        <f>IF(V183="","",IF(T183="","Covered by "&amp;INDEX('Form Calc'!$B:$B,V183)&amp;"'s reply (same party)","Replied "&amp;TEXT(INDEX('Form Calc'!$A:$A,T183),"mm/dd")&amp;" · "&amp;INDEX('Form Calc'!$H:$H,T183)&amp;" adult(s), "&amp;INDEX('Form Calc'!$I:$I,T183)&amp;" child(ren)"&amp;IF(INDEX('Form Calc'!$K:$K,T183)&lt;&gt;""," · "&amp;INDEX('Form Calc'!$K:$K,T183),"")&amp;IF(INDEX('Form Calc'!$M:$M,T183)&lt;&gt;""," · “"&amp;INDEX('Form Calc'!$M:$M,T183)&amp;"”","")))</f>
        <v/>
      </c>
      <c r="R183" s="32">
        <f>SUBSTITUTE(SUBSTITUTE(SUBSTITUTE(SUBSTITUTE(SUBSTITUTE(SUBSTITUTE(SUBSTITUTE(SUBSTITUTE(D183&amp;""," ",""),"-",""),"(",""),")",""),".",""),"+",""),"/",""),CHAR(160),"")</f>
        <v/>
      </c>
      <c r="S183" s="32">
        <f>IF(LEN(R183)&gt;=10,RIGHT(R183,10),R183)</f>
        <v/>
      </c>
      <c r="T183" s="32">
        <f>IF(TRIM(A183&amp;"")="","",IF(S183&lt;&gt;"",IFERROR(MATCH(S183,'Form Calc'!$P:$P,0),IFERROR(MATCH(TRIM(A183&amp;""),'Form Calc'!$Q:$Q,0),"")),IFERROR(MATCH(TRIM(A183&amp;""),'Form Calc'!$Q:$Q,0),"")))</f>
        <v/>
      </c>
      <c r="U183" s="32">
        <f>IF(AND(T183&lt;&gt;"",TRIM(E183&amp;"")&lt;&gt;""),TRIM(E183&amp;""),"")</f>
        <v/>
      </c>
      <c r="V183" s="32">
        <f>IF(TRIM(A183&amp;"")="","",IF(T183&lt;&gt;"",T183,IF(TRIM(E183&amp;"")="","",IFERROR(INDEX($T$6:$T$505,MATCH(TRIM(E183&amp;""),$U$6:$U$505,0)),""))))</f>
        <v/>
      </c>
      <c r="W183" s="32">
        <f>IF(V183="","",INDEX('Form Calc'!$G:$G,V183))</f>
        <v/>
      </c>
      <c r="X183" s="32">
        <f>IF(TRIM(A183&amp;"")="","",IF(T183&lt;&gt;"",IF(INDEX('Form Calc'!$K:$K,T183)&lt;&gt;"",INDEX('Form Calc'!$K:$K,T183),J183&amp;""),J183&amp;""))</f>
        <v/>
      </c>
      <c r="Y183" s="32">
        <f>IF(TRIM(A183&amp;"")="","",IF(TRIM(D183&amp;"")&lt;&gt;"",TRIM(D183&amp;""),IF(T183&lt;&gt;"",INDEX('Form Calc'!$C:$C,T183)&amp;"","")))</f>
        <v/>
      </c>
      <c r="Z183" s="32">
        <f>SUBSTITUTE(SUBSTITUTE(SUBSTITUTE(SUBSTITUTE(SUBSTITUTE(SUBSTITUTE(SUBSTITUTE(SUBSTITUTE(Y183," ",""),"-",""),"(",""),")",""),".",""),"+",""),"/",""),CHAR(160),"")</f>
        <v/>
      </c>
      <c r="AA183" s="32">
        <f>IF(Z183="","",IF(LEN(Z183)=10,"+1"&amp;Z183,IF(AND(LEN(Z183)=11,LEFT(Z183,1)="1"),"+"&amp;Z183,IF(LEFT(Y183,1)="+","+"&amp;Z183,Z183))))</f>
        <v/>
      </c>
      <c r="AB183" s="32">
        <f>IF(TRIM(A183&amp;"")="","",IF(TRIM(M183&amp;"")&lt;&gt;"",TRIM(M183&amp;""),IFERROR(LEFT(TRIM(A183&amp;""),FIND(" ",TRIM(A183&amp;""))-1),TRIM(A183&amp;""))))</f>
        <v/>
      </c>
      <c r="AC183" s="32">
        <f>SUBSTITUTE(SUBSTITUTE(SUBSTITUTE(SUBSTITUTE(SUBSTITUTE(SUBSTITUTE(SUBSTITUTE(SUBSTITUTE(SUBSTITUTE(SUBSTITUTE(AB183,"%","%25"),"&amp;","%26"),"#","%23"),"+","%2B"),"=","%3D"),"?","%3F"),CHAR(34),"%22"),CHAR(10),"%0A"),CHAR(13),"")," ","+")</f>
        <v/>
      </c>
      <c r="AD183" s="32">
        <f>IF(OR(AA183="",AB183=""),"",'Start Here'!$B$20&amp;"#p="&amp;SUBSTITUTE(AA183,"+","%2B")&amp;"&amp;n="&amp;AC183&amp;"&amp;m="&amp;SUBSTITUTE('Start Here'!$B$24,"{name}",AC183))</f>
        <v/>
      </c>
      <c r="AE183" s="32">
        <f>LEN(AD183)</f>
        <v/>
      </c>
      <c r="AF183" s="32">
        <f>IF(AND(TRIM(A183&amp;"")&lt;&gt;"",OR(B183="Awaiting",B183="Not sure yet")),1,0)</f>
        <v/>
      </c>
      <c r="AG183" s="32">
        <f>N(AG182)+AF183</f>
        <v/>
      </c>
      <c r="AH183" s="32">
        <f>IF(AF183=1,AG183,"")</f>
        <v/>
      </c>
      <c r="AI183" s="32">
        <f>IF(AND(TRIM(A183&amp;"")&lt;&gt;"",L183&amp;""&lt;&gt;"",L183&amp;""=Seating!$I$3&amp;"",B183&lt;&gt;"Declined"),1,0)</f>
        <v/>
      </c>
      <c r="AJ183" s="32">
        <f>N(AJ182)+AI183</f>
        <v/>
      </c>
      <c r="AK183" s="32">
        <f>IF(AI183=1,AJ183,"")</f>
        <v/>
      </c>
    </row>
    <row r="184">
      <c r="A184" s="10" t="n"/>
      <c r="B184" s="47">
        <f>IF(TRIM(A184&amp;"")="","",IF(W184&lt;&gt;"",W184,IF(I184="","Awaiting",I184)))</f>
        <v/>
      </c>
      <c r="C184" s="60">
        <f>IF(OR(B184="Awaiting",B184="Not sure yet"),IF(AD184&lt;&gt;"",HYPERLINK(AD184,"💬 Remind"),"add mobile"),"")</f>
        <v/>
      </c>
      <c r="D184" s="58" t="n"/>
      <c r="E184" s="10" t="n"/>
      <c r="F184" s="10" t="n"/>
      <c r="G184" s="10" t="n"/>
      <c r="H184" s="10" t="n"/>
      <c r="I184" s="10" t="n"/>
      <c r="J184" s="10" t="n"/>
      <c r="K184" s="10" t="n"/>
      <c r="L184" s="56" t="n"/>
      <c r="M184" s="10" t="n"/>
      <c r="N184" s="12" t="n"/>
      <c r="O184" s="10" t="n"/>
      <c r="P184" s="10" t="n"/>
      <c r="Q184" s="61">
        <f>IF(V184="","",IF(T184="","Covered by "&amp;INDEX('Form Calc'!$B:$B,V184)&amp;"'s reply (same party)","Replied "&amp;TEXT(INDEX('Form Calc'!$A:$A,T184),"mm/dd")&amp;" · "&amp;INDEX('Form Calc'!$H:$H,T184)&amp;" adult(s), "&amp;INDEX('Form Calc'!$I:$I,T184)&amp;" child(ren)"&amp;IF(INDEX('Form Calc'!$K:$K,T184)&lt;&gt;""," · "&amp;INDEX('Form Calc'!$K:$K,T184),"")&amp;IF(INDEX('Form Calc'!$M:$M,T184)&lt;&gt;""," · “"&amp;INDEX('Form Calc'!$M:$M,T184)&amp;"”","")))</f>
        <v/>
      </c>
      <c r="R184" s="32">
        <f>SUBSTITUTE(SUBSTITUTE(SUBSTITUTE(SUBSTITUTE(SUBSTITUTE(SUBSTITUTE(SUBSTITUTE(SUBSTITUTE(D184&amp;""," ",""),"-",""),"(",""),")",""),".",""),"+",""),"/",""),CHAR(160),"")</f>
        <v/>
      </c>
      <c r="S184" s="32">
        <f>IF(LEN(R184)&gt;=10,RIGHT(R184,10),R184)</f>
        <v/>
      </c>
      <c r="T184" s="32">
        <f>IF(TRIM(A184&amp;"")="","",IF(S184&lt;&gt;"",IFERROR(MATCH(S184,'Form Calc'!$P:$P,0),IFERROR(MATCH(TRIM(A184&amp;""),'Form Calc'!$Q:$Q,0),"")),IFERROR(MATCH(TRIM(A184&amp;""),'Form Calc'!$Q:$Q,0),"")))</f>
        <v/>
      </c>
      <c r="U184" s="32">
        <f>IF(AND(T184&lt;&gt;"",TRIM(E184&amp;"")&lt;&gt;""),TRIM(E184&amp;""),"")</f>
        <v/>
      </c>
      <c r="V184" s="32">
        <f>IF(TRIM(A184&amp;"")="","",IF(T184&lt;&gt;"",T184,IF(TRIM(E184&amp;"")="","",IFERROR(INDEX($T$6:$T$505,MATCH(TRIM(E184&amp;""),$U$6:$U$505,0)),""))))</f>
        <v/>
      </c>
      <c r="W184" s="32">
        <f>IF(V184="","",INDEX('Form Calc'!$G:$G,V184))</f>
        <v/>
      </c>
      <c r="X184" s="32">
        <f>IF(TRIM(A184&amp;"")="","",IF(T184&lt;&gt;"",IF(INDEX('Form Calc'!$K:$K,T184)&lt;&gt;"",INDEX('Form Calc'!$K:$K,T184),J184&amp;""),J184&amp;""))</f>
        <v/>
      </c>
      <c r="Y184" s="32">
        <f>IF(TRIM(A184&amp;"")="","",IF(TRIM(D184&amp;"")&lt;&gt;"",TRIM(D184&amp;""),IF(T184&lt;&gt;"",INDEX('Form Calc'!$C:$C,T184)&amp;"","")))</f>
        <v/>
      </c>
      <c r="Z184" s="32">
        <f>SUBSTITUTE(SUBSTITUTE(SUBSTITUTE(SUBSTITUTE(SUBSTITUTE(SUBSTITUTE(SUBSTITUTE(SUBSTITUTE(Y184," ",""),"-",""),"(",""),")",""),".",""),"+",""),"/",""),CHAR(160),"")</f>
        <v/>
      </c>
      <c r="AA184" s="32">
        <f>IF(Z184="","",IF(LEN(Z184)=10,"+1"&amp;Z184,IF(AND(LEN(Z184)=11,LEFT(Z184,1)="1"),"+"&amp;Z184,IF(LEFT(Y184,1)="+","+"&amp;Z184,Z184))))</f>
        <v/>
      </c>
      <c r="AB184" s="32">
        <f>IF(TRIM(A184&amp;"")="","",IF(TRIM(M184&amp;"")&lt;&gt;"",TRIM(M184&amp;""),IFERROR(LEFT(TRIM(A184&amp;""),FIND(" ",TRIM(A184&amp;""))-1),TRIM(A184&amp;""))))</f>
        <v/>
      </c>
      <c r="AC184" s="32">
        <f>SUBSTITUTE(SUBSTITUTE(SUBSTITUTE(SUBSTITUTE(SUBSTITUTE(SUBSTITUTE(SUBSTITUTE(SUBSTITUTE(SUBSTITUTE(SUBSTITUTE(AB184,"%","%25"),"&amp;","%26"),"#","%23"),"+","%2B"),"=","%3D"),"?","%3F"),CHAR(34),"%22"),CHAR(10),"%0A"),CHAR(13),"")," ","+")</f>
        <v/>
      </c>
      <c r="AD184" s="32">
        <f>IF(OR(AA184="",AB184=""),"",'Start Here'!$B$20&amp;"#p="&amp;SUBSTITUTE(AA184,"+","%2B")&amp;"&amp;n="&amp;AC184&amp;"&amp;m="&amp;SUBSTITUTE('Start Here'!$B$24,"{name}",AC184))</f>
        <v/>
      </c>
      <c r="AE184" s="32">
        <f>LEN(AD184)</f>
        <v/>
      </c>
      <c r="AF184" s="32">
        <f>IF(AND(TRIM(A184&amp;"")&lt;&gt;"",OR(B184="Awaiting",B184="Not sure yet")),1,0)</f>
        <v/>
      </c>
      <c r="AG184" s="32">
        <f>N(AG183)+AF184</f>
        <v/>
      </c>
      <c r="AH184" s="32">
        <f>IF(AF184=1,AG184,"")</f>
        <v/>
      </c>
      <c r="AI184" s="32">
        <f>IF(AND(TRIM(A184&amp;"")&lt;&gt;"",L184&amp;""&lt;&gt;"",L184&amp;""=Seating!$I$3&amp;"",B184&lt;&gt;"Declined"),1,0)</f>
        <v/>
      </c>
      <c r="AJ184" s="32">
        <f>N(AJ183)+AI184</f>
        <v/>
      </c>
      <c r="AK184" s="32">
        <f>IF(AI184=1,AJ184,"")</f>
        <v/>
      </c>
    </row>
    <row r="185">
      <c r="A185" s="10" t="n"/>
      <c r="B185" s="47">
        <f>IF(TRIM(A185&amp;"")="","",IF(W185&lt;&gt;"",W185,IF(I185="","Awaiting",I185)))</f>
        <v/>
      </c>
      <c r="C185" s="60">
        <f>IF(OR(B185="Awaiting",B185="Not sure yet"),IF(AD185&lt;&gt;"",HYPERLINK(AD185,"💬 Remind"),"add mobile"),"")</f>
        <v/>
      </c>
      <c r="D185" s="58" t="n"/>
      <c r="E185" s="10" t="n"/>
      <c r="F185" s="10" t="n"/>
      <c r="G185" s="10" t="n"/>
      <c r="H185" s="10" t="n"/>
      <c r="I185" s="10" t="n"/>
      <c r="J185" s="10" t="n"/>
      <c r="K185" s="10" t="n"/>
      <c r="L185" s="56" t="n"/>
      <c r="M185" s="10" t="n"/>
      <c r="N185" s="12" t="n"/>
      <c r="O185" s="10" t="n"/>
      <c r="P185" s="10" t="n"/>
      <c r="Q185" s="61">
        <f>IF(V185="","",IF(T185="","Covered by "&amp;INDEX('Form Calc'!$B:$B,V185)&amp;"'s reply (same party)","Replied "&amp;TEXT(INDEX('Form Calc'!$A:$A,T185),"mm/dd")&amp;" · "&amp;INDEX('Form Calc'!$H:$H,T185)&amp;" adult(s), "&amp;INDEX('Form Calc'!$I:$I,T185)&amp;" child(ren)"&amp;IF(INDEX('Form Calc'!$K:$K,T185)&lt;&gt;""," · "&amp;INDEX('Form Calc'!$K:$K,T185),"")&amp;IF(INDEX('Form Calc'!$M:$M,T185)&lt;&gt;""," · “"&amp;INDEX('Form Calc'!$M:$M,T185)&amp;"”","")))</f>
        <v/>
      </c>
      <c r="R185" s="32">
        <f>SUBSTITUTE(SUBSTITUTE(SUBSTITUTE(SUBSTITUTE(SUBSTITUTE(SUBSTITUTE(SUBSTITUTE(SUBSTITUTE(D185&amp;""," ",""),"-",""),"(",""),")",""),".",""),"+",""),"/",""),CHAR(160),"")</f>
        <v/>
      </c>
      <c r="S185" s="32">
        <f>IF(LEN(R185)&gt;=10,RIGHT(R185,10),R185)</f>
        <v/>
      </c>
      <c r="T185" s="32">
        <f>IF(TRIM(A185&amp;"")="","",IF(S185&lt;&gt;"",IFERROR(MATCH(S185,'Form Calc'!$P:$P,0),IFERROR(MATCH(TRIM(A185&amp;""),'Form Calc'!$Q:$Q,0),"")),IFERROR(MATCH(TRIM(A185&amp;""),'Form Calc'!$Q:$Q,0),"")))</f>
        <v/>
      </c>
      <c r="U185" s="32">
        <f>IF(AND(T185&lt;&gt;"",TRIM(E185&amp;"")&lt;&gt;""),TRIM(E185&amp;""),"")</f>
        <v/>
      </c>
      <c r="V185" s="32">
        <f>IF(TRIM(A185&amp;"")="","",IF(T185&lt;&gt;"",T185,IF(TRIM(E185&amp;"")="","",IFERROR(INDEX($T$6:$T$505,MATCH(TRIM(E185&amp;""),$U$6:$U$505,0)),""))))</f>
        <v/>
      </c>
      <c r="W185" s="32">
        <f>IF(V185="","",INDEX('Form Calc'!$G:$G,V185))</f>
        <v/>
      </c>
      <c r="X185" s="32">
        <f>IF(TRIM(A185&amp;"")="","",IF(T185&lt;&gt;"",IF(INDEX('Form Calc'!$K:$K,T185)&lt;&gt;"",INDEX('Form Calc'!$K:$K,T185),J185&amp;""),J185&amp;""))</f>
        <v/>
      </c>
      <c r="Y185" s="32">
        <f>IF(TRIM(A185&amp;"")="","",IF(TRIM(D185&amp;"")&lt;&gt;"",TRIM(D185&amp;""),IF(T185&lt;&gt;"",INDEX('Form Calc'!$C:$C,T185)&amp;"","")))</f>
        <v/>
      </c>
      <c r="Z185" s="32">
        <f>SUBSTITUTE(SUBSTITUTE(SUBSTITUTE(SUBSTITUTE(SUBSTITUTE(SUBSTITUTE(SUBSTITUTE(SUBSTITUTE(Y185," ",""),"-",""),"(",""),")",""),".",""),"+",""),"/",""),CHAR(160),"")</f>
        <v/>
      </c>
      <c r="AA185" s="32">
        <f>IF(Z185="","",IF(LEN(Z185)=10,"+1"&amp;Z185,IF(AND(LEN(Z185)=11,LEFT(Z185,1)="1"),"+"&amp;Z185,IF(LEFT(Y185,1)="+","+"&amp;Z185,Z185))))</f>
        <v/>
      </c>
      <c r="AB185" s="32">
        <f>IF(TRIM(A185&amp;"")="","",IF(TRIM(M185&amp;"")&lt;&gt;"",TRIM(M185&amp;""),IFERROR(LEFT(TRIM(A185&amp;""),FIND(" ",TRIM(A185&amp;""))-1),TRIM(A185&amp;""))))</f>
        <v/>
      </c>
      <c r="AC185" s="32">
        <f>SUBSTITUTE(SUBSTITUTE(SUBSTITUTE(SUBSTITUTE(SUBSTITUTE(SUBSTITUTE(SUBSTITUTE(SUBSTITUTE(SUBSTITUTE(SUBSTITUTE(AB185,"%","%25"),"&amp;","%26"),"#","%23"),"+","%2B"),"=","%3D"),"?","%3F"),CHAR(34),"%22"),CHAR(10),"%0A"),CHAR(13),"")," ","+")</f>
        <v/>
      </c>
      <c r="AD185" s="32">
        <f>IF(OR(AA185="",AB185=""),"",'Start Here'!$B$20&amp;"#p="&amp;SUBSTITUTE(AA185,"+","%2B")&amp;"&amp;n="&amp;AC185&amp;"&amp;m="&amp;SUBSTITUTE('Start Here'!$B$24,"{name}",AC185))</f>
        <v/>
      </c>
      <c r="AE185" s="32">
        <f>LEN(AD185)</f>
        <v/>
      </c>
      <c r="AF185" s="32">
        <f>IF(AND(TRIM(A185&amp;"")&lt;&gt;"",OR(B185="Awaiting",B185="Not sure yet")),1,0)</f>
        <v/>
      </c>
      <c r="AG185" s="32">
        <f>N(AG184)+AF185</f>
        <v/>
      </c>
      <c r="AH185" s="32">
        <f>IF(AF185=1,AG185,"")</f>
        <v/>
      </c>
      <c r="AI185" s="32">
        <f>IF(AND(TRIM(A185&amp;"")&lt;&gt;"",L185&amp;""&lt;&gt;"",L185&amp;""=Seating!$I$3&amp;"",B185&lt;&gt;"Declined"),1,0)</f>
        <v/>
      </c>
      <c r="AJ185" s="32">
        <f>N(AJ184)+AI185</f>
        <v/>
      </c>
      <c r="AK185" s="32">
        <f>IF(AI185=1,AJ185,"")</f>
        <v/>
      </c>
    </row>
    <row r="186">
      <c r="A186" s="10" t="n"/>
      <c r="B186" s="47">
        <f>IF(TRIM(A186&amp;"")="","",IF(W186&lt;&gt;"",W186,IF(I186="","Awaiting",I186)))</f>
        <v/>
      </c>
      <c r="C186" s="60">
        <f>IF(OR(B186="Awaiting",B186="Not sure yet"),IF(AD186&lt;&gt;"",HYPERLINK(AD186,"💬 Remind"),"add mobile"),"")</f>
        <v/>
      </c>
      <c r="D186" s="58" t="n"/>
      <c r="E186" s="10" t="n"/>
      <c r="F186" s="10" t="n"/>
      <c r="G186" s="10" t="n"/>
      <c r="H186" s="10" t="n"/>
      <c r="I186" s="10" t="n"/>
      <c r="J186" s="10" t="n"/>
      <c r="K186" s="10" t="n"/>
      <c r="L186" s="56" t="n"/>
      <c r="M186" s="10" t="n"/>
      <c r="N186" s="12" t="n"/>
      <c r="O186" s="10" t="n"/>
      <c r="P186" s="10" t="n"/>
      <c r="Q186" s="61">
        <f>IF(V186="","",IF(T186="","Covered by "&amp;INDEX('Form Calc'!$B:$B,V186)&amp;"'s reply (same party)","Replied "&amp;TEXT(INDEX('Form Calc'!$A:$A,T186),"mm/dd")&amp;" · "&amp;INDEX('Form Calc'!$H:$H,T186)&amp;" adult(s), "&amp;INDEX('Form Calc'!$I:$I,T186)&amp;" child(ren)"&amp;IF(INDEX('Form Calc'!$K:$K,T186)&lt;&gt;""," · "&amp;INDEX('Form Calc'!$K:$K,T186),"")&amp;IF(INDEX('Form Calc'!$M:$M,T186)&lt;&gt;""," · “"&amp;INDEX('Form Calc'!$M:$M,T186)&amp;"”","")))</f>
        <v/>
      </c>
      <c r="R186" s="32">
        <f>SUBSTITUTE(SUBSTITUTE(SUBSTITUTE(SUBSTITUTE(SUBSTITUTE(SUBSTITUTE(SUBSTITUTE(SUBSTITUTE(D186&amp;""," ",""),"-",""),"(",""),")",""),".",""),"+",""),"/",""),CHAR(160),"")</f>
        <v/>
      </c>
      <c r="S186" s="32">
        <f>IF(LEN(R186)&gt;=10,RIGHT(R186,10),R186)</f>
        <v/>
      </c>
      <c r="T186" s="32">
        <f>IF(TRIM(A186&amp;"")="","",IF(S186&lt;&gt;"",IFERROR(MATCH(S186,'Form Calc'!$P:$P,0),IFERROR(MATCH(TRIM(A186&amp;""),'Form Calc'!$Q:$Q,0),"")),IFERROR(MATCH(TRIM(A186&amp;""),'Form Calc'!$Q:$Q,0),"")))</f>
        <v/>
      </c>
      <c r="U186" s="32">
        <f>IF(AND(T186&lt;&gt;"",TRIM(E186&amp;"")&lt;&gt;""),TRIM(E186&amp;""),"")</f>
        <v/>
      </c>
      <c r="V186" s="32">
        <f>IF(TRIM(A186&amp;"")="","",IF(T186&lt;&gt;"",T186,IF(TRIM(E186&amp;"")="","",IFERROR(INDEX($T$6:$T$505,MATCH(TRIM(E186&amp;""),$U$6:$U$505,0)),""))))</f>
        <v/>
      </c>
      <c r="W186" s="32">
        <f>IF(V186="","",INDEX('Form Calc'!$G:$G,V186))</f>
        <v/>
      </c>
      <c r="X186" s="32">
        <f>IF(TRIM(A186&amp;"")="","",IF(T186&lt;&gt;"",IF(INDEX('Form Calc'!$K:$K,T186)&lt;&gt;"",INDEX('Form Calc'!$K:$K,T186),J186&amp;""),J186&amp;""))</f>
        <v/>
      </c>
      <c r="Y186" s="32">
        <f>IF(TRIM(A186&amp;"")="","",IF(TRIM(D186&amp;"")&lt;&gt;"",TRIM(D186&amp;""),IF(T186&lt;&gt;"",INDEX('Form Calc'!$C:$C,T186)&amp;"","")))</f>
        <v/>
      </c>
      <c r="Z186" s="32">
        <f>SUBSTITUTE(SUBSTITUTE(SUBSTITUTE(SUBSTITUTE(SUBSTITUTE(SUBSTITUTE(SUBSTITUTE(SUBSTITUTE(Y186," ",""),"-",""),"(",""),")",""),".",""),"+",""),"/",""),CHAR(160),"")</f>
        <v/>
      </c>
      <c r="AA186" s="32">
        <f>IF(Z186="","",IF(LEN(Z186)=10,"+1"&amp;Z186,IF(AND(LEN(Z186)=11,LEFT(Z186,1)="1"),"+"&amp;Z186,IF(LEFT(Y186,1)="+","+"&amp;Z186,Z186))))</f>
        <v/>
      </c>
      <c r="AB186" s="32">
        <f>IF(TRIM(A186&amp;"")="","",IF(TRIM(M186&amp;"")&lt;&gt;"",TRIM(M186&amp;""),IFERROR(LEFT(TRIM(A186&amp;""),FIND(" ",TRIM(A186&amp;""))-1),TRIM(A186&amp;""))))</f>
        <v/>
      </c>
      <c r="AC186" s="32">
        <f>SUBSTITUTE(SUBSTITUTE(SUBSTITUTE(SUBSTITUTE(SUBSTITUTE(SUBSTITUTE(SUBSTITUTE(SUBSTITUTE(SUBSTITUTE(SUBSTITUTE(AB186,"%","%25"),"&amp;","%26"),"#","%23"),"+","%2B"),"=","%3D"),"?","%3F"),CHAR(34),"%22"),CHAR(10),"%0A"),CHAR(13),"")," ","+")</f>
        <v/>
      </c>
      <c r="AD186" s="32">
        <f>IF(OR(AA186="",AB186=""),"",'Start Here'!$B$20&amp;"#p="&amp;SUBSTITUTE(AA186,"+","%2B")&amp;"&amp;n="&amp;AC186&amp;"&amp;m="&amp;SUBSTITUTE('Start Here'!$B$24,"{name}",AC186))</f>
        <v/>
      </c>
      <c r="AE186" s="32">
        <f>LEN(AD186)</f>
        <v/>
      </c>
      <c r="AF186" s="32">
        <f>IF(AND(TRIM(A186&amp;"")&lt;&gt;"",OR(B186="Awaiting",B186="Not sure yet")),1,0)</f>
        <v/>
      </c>
      <c r="AG186" s="32">
        <f>N(AG185)+AF186</f>
        <v/>
      </c>
      <c r="AH186" s="32">
        <f>IF(AF186=1,AG186,"")</f>
        <v/>
      </c>
      <c r="AI186" s="32">
        <f>IF(AND(TRIM(A186&amp;"")&lt;&gt;"",L186&amp;""&lt;&gt;"",L186&amp;""=Seating!$I$3&amp;"",B186&lt;&gt;"Declined"),1,0)</f>
        <v/>
      </c>
      <c r="AJ186" s="32">
        <f>N(AJ185)+AI186</f>
        <v/>
      </c>
      <c r="AK186" s="32">
        <f>IF(AI186=1,AJ186,"")</f>
        <v/>
      </c>
    </row>
    <row r="187">
      <c r="A187" s="10" t="n"/>
      <c r="B187" s="47">
        <f>IF(TRIM(A187&amp;"")="","",IF(W187&lt;&gt;"",W187,IF(I187="","Awaiting",I187)))</f>
        <v/>
      </c>
      <c r="C187" s="60">
        <f>IF(OR(B187="Awaiting",B187="Not sure yet"),IF(AD187&lt;&gt;"",HYPERLINK(AD187,"💬 Remind"),"add mobile"),"")</f>
        <v/>
      </c>
      <c r="D187" s="58" t="n"/>
      <c r="E187" s="10" t="n"/>
      <c r="F187" s="10" t="n"/>
      <c r="G187" s="10" t="n"/>
      <c r="H187" s="10" t="n"/>
      <c r="I187" s="10" t="n"/>
      <c r="J187" s="10" t="n"/>
      <c r="K187" s="10" t="n"/>
      <c r="L187" s="56" t="n"/>
      <c r="M187" s="10" t="n"/>
      <c r="N187" s="12" t="n"/>
      <c r="O187" s="10" t="n"/>
      <c r="P187" s="10" t="n"/>
      <c r="Q187" s="61">
        <f>IF(V187="","",IF(T187="","Covered by "&amp;INDEX('Form Calc'!$B:$B,V187)&amp;"'s reply (same party)","Replied "&amp;TEXT(INDEX('Form Calc'!$A:$A,T187),"mm/dd")&amp;" · "&amp;INDEX('Form Calc'!$H:$H,T187)&amp;" adult(s), "&amp;INDEX('Form Calc'!$I:$I,T187)&amp;" child(ren)"&amp;IF(INDEX('Form Calc'!$K:$K,T187)&lt;&gt;""," · "&amp;INDEX('Form Calc'!$K:$K,T187),"")&amp;IF(INDEX('Form Calc'!$M:$M,T187)&lt;&gt;""," · “"&amp;INDEX('Form Calc'!$M:$M,T187)&amp;"”","")))</f>
        <v/>
      </c>
      <c r="R187" s="32">
        <f>SUBSTITUTE(SUBSTITUTE(SUBSTITUTE(SUBSTITUTE(SUBSTITUTE(SUBSTITUTE(SUBSTITUTE(SUBSTITUTE(D187&amp;""," ",""),"-",""),"(",""),")",""),".",""),"+",""),"/",""),CHAR(160),"")</f>
        <v/>
      </c>
      <c r="S187" s="32">
        <f>IF(LEN(R187)&gt;=10,RIGHT(R187,10),R187)</f>
        <v/>
      </c>
      <c r="T187" s="32">
        <f>IF(TRIM(A187&amp;"")="","",IF(S187&lt;&gt;"",IFERROR(MATCH(S187,'Form Calc'!$P:$P,0),IFERROR(MATCH(TRIM(A187&amp;""),'Form Calc'!$Q:$Q,0),"")),IFERROR(MATCH(TRIM(A187&amp;""),'Form Calc'!$Q:$Q,0),"")))</f>
        <v/>
      </c>
      <c r="U187" s="32">
        <f>IF(AND(T187&lt;&gt;"",TRIM(E187&amp;"")&lt;&gt;""),TRIM(E187&amp;""),"")</f>
        <v/>
      </c>
      <c r="V187" s="32">
        <f>IF(TRIM(A187&amp;"")="","",IF(T187&lt;&gt;"",T187,IF(TRIM(E187&amp;"")="","",IFERROR(INDEX($T$6:$T$505,MATCH(TRIM(E187&amp;""),$U$6:$U$505,0)),""))))</f>
        <v/>
      </c>
      <c r="W187" s="32">
        <f>IF(V187="","",INDEX('Form Calc'!$G:$G,V187))</f>
        <v/>
      </c>
      <c r="X187" s="32">
        <f>IF(TRIM(A187&amp;"")="","",IF(T187&lt;&gt;"",IF(INDEX('Form Calc'!$K:$K,T187)&lt;&gt;"",INDEX('Form Calc'!$K:$K,T187),J187&amp;""),J187&amp;""))</f>
        <v/>
      </c>
      <c r="Y187" s="32">
        <f>IF(TRIM(A187&amp;"")="","",IF(TRIM(D187&amp;"")&lt;&gt;"",TRIM(D187&amp;""),IF(T187&lt;&gt;"",INDEX('Form Calc'!$C:$C,T187)&amp;"","")))</f>
        <v/>
      </c>
      <c r="Z187" s="32">
        <f>SUBSTITUTE(SUBSTITUTE(SUBSTITUTE(SUBSTITUTE(SUBSTITUTE(SUBSTITUTE(SUBSTITUTE(SUBSTITUTE(Y187," ",""),"-",""),"(",""),")",""),".",""),"+",""),"/",""),CHAR(160),"")</f>
        <v/>
      </c>
      <c r="AA187" s="32">
        <f>IF(Z187="","",IF(LEN(Z187)=10,"+1"&amp;Z187,IF(AND(LEN(Z187)=11,LEFT(Z187,1)="1"),"+"&amp;Z187,IF(LEFT(Y187,1)="+","+"&amp;Z187,Z187))))</f>
        <v/>
      </c>
      <c r="AB187" s="32">
        <f>IF(TRIM(A187&amp;"")="","",IF(TRIM(M187&amp;"")&lt;&gt;"",TRIM(M187&amp;""),IFERROR(LEFT(TRIM(A187&amp;""),FIND(" ",TRIM(A187&amp;""))-1),TRIM(A187&amp;""))))</f>
        <v/>
      </c>
      <c r="AC187" s="32">
        <f>SUBSTITUTE(SUBSTITUTE(SUBSTITUTE(SUBSTITUTE(SUBSTITUTE(SUBSTITUTE(SUBSTITUTE(SUBSTITUTE(SUBSTITUTE(SUBSTITUTE(AB187,"%","%25"),"&amp;","%26"),"#","%23"),"+","%2B"),"=","%3D"),"?","%3F"),CHAR(34),"%22"),CHAR(10),"%0A"),CHAR(13),"")," ","+")</f>
        <v/>
      </c>
      <c r="AD187" s="32">
        <f>IF(OR(AA187="",AB187=""),"",'Start Here'!$B$20&amp;"#p="&amp;SUBSTITUTE(AA187,"+","%2B")&amp;"&amp;n="&amp;AC187&amp;"&amp;m="&amp;SUBSTITUTE('Start Here'!$B$24,"{name}",AC187))</f>
        <v/>
      </c>
      <c r="AE187" s="32">
        <f>LEN(AD187)</f>
        <v/>
      </c>
      <c r="AF187" s="32">
        <f>IF(AND(TRIM(A187&amp;"")&lt;&gt;"",OR(B187="Awaiting",B187="Not sure yet")),1,0)</f>
        <v/>
      </c>
      <c r="AG187" s="32">
        <f>N(AG186)+AF187</f>
        <v/>
      </c>
      <c r="AH187" s="32">
        <f>IF(AF187=1,AG187,"")</f>
        <v/>
      </c>
      <c r="AI187" s="32">
        <f>IF(AND(TRIM(A187&amp;"")&lt;&gt;"",L187&amp;""&lt;&gt;"",L187&amp;""=Seating!$I$3&amp;"",B187&lt;&gt;"Declined"),1,0)</f>
        <v/>
      </c>
      <c r="AJ187" s="32">
        <f>N(AJ186)+AI187</f>
        <v/>
      </c>
      <c r="AK187" s="32">
        <f>IF(AI187=1,AJ187,"")</f>
        <v/>
      </c>
    </row>
    <row r="188">
      <c r="A188" s="10" t="n"/>
      <c r="B188" s="47">
        <f>IF(TRIM(A188&amp;"")="","",IF(W188&lt;&gt;"",W188,IF(I188="","Awaiting",I188)))</f>
        <v/>
      </c>
      <c r="C188" s="60">
        <f>IF(OR(B188="Awaiting",B188="Not sure yet"),IF(AD188&lt;&gt;"",HYPERLINK(AD188,"💬 Remind"),"add mobile"),"")</f>
        <v/>
      </c>
      <c r="D188" s="58" t="n"/>
      <c r="E188" s="10" t="n"/>
      <c r="F188" s="10" t="n"/>
      <c r="G188" s="10" t="n"/>
      <c r="H188" s="10" t="n"/>
      <c r="I188" s="10" t="n"/>
      <c r="J188" s="10" t="n"/>
      <c r="K188" s="10" t="n"/>
      <c r="L188" s="56" t="n"/>
      <c r="M188" s="10" t="n"/>
      <c r="N188" s="12" t="n"/>
      <c r="O188" s="10" t="n"/>
      <c r="P188" s="10" t="n"/>
      <c r="Q188" s="61">
        <f>IF(V188="","",IF(T188="","Covered by "&amp;INDEX('Form Calc'!$B:$B,V188)&amp;"'s reply (same party)","Replied "&amp;TEXT(INDEX('Form Calc'!$A:$A,T188),"mm/dd")&amp;" · "&amp;INDEX('Form Calc'!$H:$H,T188)&amp;" adult(s), "&amp;INDEX('Form Calc'!$I:$I,T188)&amp;" child(ren)"&amp;IF(INDEX('Form Calc'!$K:$K,T188)&lt;&gt;""," · "&amp;INDEX('Form Calc'!$K:$K,T188),"")&amp;IF(INDEX('Form Calc'!$M:$M,T188)&lt;&gt;""," · “"&amp;INDEX('Form Calc'!$M:$M,T188)&amp;"”","")))</f>
        <v/>
      </c>
      <c r="R188" s="32">
        <f>SUBSTITUTE(SUBSTITUTE(SUBSTITUTE(SUBSTITUTE(SUBSTITUTE(SUBSTITUTE(SUBSTITUTE(SUBSTITUTE(D188&amp;""," ",""),"-",""),"(",""),")",""),".",""),"+",""),"/",""),CHAR(160),"")</f>
        <v/>
      </c>
      <c r="S188" s="32">
        <f>IF(LEN(R188)&gt;=10,RIGHT(R188,10),R188)</f>
        <v/>
      </c>
      <c r="T188" s="32">
        <f>IF(TRIM(A188&amp;"")="","",IF(S188&lt;&gt;"",IFERROR(MATCH(S188,'Form Calc'!$P:$P,0),IFERROR(MATCH(TRIM(A188&amp;""),'Form Calc'!$Q:$Q,0),"")),IFERROR(MATCH(TRIM(A188&amp;""),'Form Calc'!$Q:$Q,0),"")))</f>
        <v/>
      </c>
      <c r="U188" s="32">
        <f>IF(AND(T188&lt;&gt;"",TRIM(E188&amp;"")&lt;&gt;""),TRIM(E188&amp;""),"")</f>
        <v/>
      </c>
      <c r="V188" s="32">
        <f>IF(TRIM(A188&amp;"")="","",IF(T188&lt;&gt;"",T188,IF(TRIM(E188&amp;"")="","",IFERROR(INDEX($T$6:$T$505,MATCH(TRIM(E188&amp;""),$U$6:$U$505,0)),""))))</f>
        <v/>
      </c>
      <c r="W188" s="32">
        <f>IF(V188="","",INDEX('Form Calc'!$G:$G,V188))</f>
        <v/>
      </c>
      <c r="X188" s="32">
        <f>IF(TRIM(A188&amp;"")="","",IF(T188&lt;&gt;"",IF(INDEX('Form Calc'!$K:$K,T188)&lt;&gt;"",INDEX('Form Calc'!$K:$K,T188),J188&amp;""),J188&amp;""))</f>
        <v/>
      </c>
      <c r="Y188" s="32">
        <f>IF(TRIM(A188&amp;"")="","",IF(TRIM(D188&amp;"")&lt;&gt;"",TRIM(D188&amp;""),IF(T188&lt;&gt;"",INDEX('Form Calc'!$C:$C,T188)&amp;"","")))</f>
        <v/>
      </c>
      <c r="Z188" s="32">
        <f>SUBSTITUTE(SUBSTITUTE(SUBSTITUTE(SUBSTITUTE(SUBSTITUTE(SUBSTITUTE(SUBSTITUTE(SUBSTITUTE(Y188," ",""),"-",""),"(",""),")",""),".",""),"+",""),"/",""),CHAR(160),"")</f>
        <v/>
      </c>
      <c r="AA188" s="32">
        <f>IF(Z188="","",IF(LEN(Z188)=10,"+1"&amp;Z188,IF(AND(LEN(Z188)=11,LEFT(Z188,1)="1"),"+"&amp;Z188,IF(LEFT(Y188,1)="+","+"&amp;Z188,Z188))))</f>
        <v/>
      </c>
      <c r="AB188" s="32">
        <f>IF(TRIM(A188&amp;"")="","",IF(TRIM(M188&amp;"")&lt;&gt;"",TRIM(M188&amp;""),IFERROR(LEFT(TRIM(A188&amp;""),FIND(" ",TRIM(A188&amp;""))-1),TRIM(A188&amp;""))))</f>
        <v/>
      </c>
      <c r="AC188" s="32">
        <f>SUBSTITUTE(SUBSTITUTE(SUBSTITUTE(SUBSTITUTE(SUBSTITUTE(SUBSTITUTE(SUBSTITUTE(SUBSTITUTE(SUBSTITUTE(SUBSTITUTE(AB188,"%","%25"),"&amp;","%26"),"#","%23"),"+","%2B"),"=","%3D"),"?","%3F"),CHAR(34),"%22"),CHAR(10),"%0A"),CHAR(13),"")," ","+")</f>
        <v/>
      </c>
      <c r="AD188" s="32">
        <f>IF(OR(AA188="",AB188=""),"",'Start Here'!$B$20&amp;"#p="&amp;SUBSTITUTE(AA188,"+","%2B")&amp;"&amp;n="&amp;AC188&amp;"&amp;m="&amp;SUBSTITUTE('Start Here'!$B$24,"{name}",AC188))</f>
        <v/>
      </c>
      <c r="AE188" s="32">
        <f>LEN(AD188)</f>
        <v/>
      </c>
      <c r="AF188" s="32">
        <f>IF(AND(TRIM(A188&amp;"")&lt;&gt;"",OR(B188="Awaiting",B188="Not sure yet")),1,0)</f>
        <v/>
      </c>
      <c r="AG188" s="32">
        <f>N(AG187)+AF188</f>
        <v/>
      </c>
      <c r="AH188" s="32">
        <f>IF(AF188=1,AG188,"")</f>
        <v/>
      </c>
      <c r="AI188" s="32">
        <f>IF(AND(TRIM(A188&amp;"")&lt;&gt;"",L188&amp;""&lt;&gt;"",L188&amp;""=Seating!$I$3&amp;"",B188&lt;&gt;"Declined"),1,0)</f>
        <v/>
      </c>
      <c r="AJ188" s="32">
        <f>N(AJ187)+AI188</f>
        <v/>
      </c>
      <c r="AK188" s="32">
        <f>IF(AI188=1,AJ188,"")</f>
        <v/>
      </c>
    </row>
    <row r="189">
      <c r="A189" s="10" t="n"/>
      <c r="B189" s="47">
        <f>IF(TRIM(A189&amp;"")="","",IF(W189&lt;&gt;"",W189,IF(I189="","Awaiting",I189)))</f>
        <v/>
      </c>
      <c r="C189" s="60">
        <f>IF(OR(B189="Awaiting",B189="Not sure yet"),IF(AD189&lt;&gt;"",HYPERLINK(AD189,"💬 Remind"),"add mobile"),"")</f>
        <v/>
      </c>
      <c r="D189" s="58" t="n"/>
      <c r="E189" s="10" t="n"/>
      <c r="F189" s="10" t="n"/>
      <c r="G189" s="10" t="n"/>
      <c r="H189" s="10" t="n"/>
      <c r="I189" s="10" t="n"/>
      <c r="J189" s="10" t="n"/>
      <c r="K189" s="10" t="n"/>
      <c r="L189" s="56" t="n"/>
      <c r="M189" s="10" t="n"/>
      <c r="N189" s="12" t="n"/>
      <c r="O189" s="10" t="n"/>
      <c r="P189" s="10" t="n"/>
      <c r="Q189" s="61">
        <f>IF(V189="","",IF(T189="","Covered by "&amp;INDEX('Form Calc'!$B:$B,V189)&amp;"'s reply (same party)","Replied "&amp;TEXT(INDEX('Form Calc'!$A:$A,T189),"mm/dd")&amp;" · "&amp;INDEX('Form Calc'!$H:$H,T189)&amp;" adult(s), "&amp;INDEX('Form Calc'!$I:$I,T189)&amp;" child(ren)"&amp;IF(INDEX('Form Calc'!$K:$K,T189)&lt;&gt;""," · "&amp;INDEX('Form Calc'!$K:$K,T189),"")&amp;IF(INDEX('Form Calc'!$M:$M,T189)&lt;&gt;""," · “"&amp;INDEX('Form Calc'!$M:$M,T189)&amp;"”","")))</f>
        <v/>
      </c>
      <c r="R189" s="32">
        <f>SUBSTITUTE(SUBSTITUTE(SUBSTITUTE(SUBSTITUTE(SUBSTITUTE(SUBSTITUTE(SUBSTITUTE(SUBSTITUTE(D189&amp;""," ",""),"-",""),"(",""),")",""),".",""),"+",""),"/",""),CHAR(160),"")</f>
        <v/>
      </c>
      <c r="S189" s="32">
        <f>IF(LEN(R189)&gt;=10,RIGHT(R189,10),R189)</f>
        <v/>
      </c>
      <c r="T189" s="32">
        <f>IF(TRIM(A189&amp;"")="","",IF(S189&lt;&gt;"",IFERROR(MATCH(S189,'Form Calc'!$P:$P,0),IFERROR(MATCH(TRIM(A189&amp;""),'Form Calc'!$Q:$Q,0),"")),IFERROR(MATCH(TRIM(A189&amp;""),'Form Calc'!$Q:$Q,0),"")))</f>
        <v/>
      </c>
      <c r="U189" s="32">
        <f>IF(AND(T189&lt;&gt;"",TRIM(E189&amp;"")&lt;&gt;""),TRIM(E189&amp;""),"")</f>
        <v/>
      </c>
      <c r="V189" s="32">
        <f>IF(TRIM(A189&amp;"")="","",IF(T189&lt;&gt;"",T189,IF(TRIM(E189&amp;"")="","",IFERROR(INDEX($T$6:$T$505,MATCH(TRIM(E189&amp;""),$U$6:$U$505,0)),""))))</f>
        <v/>
      </c>
      <c r="W189" s="32">
        <f>IF(V189="","",INDEX('Form Calc'!$G:$G,V189))</f>
        <v/>
      </c>
      <c r="X189" s="32">
        <f>IF(TRIM(A189&amp;"")="","",IF(T189&lt;&gt;"",IF(INDEX('Form Calc'!$K:$K,T189)&lt;&gt;"",INDEX('Form Calc'!$K:$K,T189),J189&amp;""),J189&amp;""))</f>
        <v/>
      </c>
      <c r="Y189" s="32">
        <f>IF(TRIM(A189&amp;"")="","",IF(TRIM(D189&amp;"")&lt;&gt;"",TRIM(D189&amp;""),IF(T189&lt;&gt;"",INDEX('Form Calc'!$C:$C,T189)&amp;"","")))</f>
        <v/>
      </c>
      <c r="Z189" s="32">
        <f>SUBSTITUTE(SUBSTITUTE(SUBSTITUTE(SUBSTITUTE(SUBSTITUTE(SUBSTITUTE(SUBSTITUTE(SUBSTITUTE(Y189," ",""),"-",""),"(",""),")",""),".",""),"+",""),"/",""),CHAR(160),"")</f>
        <v/>
      </c>
      <c r="AA189" s="32">
        <f>IF(Z189="","",IF(LEN(Z189)=10,"+1"&amp;Z189,IF(AND(LEN(Z189)=11,LEFT(Z189,1)="1"),"+"&amp;Z189,IF(LEFT(Y189,1)="+","+"&amp;Z189,Z189))))</f>
        <v/>
      </c>
      <c r="AB189" s="32">
        <f>IF(TRIM(A189&amp;"")="","",IF(TRIM(M189&amp;"")&lt;&gt;"",TRIM(M189&amp;""),IFERROR(LEFT(TRIM(A189&amp;""),FIND(" ",TRIM(A189&amp;""))-1),TRIM(A189&amp;""))))</f>
        <v/>
      </c>
      <c r="AC189" s="32">
        <f>SUBSTITUTE(SUBSTITUTE(SUBSTITUTE(SUBSTITUTE(SUBSTITUTE(SUBSTITUTE(SUBSTITUTE(SUBSTITUTE(SUBSTITUTE(SUBSTITUTE(AB189,"%","%25"),"&amp;","%26"),"#","%23"),"+","%2B"),"=","%3D"),"?","%3F"),CHAR(34),"%22"),CHAR(10),"%0A"),CHAR(13),"")," ","+")</f>
        <v/>
      </c>
      <c r="AD189" s="32">
        <f>IF(OR(AA189="",AB189=""),"",'Start Here'!$B$20&amp;"#p="&amp;SUBSTITUTE(AA189,"+","%2B")&amp;"&amp;n="&amp;AC189&amp;"&amp;m="&amp;SUBSTITUTE('Start Here'!$B$24,"{name}",AC189))</f>
        <v/>
      </c>
      <c r="AE189" s="32">
        <f>LEN(AD189)</f>
        <v/>
      </c>
      <c r="AF189" s="32">
        <f>IF(AND(TRIM(A189&amp;"")&lt;&gt;"",OR(B189="Awaiting",B189="Not sure yet")),1,0)</f>
        <v/>
      </c>
      <c r="AG189" s="32">
        <f>N(AG188)+AF189</f>
        <v/>
      </c>
      <c r="AH189" s="32">
        <f>IF(AF189=1,AG189,"")</f>
        <v/>
      </c>
      <c r="AI189" s="32">
        <f>IF(AND(TRIM(A189&amp;"")&lt;&gt;"",L189&amp;""&lt;&gt;"",L189&amp;""=Seating!$I$3&amp;"",B189&lt;&gt;"Declined"),1,0)</f>
        <v/>
      </c>
      <c r="AJ189" s="32">
        <f>N(AJ188)+AI189</f>
        <v/>
      </c>
      <c r="AK189" s="32">
        <f>IF(AI189=1,AJ189,"")</f>
        <v/>
      </c>
    </row>
    <row r="190">
      <c r="A190" s="10" t="n"/>
      <c r="B190" s="47">
        <f>IF(TRIM(A190&amp;"")="","",IF(W190&lt;&gt;"",W190,IF(I190="","Awaiting",I190)))</f>
        <v/>
      </c>
      <c r="C190" s="60">
        <f>IF(OR(B190="Awaiting",B190="Not sure yet"),IF(AD190&lt;&gt;"",HYPERLINK(AD190,"💬 Remind"),"add mobile"),"")</f>
        <v/>
      </c>
      <c r="D190" s="58" t="n"/>
      <c r="E190" s="10" t="n"/>
      <c r="F190" s="10" t="n"/>
      <c r="G190" s="10" t="n"/>
      <c r="H190" s="10" t="n"/>
      <c r="I190" s="10" t="n"/>
      <c r="J190" s="10" t="n"/>
      <c r="K190" s="10" t="n"/>
      <c r="L190" s="56" t="n"/>
      <c r="M190" s="10" t="n"/>
      <c r="N190" s="12" t="n"/>
      <c r="O190" s="10" t="n"/>
      <c r="P190" s="10" t="n"/>
      <c r="Q190" s="61">
        <f>IF(V190="","",IF(T190="","Covered by "&amp;INDEX('Form Calc'!$B:$B,V190)&amp;"'s reply (same party)","Replied "&amp;TEXT(INDEX('Form Calc'!$A:$A,T190),"mm/dd")&amp;" · "&amp;INDEX('Form Calc'!$H:$H,T190)&amp;" adult(s), "&amp;INDEX('Form Calc'!$I:$I,T190)&amp;" child(ren)"&amp;IF(INDEX('Form Calc'!$K:$K,T190)&lt;&gt;""," · "&amp;INDEX('Form Calc'!$K:$K,T190),"")&amp;IF(INDEX('Form Calc'!$M:$M,T190)&lt;&gt;""," · “"&amp;INDEX('Form Calc'!$M:$M,T190)&amp;"”","")))</f>
        <v/>
      </c>
      <c r="R190" s="32">
        <f>SUBSTITUTE(SUBSTITUTE(SUBSTITUTE(SUBSTITUTE(SUBSTITUTE(SUBSTITUTE(SUBSTITUTE(SUBSTITUTE(D190&amp;""," ",""),"-",""),"(",""),")",""),".",""),"+",""),"/",""),CHAR(160),"")</f>
        <v/>
      </c>
      <c r="S190" s="32">
        <f>IF(LEN(R190)&gt;=10,RIGHT(R190,10),R190)</f>
        <v/>
      </c>
      <c r="T190" s="32">
        <f>IF(TRIM(A190&amp;"")="","",IF(S190&lt;&gt;"",IFERROR(MATCH(S190,'Form Calc'!$P:$P,0),IFERROR(MATCH(TRIM(A190&amp;""),'Form Calc'!$Q:$Q,0),"")),IFERROR(MATCH(TRIM(A190&amp;""),'Form Calc'!$Q:$Q,0),"")))</f>
        <v/>
      </c>
      <c r="U190" s="32">
        <f>IF(AND(T190&lt;&gt;"",TRIM(E190&amp;"")&lt;&gt;""),TRIM(E190&amp;""),"")</f>
        <v/>
      </c>
      <c r="V190" s="32">
        <f>IF(TRIM(A190&amp;"")="","",IF(T190&lt;&gt;"",T190,IF(TRIM(E190&amp;"")="","",IFERROR(INDEX($T$6:$T$505,MATCH(TRIM(E190&amp;""),$U$6:$U$505,0)),""))))</f>
        <v/>
      </c>
      <c r="W190" s="32">
        <f>IF(V190="","",INDEX('Form Calc'!$G:$G,V190))</f>
        <v/>
      </c>
      <c r="X190" s="32">
        <f>IF(TRIM(A190&amp;"")="","",IF(T190&lt;&gt;"",IF(INDEX('Form Calc'!$K:$K,T190)&lt;&gt;"",INDEX('Form Calc'!$K:$K,T190),J190&amp;""),J190&amp;""))</f>
        <v/>
      </c>
      <c r="Y190" s="32">
        <f>IF(TRIM(A190&amp;"")="","",IF(TRIM(D190&amp;"")&lt;&gt;"",TRIM(D190&amp;""),IF(T190&lt;&gt;"",INDEX('Form Calc'!$C:$C,T190)&amp;"","")))</f>
        <v/>
      </c>
      <c r="Z190" s="32">
        <f>SUBSTITUTE(SUBSTITUTE(SUBSTITUTE(SUBSTITUTE(SUBSTITUTE(SUBSTITUTE(SUBSTITUTE(SUBSTITUTE(Y190," ",""),"-",""),"(",""),")",""),".",""),"+",""),"/",""),CHAR(160),"")</f>
        <v/>
      </c>
      <c r="AA190" s="32">
        <f>IF(Z190="","",IF(LEN(Z190)=10,"+1"&amp;Z190,IF(AND(LEN(Z190)=11,LEFT(Z190,1)="1"),"+"&amp;Z190,IF(LEFT(Y190,1)="+","+"&amp;Z190,Z190))))</f>
        <v/>
      </c>
      <c r="AB190" s="32">
        <f>IF(TRIM(A190&amp;"")="","",IF(TRIM(M190&amp;"")&lt;&gt;"",TRIM(M190&amp;""),IFERROR(LEFT(TRIM(A190&amp;""),FIND(" ",TRIM(A190&amp;""))-1),TRIM(A190&amp;""))))</f>
        <v/>
      </c>
      <c r="AC190" s="32">
        <f>SUBSTITUTE(SUBSTITUTE(SUBSTITUTE(SUBSTITUTE(SUBSTITUTE(SUBSTITUTE(SUBSTITUTE(SUBSTITUTE(SUBSTITUTE(SUBSTITUTE(AB190,"%","%25"),"&amp;","%26"),"#","%23"),"+","%2B"),"=","%3D"),"?","%3F"),CHAR(34),"%22"),CHAR(10),"%0A"),CHAR(13),"")," ","+")</f>
        <v/>
      </c>
      <c r="AD190" s="32">
        <f>IF(OR(AA190="",AB190=""),"",'Start Here'!$B$20&amp;"#p="&amp;SUBSTITUTE(AA190,"+","%2B")&amp;"&amp;n="&amp;AC190&amp;"&amp;m="&amp;SUBSTITUTE('Start Here'!$B$24,"{name}",AC190))</f>
        <v/>
      </c>
      <c r="AE190" s="32">
        <f>LEN(AD190)</f>
        <v/>
      </c>
      <c r="AF190" s="32">
        <f>IF(AND(TRIM(A190&amp;"")&lt;&gt;"",OR(B190="Awaiting",B190="Not sure yet")),1,0)</f>
        <v/>
      </c>
      <c r="AG190" s="32">
        <f>N(AG189)+AF190</f>
        <v/>
      </c>
      <c r="AH190" s="32">
        <f>IF(AF190=1,AG190,"")</f>
        <v/>
      </c>
      <c r="AI190" s="32">
        <f>IF(AND(TRIM(A190&amp;"")&lt;&gt;"",L190&amp;""&lt;&gt;"",L190&amp;""=Seating!$I$3&amp;"",B190&lt;&gt;"Declined"),1,0)</f>
        <v/>
      </c>
      <c r="AJ190" s="32">
        <f>N(AJ189)+AI190</f>
        <v/>
      </c>
      <c r="AK190" s="32">
        <f>IF(AI190=1,AJ190,"")</f>
        <v/>
      </c>
    </row>
    <row r="191">
      <c r="A191" s="10" t="n"/>
      <c r="B191" s="47">
        <f>IF(TRIM(A191&amp;"")="","",IF(W191&lt;&gt;"",W191,IF(I191="","Awaiting",I191)))</f>
        <v/>
      </c>
      <c r="C191" s="60">
        <f>IF(OR(B191="Awaiting",B191="Not sure yet"),IF(AD191&lt;&gt;"",HYPERLINK(AD191,"💬 Remind"),"add mobile"),"")</f>
        <v/>
      </c>
      <c r="D191" s="58" t="n"/>
      <c r="E191" s="10" t="n"/>
      <c r="F191" s="10" t="n"/>
      <c r="G191" s="10" t="n"/>
      <c r="H191" s="10" t="n"/>
      <c r="I191" s="10" t="n"/>
      <c r="J191" s="10" t="n"/>
      <c r="K191" s="10" t="n"/>
      <c r="L191" s="56" t="n"/>
      <c r="M191" s="10" t="n"/>
      <c r="N191" s="12" t="n"/>
      <c r="O191" s="10" t="n"/>
      <c r="P191" s="10" t="n"/>
      <c r="Q191" s="61">
        <f>IF(V191="","",IF(T191="","Covered by "&amp;INDEX('Form Calc'!$B:$B,V191)&amp;"'s reply (same party)","Replied "&amp;TEXT(INDEX('Form Calc'!$A:$A,T191),"mm/dd")&amp;" · "&amp;INDEX('Form Calc'!$H:$H,T191)&amp;" adult(s), "&amp;INDEX('Form Calc'!$I:$I,T191)&amp;" child(ren)"&amp;IF(INDEX('Form Calc'!$K:$K,T191)&lt;&gt;""," · "&amp;INDEX('Form Calc'!$K:$K,T191),"")&amp;IF(INDEX('Form Calc'!$M:$M,T191)&lt;&gt;""," · “"&amp;INDEX('Form Calc'!$M:$M,T191)&amp;"”","")))</f>
        <v/>
      </c>
      <c r="R191" s="32">
        <f>SUBSTITUTE(SUBSTITUTE(SUBSTITUTE(SUBSTITUTE(SUBSTITUTE(SUBSTITUTE(SUBSTITUTE(SUBSTITUTE(D191&amp;""," ",""),"-",""),"(",""),")",""),".",""),"+",""),"/",""),CHAR(160),"")</f>
        <v/>
      </c>
      <c r="S191" s="32">
        <f>IF(LEN(R191)&gt;=10,RIGHT(R191,10),R191)</f>
        <v/>
      </c>
      <c r="T191" s="32">
        <f>IF(TRIM(A191&amp;"")="","",IF(S191&lt;&gt;"",IFERROR(MATCH(S191,'Form Calc'!$P:$P,0),IFERROR(MATCH(TRIM(A191&amp;""),'Form Calc'!$Q:$Q,0),"")),IFERROR(MATCH(TRIM(A191&amp;""),'Form Calc'!$Q:$Q,0),"")))</f>
        <v/>
      </c>
      <c r="U191" s="32">
        <f>IF(AND(T191&lt;&gt;"",TRIM(E191&amp;"")&lt;&gt;""),TRIM(E191&amp;""),"")</f>
        <v/>
      </c>
      <c r="V191" s="32">
        <f>IF(TRIM(A191&amp;"")="","",IF(T191&lt;&gt;"",T191,IF(TRIM(E191&amp;"")="","",IFERROR(INDEX($T$6:$T$505,MATCH(TRIM(E191&amp;""),$U$6:$U$505,0)),""))))</f>
        <v/>
      </c>
      <c r="W191" s="32">
        <f>IF(V191="","",INDEX('Form Calc'!$G:$G,V191))</f>
        <v/>
      </c>
      <c r="X191" s="32">
        <f>IF(TRIM(A191&amp;"")="","",IF(T191&lt;&gt;"",IF(INDEX('Form Calc'!$K:$K,T191)&lt;&gt;"",INDEX('Form Calc'!$K:$K,T191),J191&amp;""),J191&amp;""))</f>
        <v/>
      </c>
      <c r="Y191" s="32">
        <f>IF(TRIM(A191&amp;"")="","",IF(TRIM(D191&amp;"")&lt;&gt;"",TRIM(D191&amp;""),IF(T191&lt;&gt;"",INDEX('Form Calc'!$C:$C,T191)&amp;"","")))</f>
        <v/>
      </c>
      <c r="Z191" s="32">
        <f>SUBSTITUTE(SUBSTITUTE(SUBSTITUTE(SUBSTITUTE(SUBSTITUTE(SUBSTITUTE(SUBSTITUTE(SUBSTITUTE(Y191," ",""),"-",""),"(",""),")",""),".",""),"+",""),"/",""),CHAR(160),"")</f>
        <v/>
      </c>
      <c r="AA191" s="32">
        <f>IF(Z191="","",IF(LEN(Z191)=10,"+1"&amp;Z191,IF(AND(LEN(Z191)=11,LEFT(Z191,1)="1"),"+"&amp;Z191,IF(LEFT(Y191,1)="+","+"&amp;Z191,Z191))))</f>
        <v/>
      </c>
      <c r="AB191" s="32">
        <f>IF(TRIM(A191&amp;"")="","",IF(TRIM(M191&amp;"")&lt;&gt;"",TRIM(M191&amp;""),IFERROR(LEFT(TRIM(A191&amp;""),FIND(" ",TRIM(A191&amp;""))-1),TRIM(A191&amp;""))))</f>
        <v/>
      </c>
      <c r="AC191" s="32">
        <f>SUBSTITUTE(SUBSTITUTE(SUBSTITUTE(SUBSTITUTE(SUBSTITUTE(SUBSTITUTE(SUBSTITUTE(SUBSTITUTE(SUBSTITUTE(SUBSTITUTE(AB191,"%","%25"),"&amp;","%26"),"#","%23"),"+","%2B"),"=","%3D"),"?","%3F"),CHAR(34),"%22"),CHAR(10),"%0A"),CHAR(13),"")," ","+")</f>
        <v/>
      </c>
      <c r="AD191" s="32">
        <f>IF(OR(AA191="",AB191=""),"",'Start Here'!$B$20&amp;"#p="&amp;SUBSTITUTE(AA191,"+","%2B")&amp;"&amp;n="&amp;AC191&amp;"&amp;m="&amp;SUBSTITUTE('Start Here'!$B$24,"{name}",AC191))</f>
        <v/>
      </c>
      <c r="AE191" s="32">
        <f>LEN(AD191)</f>
        <v/>
      </c>
      <c r="AF191" s="32">
        <f>IF(AND(TRIM(A191&amp;"")&lt;&gt;"",OR(B191="Awaiting",B191="Not sure yet")),1,0)</f>
        <v/>
      </c>
      <c r="AG191" s="32">
        <f>N(AG190)+AF191</f>
        <v/>
      </c>
      <c r="AH191" s="32">
        <f>IF(AF191=1,AG191,"")</f>
        <v/>
      </c>
      <c r="AI191" s="32">
        <f>IF(AND(TRIM(A191&amp;"")&lt;&gt;"",L191&amp;""&lt;&gt;"",L191&amp;""=Seating!$I$3&amp;"",B191&lt;&gt;"Declined"),1,0)</f>
        <v/>
      </c>
      <c r="AJ191" s="32">
        <f>N(AJ190)+AI191</f>
        <v/>
      </c>
      <c r="AK191" s="32">
        <f>IF(AI191=1,AJ191,"")</f>
        <v/>
      </c>
    </row>
    <row r="192">
      <c r="A192" s="10" t="n"/>
      <c r="B192" s="47">
        <f>IF(TRIM(A192&amp;"")="","",IF(W192&lt;&gt;"",W192,IF(I192="","Awaiting",I192)))</f>
        <v/>
      </c>
      <c r="C192" s="60">
        <f>IF(OR(B192="Awaiting",B192="Not sure yet"),IF(AD192&lt;&gt;"",HYPERLINK(AD192,"💬 Remind"),"add mobile"),"")</f>
        <v/>
      </c>
      <c r="D192" s="58" t="n"/>
      <c r="E192" s="10" t="n"/>
      <c r="F192" s="10" t="n"/>
      <c r="G192" s="10" t="n"/>
      <c r="H192" s="10" t="n"/>
      <c r="I192" s="10" t="n"/>
      <c r="J192" s="10" t="n"/>
      <c r="K192" s="10" t="n"/>
      <c r="L192" s="56" t="n"/>
      <c r="M192" s="10" t="n"/>
      <c r="N192" s="12" t="n"/>
      <c r="O192" s="10" t="n"/>
      <c r="P192" s="10" t="n"/>
      <c r="Q192" s="61">
        <f>IF(V192="","",IF(T192="","Covered by "&amp;INDEX('Form Calc'!$B:$B,V192)&amp;"'s reply (same party)","Replied "&amp;TEXT(INDEX('Form Calc'!$A:$A,T192),"mm/dd")&amp;" · "&amp;INDEX('Form Calc'!$H:$H,T192)&amp;" adult(s), "&amp;INDEX('Form Calc'!$I:$I,T192)&amp;" child(ren)"&amp;IF(INDEX('Form Calc'!$K:$K,T192)&lt;&gt;""," · "&amp;INDEX('Form Calc'!$K:$K,T192),"")&amp;IF(INDEX('Form Calc'!$M:$M,T192)&lt;&gt;""," · “"&amp;INDEX('Form Calc'!$M:$M,T192)&amp;"”","")))</f>
        <v/>
      </c>
      <c r="R192" s="32">
        <f>SUBSTITUTE(SUBSTITUTE(SUBSTITUTE(SUBSTITUTE(SUBSTITUTE(SUBSTITUTE(SUBSTITUTE(SUBSTITUTE(D192&amp;""," ",""),"-",""),"(",""),")",""),".",""),"+",""),"/",""),CHAR(160),"")</f>
        <v/>
      </c>
      <c r="S192" s="32">
        <f>IF(LEN(R192)&gt;=10,RIGHT(R192,10),R192)</f>
        <v/>
      </c>
      <c r="T192" s="32">
        <f>IF(TRIM(A192&amp;"")="","",IF(S192&lt;&gt;"",IFERROR(MATCH(S192,'Form Calc'!$P:$P,0),IFERROR(MATCH(TRIM(A192&amp;""),'Form Calc'!$Q:$Q,0),"")),IFERROR(MATCH(TRIM(A192&amp;""),'Form Calc'!$Q:$Q,0),"")))</f>
        <v/>
      </c>
      <c r="U192" s="32">
        <f>IF(AND(T192&lt;&gt;"",TRIM(E192&amp;"")&lt;&gt;""),TRIM(E192&amp;""),"")</f>
        <v/>
      </c>
      <c r="V192" s="32">
        <f>IF(TRIM(A192&amp;"")="","",IF(T192&lt;&gt;"",T192,IF(TRIM(E192&amp;"")="","",IFERROR(INDEX($T$6:$T$505,MATCH(TRIM(E192&amp;""),$U$6:$U$505,0)),""))))</f>
        <v/>
      </c>
      <c r="W192" s="32">
        <f>IF(V192="","",INDEX('Form Calc'!$G:$G,V192))</f>
        <v/>
      </c>
      <c r="X192" s="32">
        <f>IF(TRIM(A192&amp;"")="","",IF(T192&lt;&gt;"",IF(INDEX('Form Calc'!$K:$K,T192)&lt;&gt;"",INDEX('Form Calc'!$K:$K,T192),J192&amp;""),J192&amp;""))</f>
        <v/>
      </c>
      <c r="Y192" s="32">
        <f>IF(TRIM(A192&amp;"")="","",IF(TRIM(D192&amp;"")&lt;&gt;"",TRIM(D192&amp;""),IF(T192&lt;&gt;"",INDEX('Form Calc'!$C:$C,T192)&amp;"","")))</f>
        <v/>
      </c>
      <c r="Z192" s="32">
        <f>SUBSTITUTE(SUBSTITUTE(SUBSTITUTE(SUBSTITUTE(SUBSTITUTE(SUBSTITUTE(SUBSTITUTE(SUBSTITUTE(Y192," ",""),"-",""),"(",""),")",""),".",""),"+",""),"/",""),CHAR(160),"")</f>
        <v/>
      </c>
      <c r="AA192" s="32">
        <f>IF(Z192="","",IF(LEN(Z192)=10,"+1"&amp;Z192,IF(AND(LEN(Z192)=11,LEFT(Z192,1)="1"),"+"&amp;Z192,IF(LEFT(Y192,1)="+","+"&amp;Z192,Z192))))</f>
        <v/>
      </c>
      <c r="AB192" s="32">
        <f>IF(TRIM(A192&amp;"")="","",IF(TRIM(M192&amp;"")&lt;&gt;"",TRIM(M192&amp;""),IFERROR(LEFT(TRIM(A192&amp;""),FIND(" ",TRIM(A192&amp;""))-1),TRIM(A192&amp;""))))</f>
        <v/>
      </c>
      <c r="AC192" s="32">
        <f>SUBSTITUTE(SUBSTITUTE(SUBSTITUTE(SUBSTITUTE(SUBSTITUTE(SUBSTITUTE(SUBSTITUTE(SUBSTITUTE(SUBSTITUTE(SUBSTITUTE(AB192,"%","%25"),"&amp;","%26"),"#","%23"),"+","%2B"),"=","%3D"),"?","%3F"),CHAR(34),"%22"),CHAR(10),"%0A"),CHAR(13),"")," ","+")</f>
        <v/>
      </c>
      <c r="AD192" s="32">
        <f>IF(OR(AA192="",AB192=""),"",'Start Here'!$B$20&amp;"#p="&amp;SUBSTITUTE(AA192,"+","%2B")&amp;"&amp;n="&amp;AC192&amp;"&amp;m="&amp;SUBSTITUTE('Start Here'!$B$24,"{name}",AC192))</f>
        <v/>
      </c>
      <c r="AE192" s="32">
        <f>LEN(AD192)</f>
        <v/>
      </c>
      <c r="AF192" s="32">
        <f>IF(AND(TRIM(A192&amp;"")&lt;&gt;"",OR(B192="Awaiting",B192="Not sure yet")),1,0)</f>
        <v/>
      </c>
      <c r="AG192" s="32">
        <f>N(AG191)+AF192</f>
        <v/>
      </c>
      <c r="AH192" s="32">
        <f>IF(AF192=1,AG192,"")</f>
        <v/>
      </c>
      <c r="AI192" s="32">
        <f>IF(AND(TRIM(A192&amp;"")&lt;&gt;"",L192&amp;""&lt;&gt;"",L192&amp;""=Seating!$I$3&amp;"",B192&lt;&gt;"Declined"),1,0)</f>
        <v/>
      </c>
      <c r="AJ192" s="32">
        <f>N(AJ191)+AI192</f>
        <v/>
      </c>
      <c r="AK192" s="32">
        <f>IF(AI192=1,AJ192,"")</f>
        <v/>
      </c>
    </row>
    <row r="193">
      <c r="A193" s="10" t="n"/>
      <c r="B193" s="47">
        <f>IF(TRIM(A193&amp;"")="","",IF(W193&lt;&gt;"",W193,IF(I193="","Awaiting",I193)))</f>
        <v/>
      </c>
      <c r="C193" s="60">
        <f>IF(OR(B193="Awaiting",B193="Not sure yet"),IF(AD193&lt;&gt;"",HYPERLINK(AD193,"💬 Remind"),"add mobile"),"")</f>
        <v/>
      </c>
      <c r="D193" s="58" t="n"/>
      <c r="E193" s="10" t="n"/>
      <c r="F193" s="10" t="n"/>
      <c r="G193" s="10" t="n"/>
      <c r="H193" s="10" t="n"/>
      <c r="I193" s="10" t="n"/>
      <c r="J193" s="10" t="n"/>
      <c r="K193" s="10" t="n"/>
      <c r="L193" s="56" t="n"/>
      <c r="M193" s="10" t="n"/>
      <c r="N193" s="12" t="n"/>
      <c r="O193" s="10" t="n"/>
      <c r="P193" s="10" t="n"/>
      <c r="Q193" s="61">
        <f>IF(V193="","",IF(T193="","Covered by "&amp;INDEX('Form Calc'!$B:$B,V193)&amp;"'s reply (same party)","Replied "&amp;TEXT(INDEX('Form Calc'!$A:$A,T193),"mm/dd")&amp;" · "&amp;INDEX('Form Calc'!$H:$H,T193)&amp;" adult(s), "&amp;INDEX('Form Calc'!$I:$I,T193)&amp;" child(ren)"&amp;IF(INDEX('Form Calc'!$K:$K,T193)&lt;&gt;""," · "&amp;INDEX('Form Calc'!$K:$K,T193),"")&amp;IF(INDEX('Form Calc'!$M:$M,T193)&lt;&gt;""," · “"&amp;INDEX('Form Calc'!$M:$M,T193)&amp;"”","")))</f>
        <v/>
      </c>
      <c r="R193" s="32">
        <f>SUBSTITUTE(SUBSTITUTE(SUBSTITUTE(SUBSTITUTE(SUBSTITUTE(SUBSTITUTE(SUBSTITUTE(SUBSTITUTE(D193&amp;""," ",""),"-",""),"(",""),")",""),".",""),"+",""),"/",""),CHAR(160),"")</f>
        <v/>
      </c>
      <c r="S193" s="32">
        <f>IF(LEN(R193)&gt;=10,RIGHT(R193,10),R193)</f>
        <v/>
      </c>
      <c r="T193" s="32">
        <f>IF(TRIM(A193&amp;"")="","",IF(S193&lt;&gt;"",IFERROR(MATCH(S193,'Form Calc'!$P:$P,0),IFERROR(MATCH(TRIM(A193&amp;""),'Form Calc'!$Q:$Q,0),"")),IFERROR(MATCH(TRIM(A193&amp;""),'Form Calc'!$Q:$Q,0),"")))</f>
        <v/>
      </c>
      <c r="U193" s="32">
        <f>IF(AND(T193&lt;&gt;"",TRIM(E193&amp;"")&lt;&gt;""),TRIM(E193&amp;""),"")</f>
        <v/>
      </c>
      <c r="V193" s="32">
        <f>IF(TRIM(A193&amp;"")="","",IF(T193&lt;&gt;"",T193,IF(TRIM(E193&amp;"")="","",IFERROR(INDEX($T$6:$T$505,MATCH(TRIM(E193&amp;""),$U$6:$U$505,0)),""))))</f>
        <v/>
      </c>
      <c r="W193" s="32">
        <f>IF(V193="","",INDEX('Form Calc'!$G:$G,V193))</f>
        <v/>
      </c>
      <c r="X193" s="32">
        <f>IF(TRIM(A193&amp;"")="","",IF(T193&lt;&gt;"",IF(INDEX('Form Calc'!$K:$K,T193)&lt;&gt;"",INDEX('Form Calc'!$K:$K,T193),J193&amp;""),J193&amp;""))</f>
        <v/>
      </c>
      <c r="Y193" s="32">
        <f>IF(TRIM(A193&amp;"")="","",IF(TRIM(D193&amp;"")&lt;&gt;"",TRIM(D193&amp;""),IF(T193&lt;&gt;"",INDEX('Form Calc'!$C:$C,T193)&amp;"","")))</f>
        <v/>
      </c>
      <c r="Z193" s="32">
        <f>SUBSTITUTE(SUBSTITUTE(SUBSTITUTE(SUBSTITUTE(SUBSTITUTE(SUBSTITUTE(SUBSTITUTE(SUBSTITUTE(Y193," ",""),"-",""),"(",""),")",""),".",""),"+",""),"/",""),CHAR(160),"")</f>
        <v/>
      </c>
      <c r="AA193" s="32">
        <f>IF(Z193="","",IF(LEN(Z193)=10,"+1"&amp;Z193,IF(AND(LEN(Z193)=11,LEFT(Z193,1)="1"),"+"&amp;Z193,IF(LEFT(Y193,1)="+","+"&amp;Z193,Z193))))</f>
        <v/>
      </c>
      <c r="AB193" s="32">
        <f>IF(TRIM(A193&amp;"")="","",IF(TRIM(M193&amp;"")&lt;&gt;"",TRIM(M193&amp;""),IFERROR(LEFT(TRIM(A193&amp;""),FIND(" ",TRIM(A193&amp;""))-1),TRIM(A193&amp;""))))</f>
        <v/>
      </c>
      <c r="AC193" s="32">
        <f>SUBSTITUTE(SUBSTITUTE(SUBSTITUTE(SUBSTITUTE(SUBSTITUTE(SUBSTITUTE(SUBSTITUTE(SUBSTITUTE(SUBSTITUTE(SUBSTITUTE(AB193,"%","%25"),"&amp;","%26"),"#","%23"),"+","%2B"),"=","%3D"),"?","%3F"),CHAR(34),"%22"),CHAR(10),"%0A"),CHAR(13),"")," ","+")</f>
        <v/>
      </c>
      <c r="AD193" s="32">
        <f>IF(OR(AA193="",AB193=""),"",'Start Here'!$B$20&amp;"#p="&amp;SUBSTITUTE(AA193,"+","%2B")&amp;"&amp;n="&amp;AC193&amp;"&amp;m="&amp;SUBSTITUTE('Start Here'!$B$24,"{name}",AC193))</f>
        <v/>
      </c>
      <c r="AE193" s="32">
        <f>LEN(AD193)</f>
        <v/>
      </c>
      <c r="AF193" s="32">
        <f>IF(AND(TRIM(A193&amp;"")&lt;&gt;"",OR(B193="Awaiting",B193="Not sure yet")),1,0)</f>
        <v/>
      </c>
      <c r="AG193" s="32">
        <f>N(AG192)+AF193</f>
        <v/>
      </c>
      <c r="AH193" s="32">
        <f>IF(AF193=1,AG193,"")</f>
        <v/>
      </c>
      <c r="AI193" s="32">
        <f>IF(AND(TRIM(A193&amp;"")&lt;&gt;"",L193&amp;""&lt;&gt;"",L193&amp;""=Seating!$I$3&amp;"",B193&lt;&gt;"Declined"),1,0)</f>
        <v/>
      </c>
      <c r="AJ193" s="32">
        <f>N(AJ192)+AI193</f>
        <v/>
      </c>
      <c r="AK193" s="32">
        <f>IF(AI193=1,AJ193,"")</f>
        <v/>
      </c>
    </row>
    <row r="194">
      <c r="A194" s="10" t="n"/>
      <c r="B194" s="47">
        <f>IF(TRIM(A194&amp;"")="","",IF(W194&lt;&gt;"",W194,IF(I194="","Awaiting",I194)))</f>
        <v/>
      </c>
      <c r="C194" s="60">
        <f>IF(OR(B194="Awaiting",B194="Not sure yet"),IF(AD194&lt;&gt;"",HYPERLINK(AD194,"💬 Remind"),"add mobile"),"")</f>
        <v/>
      </c>
      <c r="D194" s="58" t="n"/>
      <c r="E194" s="10" t="n"/>
      <c r="F194" s="10" t="n"/>
      <c r="G194" s="10" t="n"/>
      <c r="H194" s="10" t="n"/>
      <c r="I194" s="10" t="n"/>
      <c r="J194" s="10" t="n"/>
      <c r="K194" s="10" t="n"/>
      <c r="L194" s="56" t="n"/>
      <c r="M194" s="10" t="n"/>
      <c r="N194" s="12" t="n"/>
      <c r="O194" s="10" t="n"/>
      <c r="P194" s="10" t="n"/>
      <c r="Q194" s="61">
        <f>IF(V194="","",IF(T194="","Covered by "&amp;INDEX('Form Calc'!$B:$B,V194)&amp;"'s reply (same party)","Replied "&amp;TEXT(INDEX('Form Calc'!$A:$A,T194),"mm/dd")&amp;" · "&amp;INDEX('Form Calc'!$H:$H,T194)&amp;" adult(s), "&amp;INDEX('Form Calc'!$I:$I,T194)&amp;" child(ren)"&amp;IF(INDEX('Form Calc'!$K:$K,T194)&lt;&gt;""," · "&amp;INDEX('Form Calc'!$K:$K,T194),"")&amp;IF(INDEX('Form Calc'!$M:$M,T194)&lt;&gt;""," · “"&amp;INDEX('Form Calc'!$M:$M,T194)&amp;"”","")))</f>
        <v/>
      </c>
      <c r="R194" s="32">
        <f>SUBSTITUTE(SUBSTITUTE(SUBSTITUTE(SUBSTITUTE(SUBSTITUTE(SUBSTITUTE(SUBSTITUTE(SUBSTITUTE(D194&amp;""," ",""),"-",""),"(",""),")",""),".",""),"+",""),"/",""),CHAR(160),"")</f>
        <v/>
      </c>
      <c r="S194" s="32">
        <f>IF(LEN(R194)&gt;=10,RIGHT(R194,10),R194)</f>
        <v/>
      </c>
      <c r="T194" s="32">
        <f>IF(TRIM(A194&amp;"")="","",IF(S194&lt;&gt;"",IFERROR(MATCH(S194,'Form Calc'!$P:$P,0),IFERROR(MATCH(TRIM(A194&amp;""),'Form Calc'!$Q:$Q,0),"")),IFERROR(MATCH(TRIM(A194&amp;""),'Form Calc'!$Q:$Q,0),"")))</f>
        <v/>
      </c>
      <c r="U194" s="32">
        <f>IF(AND(T194&lt;&gt;"",TRIM(E194&amp;"")&lt;&gt;""),TRIM(E194&amp;""),"")</f>
        <v/>
      </c>
      <c r="V194" s="32">
        <f>IF(TRIM(A194&amp;"")="","",IF(T194&lt;&gt;"",T194,IF(TRIM(E194&amp;"")="","",IFERROR(INDEX($T$6:$T$505,MATCH(TRIM(E194&amp;""),$U$6:$U$505,0)),""))))</f>
        <v/>
      </c>
      <c r="W194" s="32">
        <f>IF(V194="","",INDEX('Form Calc'!$G:$G,V194))</f>
        <v/>
      </c>
      <c r="X194" s="32">
        <f>IF(TRIM(A194&amp;"")="","",IF(T194&lt;&gt;"",IF(INDEX('Form Calc'!$K:$K,T194)&lt;&gt;"",INDEX('Form Calc'!$K:$K,T194),J194&amp;""),J194&amp;""))</f>
        <v/>
      </c>
      <c r="Y194" s="32">
        <f>IF(TRIM(A194&amp;"")="","",IF(TRIM(D194&amp;"")&lt;&gt;"",TRIM(D194&amp;""),IF(T194&lt;&gt;"",INDEX('Form Calc'!$C:$C,T194)&amp;"","")))</f>
        <v/>
      </c>
      <c r="Z194" s="32">
        <f>SUBSTITUTE(SUBSTITUTE(SUBSTITUTE(SUBSTITUTE(SUBSTITUTE(SUBSTITUTE(SUBSTITUTE(SUBSTITUTE(Y194," ",""),"-",""),"(",""),")",""),".",""),"+",""),"/",""),CHAR(160),"")</f>
        <v/>
      </c>
      <c r="AA194" s="32">
        <f>IF(Z194="","",IF(LEN(Z194)=10,"+1"&amp;Z194,IF(AND(LEN(Z194)=11,LEFT(Z194,1)="1"),"+"&amp;Z194,IF(LEFT(Y194,1)="+","+"&amp;Z194,Z194))))</f>
        <v/>
      </c>
      <c r="AB194" s="32">
        <f>IF(TRIM(A194&amp;"")="","",IF(TRIM(M194&amp;"")&lt;&gt;"",TRIM(M194&amp;""),IFERROR(LEFT(TRIM(A194&amp;""),FIND(" ",TRIM(A194&amp;""))-1),TRIM(A194&amp;""))))</f>
        <v/>
      </c>
      <c r="AC194" s="32">
        <f>SUBSTITUTE(SUBSTITUTE(SUBSTITUTE(SUBSTITUTE(SUBSTITUTE(SUBSTITUTE(SUBSTITUTE(SUBSTITUTE(SUBSTITUTE(SUBSTITUTE(AB194,"%","%25"),"&amp;","%26"),"#","%23"),"+","%2B"),"=","%3D"),"?","%3F"),CHAR(34),"%22"),CHAR(10),"%0A"),CHAR(13),"")," ","+")</f>
        <v/>
      </c>
      <c r="AD194" s="32">
        <f>IF(OR(AA194="",AB194=""),"",'Start Here'!$B$20&amp;"#p="&amp;SUBSTITUTE(AA194,"+","%2B")&amp;"&amp;n="&amp;AC194&amp;"&amp;m="&amp;SUBSTITUTE('Start Here'!$B$24,"{name}",AC194))</f>
        <v/>
      </c>
      <c r="AE194" s="32">
        <f>LEN(AD194)</f>
        <v/>
      </c>
      <c r="AF194" s="32">
        <f>IF(AND(TRIM(A194&amp;"")&lt;&gt;"",OR(B194="Awaiting",B194="Not sure yet")),1,0)</f>
        <v/>
      </c>
      <c r="AG194" s="32">
        <f>N(AG193)+AF194</f>
        <v/>
      </c>
      <c r="AH194" s="32">
        <f>IF(AF194=1,AG194,"")</f>
        <v/>
      </c>
      <c r="AI194" s="32">
        <f>IF(AND(TRIM(A194&amp;"")&lt;&gt;"",L194&amp;""&lt;&gt;"",L194&amp;""=Seating!$I$3&amp;"",B194&lt;&gt;"Declined"),1,0)</f>
        <v/>
      </c>
      <c r="AJ194" s="32">
        <f>N(AJ193)+AI194</f>
        <v/>
      </c>
      <c r="AK194" s="32">
        <f>IF(AI194=1,AJ194,"")</f>
        <v/>
      </c>
    </row>
    <row r="195">
      <c r="A195" s="10" t="n"/>
      <c r="B195" s="47">
        <f>IF(TRIM(A195&amp;"")="","",IF(W195&lt;&gt;"",W195,IF(I195="","Awaiting",I195)))</f>
        <v/>
      </c>
      <c r="C195" s="60">
        <f>IF(OR(B195="Awaiting",B195="Not sure yet"),IF(AD195&lt;&gt;"",HYPERLINK(AD195,"💬 Remind"),"add mobile"),"")</f>
        <v/>
      </c>
      <c r="D195" s="58" t="n"/>
      <c r="E195" s="10" t="n"/>
      <c r="F195" s="10" t="n"/>
      <c r="G195" s="10" t="n"/>
      <c r="H195" s="10" t="n"/>
      <c r="I195" s="10" t="n"/>
      <c r="J195" s="10" t="n"/>
      <c r="K195" s="10" t="n"/>
      <c r="L195" s="56" t="n"/>
      <c r="M195" s="10" t="n"/>
      <c r="N195" s="12" t="n"/>
      <c r="O195" s="10" t="n"/>
      <c r="P195" s="10" t="n"/>
      <c r="Q195" s="61">
        <f>IF(V195="","",IF(T195="","Covered by "&amp;INDEX('Form Calc'!$B:$B,V195)&amp;"'s reply (same party)","Replied "&amp;TEXT(INDEX('Form Calc'!$A:$A,T195),"mm/dd")&amp;" · "&amp;INDEX('Form Calc'!$H:$H,T195)&amp;" adult(s), "&amp;INDEX('Form Calc'!$I:$I,T195)&amp;" child(ren)"&amp;IF(INDEX('Form Calc'!$K:$K,T195)&lt;&gt;""," · "&amp;INDEX('Form Calc'!$K:$K,T195),"")&amp;IF(INDEX('Form Calc'!$M:$M,T195)&lt;&gt;""," · “"&amp;INDEX('Form Calc'!$M:$M,T195)&amp;"”","")))</f>
        <v/>
      </c>
      <c r="R195" s="32">
        <f>SUBSTITUTE(SUBSTITUTE(SUBSTITUTE(SUBSTITUTE(SUBSTITUTE(SUBSTITUTE(SUBSTITUTE(SUBSTITUTE(D195&amp;""," ",""),"-",""),"(",""),")",""),".",""),"+",""),"/",""),CHAR(160),"")</f>
        <v/>
      </c>
      <c r="S195" s="32">
        <f>IF(LEN(R195)&gt;=10,RIGHT(R195,10),R195)</f>
        <v/>
      </c>
      <c r="T195" s="32">
        <f>IF(TRIM(A195&amp;"")="","",IF(S195&lt;&gt;"",IFERROR(MATCH(S195,'Form Calc'!$P:$P,0),IFERROR(MATCH(TRIM(A195&amp;""),'Form Calc'!$Q:$Q,0),"")),IFERROR(MATCH(TRIM(A195&amp;""),'Form Calc'!$Q:$Q,0),"")))</f>
        <v/>
      </c>
      <c r="U195" s="32">
        <f>IF(AND(T195&lt;&gt;"",TRIM(E195&amp;"")&lt;&gt;""),TRIM(E195&amp;""),"")</f>
        <v/>
      </c>
      <c r="V195" s="32">
        <f>IF(TRIM(A195&amp;"")="","",IF(T195&lt;&gt;"",T195,IF(TRIM(E195&amp;"")="","",IFERROR(INDEX($T$6:$T$505,MATCH(TRIM(E195&amp;""),$U$6:$U$505,0)),""))))</f>
        <v/>
      </c>
      <c r="W195" s="32">
        <f>IF(V195="","",INDEX('Form Calc'!$G:$G,V195))</f>
        <v/>
      </c>
      <c r="X195" s="32">
        <f>IF(TRIM(A195&amp;"")="","",IF(T195&lt;&gt;"",IF(INDEX('Form Calc'!$K:$K,T195)&lt;&gt;"",INDEX('Form Calc'!$K:$K,T195),J195&amp;""),J195&amp;""))</f>
        <v/>
      </c>
      <c r="Y195" s="32">
        <f>IF(TRIM(A195&amp;"")="","",IF(TRIM(D195&amp;"")&lt;&gt;"",TRIM(D195&amp;""),IF(T195&lt;&gt;"",INDEX('Form Calc'!$C:$C,T195)&amp;"","")))</f>
        <v/>
      </c>
      <c r="Z195" s="32">
        <f>SUBSTITUTE(SUBSTITUTE(SUBSTITUTE(SUBSTITUTE(SUBSTITUTE(SUBSTITUTE(SUBSTITUTE(SUBSTITUTE(Y195," ",""),"-",""),"(",""),")",""),".",""),"+",""),"/",""),CHAR(160),"")</f>
        <v/>
      </c>
      <c r="AA195" s="32">
        <f>IF(Z195="","",IF(LEN(Z195)=10,"+1"&amp;Z195,IF(AND(LEN(Z195)=11,LEFT(Z195,1)="1"),"+"&amp;Z195,IF(LEFT(Y195,1)="+","+"&amp;Z195,Z195))))</f>
        <v/>
      </c>
      <c r="AB195" s="32">
        <f>IF(TRIM(A195&amp;"")="","",IF(TRIM(M195&amp;"")&lt;&gt;"",TRIM(M195&amp;""),IFERROR(LEFT(TRIM(A195&amp;""),FIND(" ",TRIM(A195&amp;""))-1),TRIM(A195&amp;""))))</f>
        <v/>
      </c>
      <c r="AC195" s="32">
        <f>SUBSTITUTE(SUBSTITUTE(SUBSTITUTE(SUBSTITUTE(SUBSTITUTE(SUBSTITUTE(SUBSTITUTE(SUBSTITUTE(SUBSTITUTE(SUBSTITUTE(AB195,"%","%25"),"&amp;","%26"),"#","%23"),"+","%2B"),"=","%3D"),"?","%3F"),CHAR(34),"%22"),CHAR(10),"%0A"),CHAR(13),"")," ","+")</f>
        <v/>
      </c>
      <c r="AD195" s="32">
        <f>IF(OR(AA195="",AB195=""),"",'Start Here'!$B$20&amp;"#p="&amp;SUBSTITUTE(AA195,"+","%2B")&amp;"&amp;n="&amp;AC195&amp;"&amp;m="&amp;SUBSTITUTE('Start Here'!$B$24,"{name}",AC195))</f>
        <v/>
      </c>
      <c r="AE195" s="32">
        <f>LEN(AD195)</f>
        <v/>
      </c>
      <c r="AF195" s="32">
        <f>IF(AND(TRIM(A195&amp;"")&lt;&gt;"",OR(B195="Awaiting",B195="Not sure yet")),1,0)</f>
        <v/>
      </c>
      <c r="AG195" s="32">
        <f>N(AG194)+AF195</f>
        <v/>
      </c>
      <c r="AH195" s="32">
        <f>IF(AF195=1,AG195,"")</f>
        <v/>
      </c>
      <c r="AI195" s="32">
        <f>IF(AND(TRIM(A195&amp;"")&lt;&gt;"",L195&amp;""&lt;&gt;"",L195&amp;""=Seating!$I$3&amp;"",B195&lt;&gt;"Declined"),1,0)</f>
        <v/>
      </c>
      <c r="AJ195" s="32">
        <f>N(AJ194)+AI195</f>
        <v/>
      </c>
      <c r="AK195" s="32">
        <f>IF(AI195=1,AJ195,"")</f>
        <v/>
      </c>
    </row>
    <row r="196">
      <c r="A196" s="10" t="n"/>
      <c r="B196" s="47">
        <f>IF(TRIM(A196&amp;"")="","",IF(W196&lt;&gt;"",W196,IF(I196="","Awaiting",I196)))</f>
        <v/>
      </c>
      <c r="C196" s="60">
        <f>IF(OR(B196="Awaiting",B196="Not sure yet"),IF(AD196&lt;&gt;"",HYPERLINK(AD196,"💬 Remind"),"add mobile"),"")</f>
        <v/>
      </c>
      <c r="D196" s="58" t="n"/>
      <c r="E196" s="10" t="n"/>
      <c r="F196" s="10" t="n"/>
      <c r="G196" s="10" t="n"/>
      <c r="H196" s="10" t="n"/>
      <c r="I196" s="10" t="n"/>
      <c r="J196" s="10" t="n"/>
      <c r="K196" s="10" t="n"/>
      <c r="L196" s="56" t="n"/>
      <c r="M196" s="10" t="n"/>
      <c r="N196" s="12" t="n"/>
      <c r="O196" s="10" t="n"/>
      <c r="P196" s="10" t="n"/>
      <c r="Q196" s="61">
        <f>IF(V196="","",IF(T196="","Covered by "&amp;INDEX('Form Calc'!$B:$B,V196)&amp;"'s reply (same party)","Replied "&amp;TEXT(INDEX('Form Calc'!$A:$A,T196),"mm/dd")&amp;" · "&amp;INDEX('Form Calc'!$H:$H,T196)&amp;" adult(s), "&amp;INDEX('Form Calc'!$I:$I,T196)&amp;" child(ren)"&amp;IF(INDEX('Form Calc'!$K:$K,T196)&lt;&gt;""," · "&amp;INDEX('Form Calc'!$K:$K,T196),"")&amp;IF(INDEX('Form Calc'!$M:$M,T196)&lt;&gt;""," · “"&amp;INDEX('Form Calc'!$M:$M,T196)&amp;"”","")))</f>
        <v/>
      </c>
      <c r="R196" s="32">
        <f>SUBSTITUTE(SUBSTITUTE(SUBSTITUTE(SUBSTITUTE(SUBSTITUTE(SUBSTITUTE(SUBSTITUTE(SUBSTITUTE(D196&amp;""," ",""),"-",""),"(",""),")",""),".",""),"+",""),"/",""),CHAR(160),"")</f>
        <v/>
      </c>
      <c r="S196" s="32">
        <f>IF(LEN(R196)&gt;=10,RIGHT(R196,10),R196)</f>
        <v/>
      </c>
      <c r="T196" s="32">
        <f>IF(TRIM(A196&amp;"")="","",IF(S196&lt;&gt;"",IFERROR(MATCH(S196,'Form Calc'!$P:$P,0),IFERROR(MATCH(TRIM(A196&amp;""),'Form Calc'!$Q:$Q,0),"")),IFERROR(MATCH(TRIM(A196&amp;""),'Form Calc'!$Q:$Q,0),"")))</f>
        <v/>
      </c>
      <c r="U196" s="32">
        <f>IF(AND(T196&lt;&gt;"",TRIM(E196&amp;"")&lt;&gt;""),TRIM(E196&amp;""),"")</f>
        <v/>
      </c>
      <c r="V196" s="32">
        <f>IF(TRIM(A196&amp;"")="","",IF(T196&lt;&gt;"",T196,IF(TRIM(E196&amp;"")="","",IFERROR(INDEX($T$6:$T$505,MATCH(TRIM(E196&amp;""),$U$6:$U$505,0)),""))))</f>
        <v/>
      </c>
      <c r="W196" s="32">
        <f>IF(V196="","",INDEX('Form Calc'!$G:$G,V196))</f>
        <v/>
      </c>
      <c r="X196" s="32">
        <f>IF(TRIM(A196&amp;"")="","",IF(T196&lt;&gt;"",IF(INDEX('Form Calc'!$K:$K,T196)&lt;&gt;"",INDEX('Form Calc'!$K:$K,T196),J196&amp;""),J196&amp;""))</f>
        <v/>
      </c>
      <c r="Y196" s="32">
        <f>IF(TRIM(A196&amp;"")="","",IF(TRIM(D196&amp;"")&lt;&gt;"",TRIM(D196&amp;""),IF(T196&lt;&gt;"",INDEX('Form Calc'!$C:$C,T196)&amp;"","")))</f>
        <v/>
      </c>
      <c r="Z196" s="32">
        <f>SUBSTITUTE(SUBSTITUTE(SUBSTITUTE(SUBSTITUTE(SUBSTITUTE(SUBSTITUTE(SUBSTITUTE(SUBSTITUTE(Y196," ",""),"-",""),"(",""),")",""),".",""),"+",""),"/",""),CHAR(160),"")</f>
        <v/>
      </c>
      <c r="AA196" s="32">
        <f>IF(Z196="","",IF(LEN(Z196)=10,"+1"&amp;Z196,IF(AND(LEN(Z196)=11,LEFT(Z196,1)="1"),"+"&amp;Z196,IF(LEFT(Y196,1)="+","+"&amp;Z196,Z196))))</f>
        <v/>
      </c>
      <c r="AB196" s="32">
        <f>IF(TRIM(A196&amp;"")="","",IF(TRIM(M196&amp;"")&lt;&gt;"",TRIM(M196&amp;""),IFERROR(LEFT(TRIM(A196&amp;""),FIND(" ",TRIM(A196&amp;""))-1),TRIM(A196&amp;""))))</f>
        <v/>
      </c>
      <c r="AC196" s="32">
        <f>SUBSTITUTE(SUBSTITUTE(SUBSTITUTE(SUBSTITUTE(SUBSTITUTE(SUBSTITUTE(SUBSTITUTE(SUBSTITUTE(SUBSTITUTE(SUBSTITUTE(AB196,"%","%25"),"&amp;","%26"),"#","%23"),"+","%2B"),"=","%3D"),"?","%3F"),CHAR(34),"%22"),CHAR(10),"%0A"),CHAR(13),"")," ","+")</f>
        <v/>
      </c>
      <c r="AD196" s="32">
        <f>IF(OR(AA196="",AB196=""),"",'Start Here'!$B$20&amp;"#p="&amp;SUBSTITUTE(AA196,"+","%2B")&amp;"&amp;n="&amp;AC196&amp;"&amp;m="&amp;SUBSTITUTE('Start Here'!$B$24,"{name}",AC196))</f>
        <v/>
      </c>
      <c r="AE196" s="32">
        <f>LEN(AD196)</f>
        <v/>
      </c>
      <c r="AF196" s="32">
        <f>IF(AND(TRIM(A196&amp;"")&lt;&gt;"",OR(B196="Awaiting",B196="Not sure yet")),1,0)</f>
        <v/>
      </c>
      <c r="AG196" s="32">
        <f>N(AG195)+AF196</f>
        <v/>
      </c>
      <c r="AH196" s="32">
        <f>IF(AF196=1,AG196,"")</f>
        <v/>
      </c>
      <c r="AI196" s="32">
        <f>IF(AND(TRIM(A196&amp;"")&lt;&gt;"",L196&amp;""&lt;&gt;"",L196&amp;""=Seating!$I$3&amp;"",B196&lt;&gt;"Declined"),1,0)</f>
        <v/>
      </c>
      <c r="AJ196" s="32">
        <f>N(AJ195)+AI196</f>
        <v/>
      </c>
      <c r="AK196" s="32">
        <f>IF(AI196=1,AJ196,"")</f>
        <v/>
      </c>
    </row>
    <row r="197">
      <c r="A197" s="10" t="n"/>
      <c r="B197" s="47">
        <f>IF(TRIM(A197&amp;"")="","",IF(W197&lt;&gt;"",W197,IF(I197="","Awaiting",I197)))</f>
        <v/>
      </c>
      <c r="C197" s="60">
        <f>IF(OR(B197="Awaiting",B197="Not sure yet"),IF(AD197&lt;&gt;"",HYPERLINK(AD197,"💬 Remind"),"add mobile"),"")</f>
        <v/>
      </c>
      <c r="D197" s="58" t="n"/>
      <c r="E197" s="10" t="n"/>
      <c r="F197" s="10" t="n"/>
      <c r="G197" s="10" t="n"/>
      <c r="H197" s="10" t="n"/>
      <c r="I197" s="10" t="n"/>
      <c r="J197" s="10" t="n"/>
      <c r="K197" s="10" t="n"/>
      <c r="L197" s="56" t="n"/>
      <c r="M197" s="10" t="n"/>
      <c r="N197" s="12" t="n"/>
      <c r="O197" s="10" t="n"/>
      <c r="P197" s="10" t="n"/>
      <c r="Q197" s="61">
        <f>IF(V197="","",IF(T197="","Covered by "&amp;INDEX('Form Calc'!$B:$B,V197)&amp;"'s reply (same party)","Replied "&amp;TEXT(INDEX('Form Calc'!$A:$A,T197),"mm/dd")&amp;" · "&amp;INDEX('Form Calc'!$H:$H,T197)&amp;" adult(s), "&amp;INDEX('Form Calc'!$I:$I,T197)&amp;" child(ren)"&amp;IF(INDEX('Form Calc'!$K:$K,T197)&lt;&gt;""," · "&amp;INDEX('Form Calc'!$K:$K,T197),"")&amp;IF(INDEX('Form Calc'!$M:$M,T197)&lt;&gt;""," · “"&amp;INDEX('Form Calc'!$M:$M,T197)&amp;"”","")))</f>
        <v/>
      </c>
      <c r="R197" s="32">
        <f>SUBSTITUTE(SUBSTITUTE(SUBSTITUTE(SUBSTITUTE(SUBSTITUTE(SUBSTITUTE(SUBSTITUTE(SUBSTITUTE(D197&amp;""," ",""),"-",""),"(",""),")",""),".",""),"+",""),"/",""),CHAR(160),"")</f>
        <v/>
      </c>
      <c r="S197" s="32">
        <f>IF(LEN(R197)&gt;=10,RIGHT(R197,10),R197)</f>
        <v/>
      </c>
      <c r="T197" s="32">
        <f>IF(TRIM(A197&amp;"")="","",IF(S197&lt;&gt;"",IFERROR(MATCH(S197,'Form Calc'!$P:$P,0),IFERROR(MATCH(TRIM(A197&amp;""),'Form Calc'!$Q:$Q,0),"")),IFERROR(MATCH(TRIM(A197&amp;""),'Form Calc'!$Q:$Q,0),"")))</f>
        <v/>
      </c>
      <c r="U197" s="32">
        <f>IF(AND(T197&lt;&gt;"",TRIM(E197&amp;"")&lt;&gt;""),TRIM(E197&amp;""),"")</f>
        <v/>
      </c>
      <c r="V197" s="32">
        <f>IF(TRIM(A197&amp;"")="","",IF(T197&lt;&gt;"",T197,IF(TRIM(E197&amp;"")="","",IFERROR(INDEX($T$6:$T$505,MATCH(TRIM(E197&amp;""),$U$6:$U$505,0)),""))))</f>
        <v/>
      </c>
      <c r="W197" s="32">
        <f>IF(V197="","",INDEX('Form Calc'!$G:$G,V197))</f>
        <v/>
      </c>
      <c r="X197" s="32">
        <f>IF(TRIM(A197&amp;"")="","",IF(T197&lt;&gt;"",IF(INDEX('Form Calc'!$K:$K,T197)&lt;&gt;"",INDEX('Form Calc'!$K:$K,T197),J197&amp;""),J197&amp;""))</f>
        <v/>
      </c>
      <c r="Y197" s="32">
        <f>IF(TRIM(A197&amp;"")="","",IF(TRIM(D197&amp;"")&lt;&gt;"",TRIM(D197&amp;""),IF(T197&lt;&gt;"",INDEX('Form Calc'!$C:$C,T197)&amp;"","")))</f>
        <v/>
      </c>
      <c r="Z197" s="32">
        <f>SUBSTITUTE(SUBSTITUTE(SUBSTITUTE(SUBSTITUTE(SUBSTITUTE(SUBSTITUTE(SUBSTITUTE(SUBSTITUTE(Y197," ",""),"-",""),"(",""),")",""),".",""),"+",""),"/",""),CHAR(160),"")</f>
        <v/>
      </c>
      <c r="AA197" s="32">
        <f>IF(Z197="","",IF(LEN(Z197)=10,"+1"&amp;Z197,IF(AND(LEN(Z197)=11,LEFT(Z197,1)="1"),"+"&amp;Z197,IF(LEFT(Y197,1)="+","+"&amp;Z197,Z197))))</f>
        <v/>
      </c>
      <c r="AB197" s="32">
        <f>IF(TRIM(A197&amp;"")="","",IF(TRIM(M197&amp;"")&lt;&gt;"",TRIM(M197&amp;""),IFERROR(LEFT(TRIM(A197&amp;""),FIND(" ",TRIM(A197&amp;""))-1),TRIM(A197&amp;""))))</f>
        <v/>
      </c>
      <c r="AC197" s="32">
        <f>SUBSTITUTE(SUBSTITUTE(SUBSTITUTE(SUBSTITUTE(SUBSTITUTE(SUBSTITUTE(SUBSTITUTE(SUBSTITUTE(SUBSTITUTE(SUBSTITUTE(AB197,"%","%25"),"&amp;","%26"),"#","%23"),"+","%2B"),"=","%3D"),"?","%3F"),CHAR(34),"%22"),CHAR(10),"%0A"),CHAR(13),"")," ","+")</f>
        <v/>
      </c>
      <c r="AD197" s="32">
        <f>IF(OR(AA197="",AB197=""),"",'Start Here'!$B$20&amp;"#p="&amp;SUBSTITUTE(AA197,"+","%2B")&amp;"&amp;n="&amp;AC197&amp;"&amp;m="&amp;SUBSTITUTE('Start Here'!$B$24,"{name}",AC197))</f>
        <v/>
      </c>
      <c r="AE197" s="32">
        <f>LEN(AD197)</f>
        <v/>
      </c>
      <c r="AF197" s="32">
        <f>IF(AND(TRIM(A197&amp;"")&lt;&gt;"",OR(B197="Awaiting",B197="Not sure yet")),1,0)</f>
        <v/>
      </c>
      <c r="AG197" s="32">
        <f>N(AG196)+AF197</f>
        <v/>
      </c>
      <c r="AH197" s="32">
        <f>IF(AF197=1,AG197,"")</f>
        <v/>
      </c>
      <c r="AI197" s="32">
        <f>IF(AND(TRIM(A197&amp;"")&lt;&gt;"",L197&amp;""&lt;&gt;"",L197&amp;""=Seating!$I$3&amp;"",B197&lt;&gt;"Declined"),1,0)</f>
        <v/>
      </c>
      <c r="AJ197" s="32">
        <f>N(AJ196)+AI197</f>
        <v/>
      </c>
      <c r="AK197" s="32">
        <f>IF(AI197=1,AJ197,"")</f>
        <v/>
      </c>
    </row>
    <row r="198">
      <c r="A198" s="10" t="n"/>
      <c r="B198" s="47">
        <f>IF(TRIM(A198&amp;"")="","",IF(W198&lt;&gt;"",W198,IF(I198="","Awaiting",I198)))</f>
        <v/>
      </c>
      <c r="C198" s="60">
        <f>IF(OR(B198="Awaiting",B198="Not sure yet"),IF(AD198&lt;&gt;"",HYPERLINK(AD198,"💬 Remind"),"add mobile"),"")</f>
        <v/>
      </c>
      <c r="D198" s="58" t="n"/>
      <c r="E198" s="10" t="n"/>
      <c r="F198" s="10" t="n"/>
      <c r="G198" s="10" t="n"/>
      <c r="H198" s="10" t="n"/>
      <c r="I198" s="10" t="n"/>
      <c r="J198" s="10" t="n"/>
      <c r="K198" s="10" t="n"/>
      <c r="L198" s="56" t="n"/>
      <c r="M198" s="10" t="n"/>
      <c r="N198" s="12" t="n"/>
      <c r="O198" s="10" t="n"/>
      <c r="P198" s="10" t="n"/>
      <c r="Q198" s="61">
        <f>IF(V198="","",IF(T198="","Covered by "&amp;INDEX('Form Calc'!$B:$B,V198)&amp;"'s reply (same party)","Replied "&amp;TEXT(INDEX('Form Calc'!$A:$A,T198),"mm/dd")&amp;" · "&amp;INDEX('Form Calc'!$H:$H,T198)&amp;" adult(s), "&amp;INDEX('Form Calc'!$I:$I,T198)&amp;" child(ren)"&amp;IF(INDEX('Form Calc'!$K:$K,T198)&lt;&gt;""," · "&amp;INDEX('Form Calc'!$K:$K,T198),"")&amp;IF(INDEX('Form Calc'!$M:$M,T198)&lt;&gt;""," · “"&amp;INDEX('Form Calc'!$M:$M,T198)&amp;"”","")))</f>
        <v/>
      </c>
      <c r="R198" s="32">
        <f>SUBSTITUTE(SUBSTITUTE(SUBSTITUTE(SUBSTITUTE(SUBSTITUTE(SUBSTITUTE(SUBSTITUTE(SUBSTITUTE(D198&amp;""," ",""),"-",""),"(",""),")",""),".",""),"+",""),"/",""),CHAR(160),"")</f>
        <v/>
      </c>
      <c r="S198" s="32">
        <f>IF(LEN(R198)&gt;=10,RIGHT(R198,10),R198)</f>
        <v/>
      </c>
      <c r="T198" s="32">
        <f>IF(TRIM(A198&amp;"")="","",IF(S198&lt;&gt;"",IFERROR(MATCH(S198,'Form Calc'!$P:$P,0),IFERROR(MATCH(TRIM(A198&amp;""),'Form Calc'!$Q:$Q,0),"")),IFERROR(MATCH(TRIM(A198&amp;""),'Form Calc'!$Q:$Q,0),"")))</f>
        <v/>
      </c>
      <c r="U198" s="32">
        <f>IF(AND(T198&lt;&gt;"",TRIM(E198&amp;"")&lt;&gt;""),TRIM(E198&amp;""),"")</f>
        <v/>
      </c>
      <c r="V198" s="32">
        <f>IF(TRIM(A198&amp;"")="","",IF(T198&lt;&gt;"",T198,IF(TRIM(E198&amp;"")="","",IFERROR(INDEX($T$6:$T$505,MATCH(TRIM(E198&amp;""),$U$6:$U$505,0)),""))))</f>
        <v/>
      </c>
      <c r="W198" s="32">
        <f>IF(V198="","",INDEX('Form Calc'!$G:$G,V198))</f>
        <v/>
      </c>
      <c r="X198" s="32">
        <f>IF(TRIM(A198&amp;"")="","",IF(T198&lt;&gt;"",IF(INDEX('Form Calc'!$K:$K,T198)&lt;&gt;"",INDEX('Form Calc'!$K:$K,T198),J198&amp;""),J198&amp;""))</f>
        <v/>
      </c>
      <c r="Y198" s="32">
        <f>IF(TRIM(A198&amp;"")="","",IF(TRIM(D198&amp;"")&lt;&gt;"",TRIM(D198&amp;""),IF(T198&lt;&gt;"",INDEX('Form Calc'!$C:$C,T198)&amp;"","")))</f>
        <v/>
      </c>
      <c r="Z198" s="32">
        <f>SUBSTITUTE(SUBSTITUTE(SUBSTITUTE(SUBSTITUTE(SUBSTITUTE(SUBSTITUTE(SUBSTITUTE(SUBSTITUTE(Y198," ",""),"-",""),"(",""),")",""),".",""),"+",""),"/",""),CHAR(160),"")</f>
        <v/>
      </c>
      <c r="AA198" s="32">
        <f>IF(Z198="","",IF(LEN(Z198)=10,"+1"&amp;Z198,IF(AND(LEN(Z198)=11,LEFT(Z198,1)="1"),"+"&amp;Z198,IF(LEFT(Y198,1)="+","+"&amp;Z198,Z198))))</f>
        <v/>
      </c>
      <c r="AB198" s="32">
        <f>IF(TRIM(A198&amp;"")="","",IF(TRIM(M198&amp;"")&lt;&gt;"",TRIM(M198&amp;""),IFERROR(LEFT(TRIM(A198&amp;""),FIND(" ",TRIM(A198&amp;""))-1),TRIM(A198&amp;""))))</f>
        <v/>
      </c>
      <c r="AC198" s="32">
        <f>SUBSTITUTE(SUBSTITUTE(SUBSTITUTE(SUBSTITUTE(SUBSTITUTE(SUBSTITUTE(SUBSTITUTE(SUBSTITUTE(SUBSTITUTE(SUBSTITUTE(AB198,"%","%25"),"&amp;","%26"),"#","%23"),"+","%2B"),"=","%3D"),"?","%3F"),CHAR(34),"%22"),CHAR(10),"%0A"),CHAR(13),"")," ","+")</f>
        <v/>
      </c>
      <c r="AD198" s="32">
        <f>IF(OR(AA198="",AB198=""),"",'Start Here'!$B$20&amp;"#p="&amp;SUBSTITUTE(AA198,"+","%2B")&amp;"&amp;n="&amp;AC198&amp;"&amp;m="&amp;SUBSTITUTE('Start Here'!$B$24,"{name}",AC198))</f>
        <v/>
      </c>
      <c r="AE198" s="32">
        <f>LEN(AD198)</f>
        <v/>
      </c>
      <c r="AF198" s="32">
        <f>IF(AND(TRIM(A198&amp;"")&lt;&gt;"",OR(B198="Awaiting",B198="Not sure yet")),1,0)</f>
        <v/>
      </c>
      <c r="AG198" s="32">
        <f>N(AG197)+AF198</f>
        <v/>
      </c>
      <c r="AH198" s="32">
        <f>IF(AF198=1,AG198,"")</f>
        <v/>
      </c>
      <c r="AI198" s="32">
        <f>IF(AND(TRIM(A198&amp;"")&lt;&gt;"",L198&amp;""&lt;&gt;"",L198&amp;""=Seating!$I$3&amp;"",B198&lt;&gt;"Declined"),1,0)</f>
        <v/>
      </c>
      <c r="AJ198" s="32">
        <f>N(AJ197)+AI198</f>
        <v/>
      </c>
      <c r="AK198" s="32">
        <f>IF(AI198=1,AJ198,"")</f>
        <v/>
      </c>
    </row>
    <row r="199">
      <c r="A199" s="10" t="n"/>
      <c r="B199" s="47">
        <f>IF(TRIM(A199&amp;"")="","",IF(W199&lt;&gt;"",W199,IF(I199="","Awaiting",I199)))</f>
        <v/>
      </c>
      <c r="C199" s="60">
        <f>IF(OR(B199="Awaiting",B199="Not sure yet"),IF(AD199&lt;&gt;"",HYPERLINK(AD199,"💬 Remind"),"add mobile"),"")</f>
        <v/>
      </c>
      <c r="D199" s="58" t="n"/>
      <c r="E199" s="10" t="n"/>
      <c r="F199" s="10" t="n"/>
      <c r="G199" s="10" t="n"/>
      <c r="H199" s="10" t="n"/>
      <c r="I199" s="10" t="n"/>
      <c r="J199" s="10" t="n"/>
      <c r="K199" s="10" t="n"/>
      <c r="L199" s="56" t="n"/>
      <c r="M199" s="10" t="n"/>
      <c r="N199" s="12" t="n"/>
      <c r="O199" s="10" t="n"/>
      <c r="P199" s="10" t="n"/>
      <c r="Q199" s="61">
        <f>IF(V199="","",IF(T199="","Covered by "&amp;INDEX('Form Calc'!$B:$B,V199)&amp;"'s reply (same party)","Replied "&amp;TEXT(INDEX('Form Calc'!$A:$A,T199),"mm/dd")&amp;" · "&amp;INDEX('Form Calc'!$H:$H,T199)&amp;" adult(s), "&amp;INDEX('Form Calc'!$I:$I,T199)&amp;" child(ren)"&amp;IF(INDEX('Form Calc'!$K:$K,T199)&lt;&gt;""," · "&amp;INDEX('Form Calc'!$K:$K,T199),"")&amp;IF(INDEX('Form Calc'!$M:$M,T199)&lt;&gt;""," · “"&amp;INDEX('Form Calc'!$M:$M,T199)&amp;"”","")))</f>
        <v/>
      </c>
      <c r="R199" s="32">
        <f>SUBSTITUTE(SUBSTITUTE(SUBSTITUTE(SUBSTITUTE(SUBSTITUTE(SUBSTITUTE(SUBSTITUTE(SUBSTITUTE(D199&amp;""," ",""),"-",""),"(",""),")",""),".",""),"+",""),"/",""),CHAR(160),"")</f>
        <v/>
      </c>
      <c r="S199" s="32">
        <f>IF(LEN(R199)&gt;=10,RIGHT(R199,10),R199)</f>
        <v/>
      </c>
      <c r="T199" s="32">
        <f>IF(TRIM(A199&amp;"")="","",IF(S199&lt;&gt;"",IFERROR(MATCH(S199,'Form Calc'!$P:$P,0),IFERROR(MATCH(TRIM(A199&amp;""),'Form Calc'!$Q:$Q,0),"")),IFERROR(MATCH(TRIM(A199&amp;""),'Form Calc'!$Q:$Q,0),"")))</f>
        <v/>
      </c>
      <c r="U199" s="32">
        <f>IF(AND(T199&lt;&gt;"",TRIM(E199&amp;"")&lt;&gt;""),TRIM(E199&amp;""),"")</f>
        <v/>
      </c>
      <c r="V199" s="32">
        <f>IF(TRIM(A199&amp;"")="","",IF(T199&lt;&gt;"",T199,IF(TRIM(E199&amp;"")="","",IFERROR(INDEX($T$6:$T$505,MATCH(TRIM(E199&amp;""),$U$6:$U$505,0)),""))))</f>
        <v/>
      </c>
      <c r="W199" s="32">
        <f>IF(V199="","",INDEX('Form Calc'!$G:$G,V199))</f>
        <v/>
      </c>
      <c r="X199" s="32">
        <f>IF(TRIM(A199&amp;"")="","",IF(T199&lt;&gt;"",IF(INDEX('Form Calc'!$K:$K,T199)&lt;&gt;"",INDEX('Form Calc'!$K:$K,T199),J199&amp;""),J199&amp;""))</f>
        <v/>
      </c>
      <c r="Y199" s="32">
        <f>IF(TRIM(A199&amp;"")="","",IF(TRIM(D199&amp;"")&lt;&gt;"",TRIM(D199&amp;""),IF(T199&lt;&gt;"",INDEX('Form Calc'!$C:$C,T199)&amp;"","")))</f>
        <v/>
      </c>
      <c r="Z199" s="32">
        <f>SUBSTITUTE(SUBSTITUTE(SUBSTITUTE(SUBSTITUTE(SUBSTITUTE(SUBSTITUTE(SUBSTITUTE(SUBSTITUTE(Y199," ",""),"-",""),"(",""),")",""),".",""),"+",""),"/",""),CHAR(160),"")</f>
        <v/>
      </c>
      <c r="AA199" s="32">
        <f>IF(Z199="","",IF(LEN(Z199)=10,"+1"&amp;Z199,IF(AND(LEN(Z199)=11,LEFT(Z199,1)="1"),"+"&amp;Z199,IF(LEFT(Y199,1)="+","+"&amp;Z199,Z199))))</f>
        <v/>
      </c>
      <c r="AB199" s="32">
        <f>IF(TRIM(A199&amp;"")="","",IF(TRIM(M199&amp;"")&lt;&gt;"",TRIM(M199&amp;""),IFERROR(LEFT(TRIM(A199&amp;""),FIND(" ",TRIM(A199&amp;""))-1),TRIM(A199&amp;""))))</f>
        <v/>
      </c>
      <c r="AC199" s="32">
        <f>SUBSTITUTE(SUBSTITUTE(SUBSTITUTE(SUBSTITUTE(SUBSTITUTE(SUBSTITUTE(SUBSTITUTE(SUBSTITUTE(SUBSTITUTE(SUBSTITUTE(AB199,"%","%25"),"&amp;","%26"),"#","%23"),"+","%2B"),"=","%3D"),"?","%3F"),CHAR(34),"%22"),CHAR(10),"%0A"),CHAR(13),"")," ","+")</f>
        <v/>
      </c>
      <c r="AD199" s="32">
        <f>IF(OR(AA199="",AB199=""),"",'Start Here'!$B$20&amp;"#p="&amp;SUBSTITUTE(AA199,"+","%2B")&amp;"&amp;n="&amp;AC199&amp;"&amp;m="&amp;SUBSTITUTE('Start Here'!$B$24,"{name}",AC199))</f>
        <v/>
      </c>
      <c r="AE199" s="32">
        <f>LEN(AD199)</f>
        <v/>
      </c>
      <c r="AF199" s="32">
        <f>IF(AND(TRIM(A199&amp;"")&lt;&gt;"",OR(B199="Awaiting",B199="Not sure yet")),1,0)</f>
        <v/>
      </c>
      <c r="AG199" s="32">
        <f>N(AG198)+AF199</f>
        <v/>
      </c>
      <c r="AH199" s="32">
        <f>IF(AF199=1,AG199,"")</f>
        <v/>
      </c>
      <c r="AI199" s="32">
        <f>IF(AND(TRIM(A199&amp;"")&lt;&gt;"",L199&amp;""&lt;&gt;"",L199&amp;""=Seating!$I$3&amp;"",B199&lt;&gt;"Declined"),1,0)</f>
        <v/>
      </c>
      <c r="AJ199" s="32">
        <f>N(AJ198)+AI199</f>
        <v/>
      </c>
      <c r="AK199" s="32">
        <f>IF(AI199=1,AJ199,"")</f>
        <v/>
      </c>
    </row>
    <row r="200">
      <c r="A200" s="10" t="n"/>
      <c r="B200" s="47">
        <f>IF(TRIM(A200&amp;"")="","",IF(W200&lt;&gt;"",W200,IF(I200="","Awaiting",I200)))</f>
        <v/>
      </c>
      <c r="C200" s="60">
        <f>IF(OR(B200="Awaiting",B200="Not sure yet"),IF(AD200&lt;&gt;"",HYPERLINK(AD200,"💬 Remind"),"add mobile"),"")</f>
        <v/>
      </c>
      <c r="D200" s="58" t="n"/>
      <c r="E200" s="10" t="n"/>
      <c r="F200" s="10" t="n"/>
      <c r="G200" s="10" t="n"/>
      <c r="H200" s="10" t="n"/>
      <c r="I200" s="10" t="n"/>
      <c r="J200" s="10" t="n"/>
      <c r="K200" s="10" t="n"/>
      <c r="L200" s="56" t="n"/>
      <c r="M200" s="10" t="n"/>
      <c r="N200" s="12" t="n"/>
      <c r="O200" s="10" t="n"/>
      <c r="P200" s="10" t="n"/>
      <c r="Q200" s="61">
        <f>IF(V200="","",IF(T200="","Covered by "&amp;INDEX('Form Calc'!$B:$B,V200)&amp;"'s reply (same party)","Replied "&amp;TEXT(INDEX('Form Calc'!$A:$A,T200),"mm/dd")&amp;" · "&amp;INDEX('Form Calc'!$H:$H,T200)&amp;" adult(s), "&amp;INDEX('Form Calc'!$I:$I,T200)&amp;" child(ren)"&amp;IF(INDEX('Form Calc'!$K:$K,T200)&lt;&gt;""," · "&amp;INDEX('Form Calc'!$K:$K,T200),"")&amp;IF(INDEX('Form Calc'!$M:$M,T200)&lt;&gt;""," · “"&amp;INDEX('Form Calc'!$M:$M,T200)&amp;"”","")))</f>
        <v/>
      </c>
      <c r="R200" s="32">
        <f>SUBSTITUTE(SUBSTITUTE(SUBSTITUTE(SUBSTITUTE(SUBSTITUTE(SUBSTITUTE(SUBSTITUTE(SUBSTITUTE(D200&amp;""," ",""),"-",""),"(",""),")",""),".",""),"+",""),"/",""),CHAR(160),"")</f>
        <v/>
      </c>
      <c r="S200" s="32">
        <f>IF(LEN(R200)&gt;=10,RIGHT(R200,10),R200)</f>
        <v/>
      </c>
      <c r="T200" s="32">
        <f>IF(TRIM(A200&amp;"")="","",IF(S200&lt;&gt;"",IFERROR(MATCH(S200,'Form Calc'!$P:$P,0),IFERROR(MATCH(TRIM(A200&amp;""),'Form Calc'!$Q:$Q,0),"")),IFERROR(MATCH(TRIM(A200&amp;""),'Form Calc'!$Q:$Q,0),"")))</f>
        <v/>
      </c>
      <c r="U200" s="32">
        <f>IF(AND(T200&lt;&gt;"",TRIM(E200&amp;"")&lt;&gt;""),TRIM(E200&amp;""),"")</f>
        <v/>
      </c>
      <c r="V200" s="32">
        <f>IF(TRIM(A200&amp;"")="","",IF(T200&lt;&gt;"",T200,IF(TRIM(E200&amp;"")="","",IFERROR(INDEX($T$6:$T$505,MATCH(TRIM(E200&amp;""),$U$6:$U$505,0)),""))))</f>
        <v/>
      </c>
      <c r="W200" s="32">
        <f>IF(V200="","",INDEX('Form Calc'!$G:$G,V200))</f>
        <v/>
      </c>
      <c r="X200" s="32">
        <f>IF(TRIM(A200&amp;"")="","",IF(T200&lt;&gt;"",IF(INDEX('Form Calc'!$K:$K,T200)&lt;&gt;"",INDEX('Form Calc'!$K:$K,T200),J200&amp;""),J200&amp;""))</f>
        <v/>
      </c>
      <c r="Y200" s="32">
        <f>IF(TRIM(A200&amp;"")="","",IF(TRIM(D200&amp;"")&lt;&gt;"",TRIM(D200&amp;""),IF(T200&lt;&gt;"",INDEX('Form Calc'!$C:$C,T200)&amp;"","")))</f>
        <v/>
      </c>
      <c r="Z200" s="32">
        <f>SUBSTITUTE(SUBSTITUTE(SUBSTITUTE(SUBSTITUTE(SUBSTITUTE(SUBSTITUTE(SUBSTITUTE(SUBSTITUTE(Y200," ",""),"-",""),"(",""),")",""),".",""),"+",""),"/",""),CHAR(160),"")</f>
        <v/>
      </c>
      <c r="AA200" s="32">
        <f>IF(Z200="","",IF(LEN(Z200)=10,"+1"&amp;Z200,IF(AND(LEN(Z200)=11,LEFT(Z200,1)="1"),"+"&amp;Z200,IF(LEFT(Y200,1)="+","+"&amp;Z200,Z200))))</f>
        <v/>
      </c>
      <c r="AB200" s="32">
        <f>IF(TRIM(A200&amp;"")="","",IF(TRIM(M200&amp;"")&lt;&gt;"",TRIM(M200&amp;""),IFERROR(LEFT(TRIM(A200&amp;""),FIND(" ",TRIM(A200&amp;""))-1),TRIM(A200&amp;""))))</f>
        <v/>
      </c>
      <c r="AC200" s="32">
        <f>SUBSTITUTE(SUBSTITUTE(SUBSTITUTE(SUBSTITUTE(SUBSTITUTE(SUBSTITUTE(SUBSTITUTE(SUBSTITUTE(SUBSTITUTE(SUBSTITUTE(AB200,"%","%25"),"&amp;","%26"),"#","%23"),"+","%2B"),"=","%3D"),"?","%3F"),CHAR(34),"%22"),CHAR(10),"%0A"),CHAR(13),"")," ","+")</f>
        <v/>
      </c>
      <c r="AD200" s="32">
        <f>IF(OR(AA200="",AB200=""),"",'Start Here'!$B$20&amp;"#p="&amp;SUBSTITUTE(AA200,"+","%2B")&amp;"&amp;n="&amp;AC200&amp;"&amp;m="&amp;SUBSTITUTE('Start Here'!$B$24,"{name}",AC200))</f>
        <v/>
      </c>
      <c r="AE200" s="32">
        <f>LEN(AD200)</f>
        <v/>
      </c>
      <c r="AF200" s="32">
        <f>IF(AND(TRIM(A200&amp;"")&lt;&gt;"",OR(B200="Awaiting",B200="Not sure yet")),1,0)</f>
        <v/>
      </c>
      <c r="AG200" s="32">
        <f>N(AG199)+AF200</f>
        <v/>
      </c>
      <c r="AH200" s="32">
        <f>IF(AF200=1,AG200,"")</f>
        <v/>
      </c>
      <c r="AI200" s="32">
        <f>IF(AND(TRIM(A200&amp;"")&lt;&gt;"",L200&amp;""&lt;&gt;"",L200&amp;""=Seating!$I$3&amp;"",B200&lt;&gt;"Declined"),1,0)</f>
        <v/>
      </c>
      <c r="AJ200" s="32">
        <f>N(AJ199)+AI200</f>
        <v/>
      </c>
      <c r="AK200" s="32">
        <f>IF(AI200=1,AJ200,"")</f>
        <v/>
      </c>
    </row>
    <row r="201">
      <c r="A201" s="10" t="n"/>
      <c r="B201" s="47">
        <f>IF(TRIM(A201&amp;"")="","",IF(W201&lt;&gt;"",W201,IF(I201="","Awaiting",I201)))</f>
        <v/>
      </c>
      <c r="C201" s="60">
        <f>IF(OR(B201="Awaiting",B201="Not sure yet"),IF(AD201&lt;&gt;"",HYPERLINK(AD201,"💬 Remind"),"add mobile"),"")</f>
        <v/>
      </c>
      <c r="D201" s="58" t="n"/>
      <c r="E201" s="10" t="n"/>
      <c r="F201" s="10" t="n"/>
      <c r="G201" s="10" t="n"/>
      <c r="H201" s="10" t="n"/>
      <c r="I201" s="10" t="n"/>
      <c r="J201" s="10" t="n"/>
      <c r="K201" s="10" t="n"/>
      <c r="L201" s="56" t="n"/>
      <c r="M201" s="10" t="n"/>
      <c r="N201" s="12" t="n"/>
      <c r="O201" s="10" t="n"/>
      <c r="P201" s="10" t="n"/>
      <c r="Q201" s="61">
        <f>IF(V201="","",IF(T201="","Covered by "&amp;INDEX('Form Calc'!$B:$B,V201)&amp;"'s reply (same party)","Replied "&amp;TEXT(INDEX('Form Calc'!$A:$A,T201),"mm/dd")&amp;" · "&amp;INDEX('Form Calc'!$H:$H,T201)&amp;" adult(s), "&amp;INDEX('Form Calc'!$I:$I,T201)&amp;" child(ren)"&amp;IF(INDEX('Form Calc'!$K:$K,T201)&lt;&gt;""," · "&amp;INDEX('Form Calc'!$K:$K,T201),"")&amp;IF(INDEX('Form Calc'!$M:$M,T201)&lt;&gt;""," · “"&amp;INDEX('Form Calc'!$M:$M,T201)&amp;"”","")))</f>
        <v/>
      </c>
      <c r="R201" s="32">
        <f>SUBSTITUTE(SUBSTITUTE(SUBSTITUTE(SUBSTITUTE(SUBSTITUTE(SUBSTITUTE(SUBSTITUTE(SUBSTITUTE(D201&amp;""," ",""),"-",""),"(",""),")",""),".",""),"+",""),"/",""),CHAR(160),"")</f>
        <v/>
      </c>
      <c r="S201" s="32">
        <f>IF(LEN(R201)&gt;=10,RIGHT(R201,10),R201)</f>
        <v/>
      </c>
      <c r="T201" s="32">
        <f>IF(TRIM(A201&amp;"")="","",IF(S201&lt;&gt;"",IFERROR(MATCH(S201,'Form Calc'!$P:$P,0),IFERROR(MATCH(TRIM(A201&amp;""),'Form Calc'!$Q:$Q,0),"")),IFERROR(MATCH(TRIM(A201&amp;""),'Form Calc'!$Q:$Q,0),"")))</f>
        <v/>
      </c>
      <c r="U201" s="32">
        <f>IF(AND(T201&lt;&gt;"",TRIM(E201&amp;"")&lt;&gt;""),TRIM(E201&amp;""),"")</f>
        <v/>
      </c>
      <c r="V201" s="32">
        <f>IF(TRIM(A201&amp;"")="","",IF(T201&lt;&gt;"",T201,IF(TRIM(E201&amp;"")="","",IFERROR(INDEX($T$6:$T$505,MATCH(TRIM(E201&amp;""),$U$6:$U$505,0)),""))))</f>
        <v/>
      </c>
      <c r="W201" s="32">
        <f>IF(V201="","",INDEX('Form Calc'!$G:$G,V201))</f>
        <v/>
      </c>
      <c r="X201" s="32">
        <f>IF(TRIM(A201&amp;"")="","",IF(T201&lt;&gt;"",IF(INDEX('Form Calc'!$K:$K,T201)&lt;&gt;"",INDEX('Form Calc'!$K:$K,T201),J201&amp;""),J201&amp;""))</f>
        <v/>
      </c>
      <c r="Y201" s="32">
        <f>IF(TRIM(A201&amp;"")="","",IF(TRIM(D201&amp;"")&lt;&gt;"",TRIM(D201&amp;""),IF(T201&lt;&gt;"",INDEX('Form Calc'!$C:$C,T201)&amp;"","")))</f>
        <v/>
      </c>
      <c r="Z201" s="32">
        <f>SUBSTITUTE(SUBSTITUTE(SUBSTITUTE(SUBSTITUTE(SUBSTITUTE(SUBSTITUTE(SUBSTITUTE(SUBSTITUTE(Y201," ",""),"-",""),"(",""),")",""),".",""),"+",""),"/",""),CHAR(160),"")</f>
        <v/>
      </c>
      <c r="AA201" s="32">
        <f>IF(Z201="","",IF(LEN(Z201)=10,"+1"&amp;Z201,IF(AND(LEN(Z201)=11,LEFT(Z201,1)="1"),"+"&amp;Z201,IF(LEFT(Y201,1)="+","+"&amp;Z201,Z201))))</f>
        <v/>
      </c>
      <c r="AB201" s="32">
        <f>IF(TRIM(A201&amp;"")="","",IF(TRIM(M201&amp;"")&lt;&gt;"",TRIM(M201&amp;""),IFERROR(LEFT(TRIM(A201&amp;""),FIND(" ",TRIM(A201&amp;""))-1),TRIM(A201&amp;""))))</f>
        <v/>
      </c>
      <c r="AC201" s="32">
        <f>SUBSTITUTE(SUBSTITUTE(SUBSTITUTE(SUBSTITUTE(SUBSTITUTE(SUBSTITUTE(SUBSTITUTE(SUBSTITUTE(SUBSTITUTE(SUBSTITUTE(AB201,"%","%25"),"&amp;","%26"),"#","%23"),"+","%2B"),"=","%3D"),"?","%3F"),CHAR(34),"%22"),CHAR(10),"%0A"),CHAR(13),"")," ","+")</f>
        <v/>
      </c>
      <c r="AD201" s="32">
        <f>IF(OR(AA201="",AB201=""),"",'Start Here'!$B$20&amp;"#p="&amp;SUBSTITUTE(AA201,"+","%2B")&amp;"&amp;n="&amp;AC201&amp;"&amp;m="&amp;SUBSTITUTE('Start Here'!$B$24,"{name}",AC201))</f>
        <v/>
      </c>
      <c r="AE201" s="32">
        <f>LEN(AD201)</f>
        <v/>
      </c>
      <c r="AF201" s="32">
        <f>IF(AND(TRIM(A201&amp;"")&lt;&gt;"",OR(B201="Awaiting",B201="Not sure yet")),1,0)</f>
        <v/>
      </c>
      <c r="AG201" s="32">
        <f>N(AG200)+AF201</f>
        <v/>
      </c>
      <c r="AH201" s="32">
        <f>IF(AF201=1,AG201,"")</f>
        <v/>
      </c>
      <c r="AI201" s="32">
        <f>IF(AND(TRIM(A201&amp;"")&lt;&gt;"",L201&amp;""&lt;&gt;"",L201&amp;""=Seating!$I$3&amp;"",B201&lt;&gt;"Declined"),1,0)</f>
        <v/>
      </c>
      <c r="AJ201" s="32">
        <f>N(AJ200)+AI201</f>
        <v/>
      </c>
      <c r="AK201" s="32">
        <f>IF(AI201=1,AJ201,"")</f>
        <v/>
      </c>
    </row>
    <row r="202">
      <c r="A202" s="10" t="n"/>
      <c r="B202" s="47">
        <f>IF(TRIM(A202&amp;"")="","",IF(W202&lt;&gt;"",W202,IF(I202="","Awaiting",I202)))</f>
        <v/>
      </c>
      <c r="C202" s="60">
        <f>IF(OR(B202="Awaiting",B202="Not sure yet"),IF(AD202&lt;&gt;"",HYPERLINK(AD202,"💬 Remind"),"add mobile"),"")</f>
        <v/>
      </c>
      <c r="D202" s="58" t="n"/>
      <c r="E202" s="10" t="n"/>
      <c r="F202" s="10" t="n"/>
      <c r="G202" s="10" t="n"/>
      <c r="H202" s="10" t="n"/>
      <c r="I202" s="10" t="n"/>
      <c r="J202" s="10" t="n"/>
      <c r="K202" s="10" t="n"/>
      <c r="L202" s="56" t="n"/>
      <c r="M202" s="10" t="n"/>
      <c r="N202" s="12" t="n"/>
      <c r="O202" s="10" t="n"/>
      <c r="P202" s="10" t="n"/>
      <c r="Q202" s="61">
        <f>IF(V202="","",IF(T202="","Covered by "&amp;INDEX('Form Calc'!$B:$B,V202)&amp;"'s reply (same party)","Replied "&amp;TEXT(INDEX('Form Calc'!$A:$A,T202),"mm/dd")&amp;" · "&amp;INDEX('Form Calc'!$H:$H,T202)&amp;" adult(s), "&amp;INDEX('Form Calc'!$I:$I,T202)&amp;" child(ren)"&amp;IF(INDEX('Form Calc'!$K:$K,T202)&lt;&gt;""," · "&amp;INDEX('Form Calc'!$K:$K,T202),"")&amp;IF(INDEX('Form Calc'!$M:$M,T202)&lt;&gt;""," · “"&amp;INDEX('Form Calc'!$M:$M,T202)&amp;"”","")))</f>
        <v/>
      </c>
      <c r="R202" s="32">
        <f>SUBSTITUTE(SUBSTITUTE(SUBSTITUTE(SUBSTITUTE(SUBSTITUTE(SUBSTITUTE(SUBSTITUTE(SUBSTITUTE(D202&amp;""," ",""),"-",""),"(",""),")",""),".",""),"+",""),"/",""),CHAR(160),"")</f>
        <v/>
      </c>
      <c r="S202" s="32">
        <f>IF(LEN(R202)&gt;=10,RIGHT(R202,10),R202)</f>
        <v/>
      </c>
      <c r="T202" s="32">
        <f>IF(TRIM(A202&amp;"")="","",IF(S202&lt;&gt;"",IFERROR(MATCH(S202,'Form Calc'!$P:$P,0),IFERROR(MATCH(TRIM(A202&amp;""),'Form Calc'!$Q:$Q,0),"")),IFERROR(MATCH(TRIM(A202&amp;""),'Form Calc'!$Q:$Q,0),"")))</f>
        <v/>
      </c>
      <c r="U202" s="32">
        <f>IF(AND(T202&lt;&gt;"",TRIM(E202&amp;"")&lt;&gt;""),TRIM(E202&amp;""),"")</f>
        <v/>
      </c>
      <c r="V202" s="32">
        <f>IF(TRIM(A202&amp;"")="","",IF(T202&lt;&gt;"",T202,IF(TRIM(E202&amp;"")="","",IFERROR(INDEX($T$6:$T$505,MATCH(TRIM(E202&amp;""),$U$6:$U$505,0)),""))))</f>
        <v/>
      </c>
      <c r="W202" s="32">
        <f>IF(V202="","",INDEX('Form Calc'!$G:$G,V202))</f>
        <v/>
      </c>
      <c r="X202" s="32">
        <f>IF(TRIM(A202&amp;"")="","",IF(T202&lt;&gt;"",IF(INDEX('Form Calc'!$K:$K,T202)&lt;&gt;"",INDEX('Form Calc'!$K:$K,T202),J202&amp;""),J202&amp;""))</f>
        <v/>
      </c>
      <c r="Y202" s="32">
        <f>IF(TRIM(A202&amp;"")="","",IF(TRIM(D202&amp;"")&lt;&gt;"",TRIM(D202&amp;""),IF(T202&lt;&gt;"",INDEX('Form Calc'!$C:$C,T202)&amp;"","")))</f>
        <v/>
      </c>
      <c r="Z202" s="32">
        <f>SUBSTITUTE(SUBSTITUTE(SUBSTITUTE(SUBSTITUTE(SUBSTITUTE(SUBSTITUTE(SUBSTITUTE(SUBSTITUTE(Y202," ",""),"-",""),"(",""),")",""),".",""),"+",""),"/",""),CHAR(160),"")</f>
        <v/>
      </c>
      <c r="AA202" s="32">
        <f>IF(Z202="","",IF(LEN(Z202)=10,"+1"&amp;Z202,IF(AND(LEN(Z202)=11,LEFT(Z202,1)="1"),"+"&amp;Z202,IF(LEFT(Y202,1)="+","+"&amp;Z202,Z202))))</f>
        <v/>
      </c>
      <c r="AB202" s="32">
        <f>IF(TRIM(A202&amp;"")="","",IF(TRIM(M202&amp;"")&lt;&gt;"",TRIM(M202&amp;""),IFERROR(LEFT(TRIM(A202&amp;""),FIND(" ",TRIM(A202&amp;""))-1),TRIM(A202&amp;""))))</f>
        <v/>
      </c>
      <c r="AC202" s="32">
        <f>SUBSTITUTE(SUBSTITUTE(SUBSTITUTE(SUBSTITUTE(SUBSTITUTE(SUBSTITUTE(SUBSTITUTE(SUBSTITUTE(SUBSTITUTE(SUBSTITUTE(AB202,"%","%25"),"&amp;","%26"),"#","%23"),"+","%2B"),"=","%3D"),"?","%3F"),CHAR(34),"%22"),CHAR(10),"%0A"),CHAR(13),"")," ","+")</f>
        <v/>
      </c>
      <c r="AD202" s="32">
        <f>IF(OR(AA202="",AB202=""),"",'Start Here'!$B$20&amp;"#p="&amp;SUBSTITUTE(AA202,"+","%2B")&amp;"&amp;n="&amp;AC202&amp;"&amp;m="&amp;SUBSTITUTE('Start Here'!$B$24,"{name}",AC202))</f>
        <v/>
      </c>
      <c r="AE202" s="32">
        <f>LEN(AD202)</f>
        <v/>
      </c>
      <c r="AF202" s="32">
        <f>IF(AND(TRIM(A202&amp;"")&lt;&gt;"",OR(B202="Awaiting",B202="Not sure yet")),1,0)</f>
        <v/>
      </c>
      <c r="AG202" s="32">
        <f>N(AG201)+AF202</f>
        <v/>
      </c>
      <c r="AH202" s="32">
        <f>IF(AF202=1,AG202,"")</f>
        <v/>
      </c>
      <c r="AI202" s="32">
        <f>IF(AND(TRIM(A202&amp;"")&lt;&gt;"",L202&amp;""&lt;&gt;"",L202&amp;""=Seating!$I$3&amp;"",B202&lt;&gt;"Declined"),1,0)</f>
        <v/>
      </c>
      <c r="AJ202" s="32">
        <f>N(AJ201)+AI202</f>
        <v/>
      </c>
      <c r="AK202" s="32">
        <f>IF(AI202=1,AJ202,"")</f>
        <v/>
      </c>
    </row>
    <row r="203">
      <c r="A203" s="10" t="n"/>
      <c r="B203" s="47">
        <f>IF(TRIM(A203&amp;"")="","",IF(W203&lt;&gt;"",W203,IF(I203="","Awaiting",I203)))</f>
        <v/>
      </c>
      <c r="C203" s="60">
        <f>IF(OR(B203="Awaiting",B203="Not sure yet"),IF(AD203&lt;&gt;"",HYPERLINK(AD203,"💬 Remind"),"add mobile"),"")</f>
        <v/>
      </c>
      <c r="D203" s="58" t="n"/>
      <c r="E203" s="10" t="n"/>
      <c r="F203" s="10" t="n"/>
      <c r="G203" s="10" t="n"/>
      <c r="H203" s="10" t="n"/>
      <c r="I203" s="10" t="n"/>
      <c r="J203" s="10" t="n"/>
      <c r="K203" s="10" t="n"/>
      <c r="L203" s="56" t="n"/>
      <c r="M203" s="10" t="n"/>
      <c r="N203" s="12" t="n"/>
      <c r="O203" s="10" t="n"/>
      <c r="P203" s="10" t="n"/>
      <c r="Q203" s="61">
        <f>IF(V203="","",IF(T203="","Covered by "&amp;INDEX('Form Calc'!$B:$B,V203)&amp;"'s reply (same party)","Replied "&amp;TEXT(INDEX('Form Calc'!$A:$A,T203),"mm/dd")&amp;" · "&amp;INDEX('Form Calc'!$H:$H,T203)&amp;" adult(s), "&amp;INDEX('Form Calc'!$I:$I,T203)&amp;" child(ren)"&amp;IF(INDEX('Form Calc'!$K:$K,T203)&lt;&gt;""," · "&amp;INDEX('Form Calc'!$K:$K,T203),"")&amp;IF(INDEX('Form Calc'!$M:$M,T203)&lt;&gt;""," · “"&amp;INDEX('Form Calc'!$M:$M,T203)&amp;"”","")))</f>
        <v/>
      </c>
      <c r="R203" s="32">
        <f>SUBSTITUTE(SUBSTITUTE(SUBSTITUTE(SUBSTITUTE(SUBSTITUTE(SUBSTITUTE(SUBSTITUTE(SUBSTITUTE(D203&amp;""," ",""),"-",""),"(",""),")",""),".",""),"+",""),"/",""),CHAR(160),"")</f>
        <v/>
      </c>
      <c r="S203" s="32">
        <f>IF(LEN(R203)&gt;=10,RIGHT(R203,10),R203)</f>
        <v/>
      </c>
      <c r="T203" s="32">
        <f>IF(TRIM(A203&amp;"")="","",IF(S203&lt;&gt;"",IFERROR(MATCH(S203,'Form Calc'!$P:$P,0),IFERROR(MATCH(TRIM(A203&amp;""),'Form Calc'!$Q:$Q,0),"")),IFERROR(MATCH(TRIM(A203&amp;""),'Form Calc'!$Q:$Q,0),"")))</f>
        <v/>
      </c>
      <c r="U203" s="32">
        <f>IF(AND(T203&lt;&gt;"",TRIM(E203&amp;"")&lt;&gt;""),TRIM(E203&amp;""),"")</f>
        <v/>
      </c>
      <c r="V203" s="32">
        <f>IF(TRIM(A203&amp;"")="","",IF(T203&lt;&gt;"",T203,IF(TRIM(E203&amp;"")="","",IFERROR(INDEX($T$6:$T$505,MATCH(TRIM(E203&amp;""),$U$6:$U$505,0)),""))))</f>
        <v/>
      </c>
      <c r="W203" s="32">
        <f>IF(V203="","",INDEX('Form Calc'!$G:$G,V203))</f>
        <v/>
      </c>
      <c r="X203" s="32">
        <f>IF(TRIM(A203&amp;"")="","",IF(T203&lt;&gt;"",IF(INDEX('Form Calc'!$K:$K,T203)&lt;&gt;"",INDEX('Form Calc'!$K:$K,T203),J203&amp;""),J203&amp;""))</f>
        <v/>
      </c>
      <c r="Y203" s="32">
        <f>IF(TRIM(A203&amp;"")="","",IF(TRIM(D203&amp;"")&lt;&gt;"",TRIM(D203&amp;""),IF(T203&lt;&gt;"",INDEX('Form Calc'!$C:$C,T203)&amp;"","")))</f>
        <v/>
      </c>
      <c r="Z203" s="32">
        <f>SUBSTITUTE(SUBSTITUTE(SUBSTITUTE(SUBSTITUTE(SUBSTITUTE(SUBSTITUTE(SUBSTITUTE(SUBSTITUTE(Y203," ",""),"-",""),"(",""),")",""),".",""),"+",""),"/",""),CHAR(160),"")</f>
        <v/>
      </c>
      <c r="AA203" s="32">
        <f>IF(Z203="","",IF(LEN(Z203)=10,"+1"&amp;Z203,IF(AND(LEN(Z203)=11,LEFT(Z203,1)="1"),"+"&amp;Z203,IF(LEFT(Y203,1)="+","+"&amp;Z203,Z203))))</f>
        <v/>
      </c>
      <c r="AB203" s="32">
        <f>IF(TRIM(A203&amp;"")="","",IF(TRIM(M203&amp;"")&lt;&gt;"",TRIM(M203&amp;""),IFERROR(LEFT(TRIM(A203&amp;""),FIND(" ",TRIM(A203&amp;""))-1),TRIM(A203&amp;""))))</f>
        <v/>
      </c>
      <c r="AC203" s="32">
        <f>SUBSTITUTE(SUBSTITUTE(SUBSTITUTE(SUBSTITUTE(SUBSTITUTE(SUBSTITUTE(SUBSTITUTE(SUBSTITUTE(SUBSTITUTE(SUBSTITUTE(AB203,"%","%25"),"&amp;","%26"),"#","%23"),"+","%2B"),"=","%3D"),"?","%3F"),CHAR(34),"%22"),CHAR(10),"%0A"),CHAR(13),"")," ","+")</f>
        <v/>
      </c>
      <c r="AD203" s="32">
        <f>IF(OR(AA203="",AB203=""),"",'Start Here'!$B$20&amp;"#p="&amp;SUBSTITUTE(AA203,"+","%2B")&amp;"&amp;n="&amp;AC203&amp;"&amp;m="&amp;SUBSTITUTE('Start Here'!$B$24,"{name}",AC203))</f>
        <v/>
      </c>
      <c r="AE203" s="32">
        <f>LEN(AD203)</f>
        <v/>
      </c>
      <c r="AF203" s="32">
        <f>IF(AND(TRIM(A203&amp;"")&lt;&gt;"",OR(B203="Awaiting",B203="Not sure yet")),1,0)</f>
        <v/>
      </c>
      <c r="AG203" s="32">
        <f>N(AG202)+AF203</f>
        <v/>
      </c>
      <c r="AH203" s="32">
        <f>IF(AF203=1,AG203,"")</f>
        <v/>
      </c>
      <c r="AI203" s="32">
        <f>IF(AND(TRIM(A203&amp;"")&lt;&gt;"",L203&amp;""&lt;&gt;"",L203&amp;""=Seating!$I$3&amp;"",B203&lt;&gt;"Declined"),1,0)</f>
        <v/>
      </c>
      <c r="AJ203" s="32">
        <f>N(AJ202)+AI203</f>
        <v/>
      </c>
      <c r="AK203" s="32">
        <f>IF(AI203=1,AJ203,"")</f>
        <v/>
      </c>
    </row>
    <row r="204">
      <c r="A204" s="10" t="n"/>
      <c r="B204" s="47">
        <f>IF(TRIM(A204&amp;"")="","",IF(W204&lt;&gt;"",W204,IF(I204="","Awaiting",I204)))</f>
        <v/>
      </c>
      <c r="C204" s="60">
        <f>IF(OR(B204="Awaiting",B204="Not sure yet"),IF(AD204&lt;&gt;"",HYPERLINK(AD204,"💬 Remind"),"add mobile"),"")</f>
        <v/>
      </c>
      <c r="D204" s="58" t="n"/>
      <c r="E204" s="10" t="n"/>
      <c r="F204" s="10" t="n"/>
      <c r="G204" s="10" t="n"/>
      <c r="H204" s="10" t="n"/>
      <c r="I204" s="10" t="n"/>
      <c r="J204" s="10" t="n"/>
      <c r="K204" s="10" t="n"/>
      <c r="L204" s="56" t="n"/>
      <c r="M204" s="10" t="n"/>
      <c r="N204" s="12" t="n"/>
      <c r="O204" s="10" t="n"/>
      <c r="P204" s="10" t="n"/>
      <c r="Q204" s="61">
        <f>IF(V204="","",IF(T204="","Covered by "&amp;INDEX('Form Calc'!$B:$B,V204)&amp;"'s reply (same party)","Replied "&amp;TEXT(INDEX('Form Calc'!$A:$A,T204),"mm/dd")&amp;" · "&amp;INDEX('Form Calc'!$H:$H,T204)&amp;" adult(s), "&amp;INDEX('Form Calc'!$I:$I,T204)&amp;" child(ren)"&amp;IF(INDEX('Form Calc'!$K:$K,T204)&lt;&gt;""," · "&amp;INDEX('Form Calc'!$K:$K,T204),"")&amp;IF(INDEX('Form Calc'!$M:$M,T204)&lt;&gt;""," · “"&amp;INDEX('Form Calc'!$M:$M,T204)&amp;"”","")))</f>
        <v/>
      </c>
      <c r="R204" s="32">
        <f>SUBSTITUTE(SUBSTITUTE(SUBSTITUTE(SUBSTITUTE(SUBSTITUTE(SUBSTITUTE(SUBSTITUTE(SUBSTITUTE(D204&amp;""," ",""),"-",""),"(",""),")",""),".",""),"+",""),"/",""),CHAR(160),"")</f>
        <v/>
      </c>
      <c r="S204" s="32">
        <f>IF(LEN(R204)&gt;=10,RIGHT(R204,10),R204)</f>
        <v/>
      </c>
      <c r="T204" s="32">
        <f>IF(TRIM(A204&amp;"")="","",IF(S204&lt;&gt;"",IFERROR(MATCH(S204,'Form Calc'!$P:$P,0),IFERROR(MATCH(TRIM(A204&amp;""),'Form Calc'!$Q:$Q,0),"")),IFERROR(MATCH(TRIM(A204&amp;""),'Form Calc'!$Q:$Q,0),"")))</f>
        <v/>
      </c>
      <c r="U204" s="32">
        <f>IF(AND(T204&lt;&gt;"",TRIM(E204&amp;"")&lt;&gt;""),TRIM(E204&amp;""),"")</f>
        <v/>
      </c>
      <c r="V204" s="32">
        <f>IF(TRIM(A204&amp;"")="","",IF(T204&lt;&gt;"",T204,IF(TRIM(E204&amp;"")="","",IFERROR(INDEX($T$6:$T$505,MATCH(TRIM(E204&amp;""),$U$6:$U$505,0)),""))))</f>
        <v/>
      </c>
      <c r="W204" s="32">
        <f>IF(V204="","",INDEX('Form Calc'!$G:$G,V204))</f>
        <v/>
      </c>
      <c r="X204" s="32">
        <f>IF(TRIM(A204&amp;"")="","",IF(T204&lt;&gt;"",IF(INDEX('Form Calc'!$K:$K,T204)&lt;&gt;"",INDEX('Form Calc'!$K:$K,T204),J204&amp;""),J204&amp;""))</f>
        <v/>
      </c>
      <c r="Y204" s="32">
        <f>IF(TRIM(A204&amp;"")="","",IF(TRIM(D204&amp;"")&lt;&gt;"",TRIM(D204&amp;""),IF(T204&lt;&gt;"",INDEX('Form Calc'!$C:$C,T204)&amp;"","")))</f>
        <v/>
      </c>
      <c r="Z204" s="32">
        <f>SUBSTITUTE(SUBSTITUTE(SUBSTITUTE(SUBSTITUTE(SUBSTITUTE(SUBSTITUTE(SUBSTITUTE(SUBSTITUTE(Y204," ",""),"-",""),"(",""),")",""),".",""),"+",""),"/",""),CHAR(160),"")</f>
        <v/>
      </c>
      <c r="AA204" s="32">
        <f>IF(Z204="","",IF(LEN(Z204)=10,"+1"&amp;Z204,IF(AND(LEN(Z204)=11,LEFT(Z204,1)="1"),"+"&amp;Z204,IF(LEFT(Y204,1)="+","+"&amp;Z204,Z204))))</f>
        <v/>
      </c>
      <c r="AB204" s="32">
        <f>IF(TRIM(A204&amp;"")="","",IF(TRIM(M204&amp;"")&lt;&gt;"",TRIM(M204&amp;""),IFERROR(LEFT(TRIM(A204&amp;""),FIND(" ",TRIM(A204&amp;""))-1),TRIM(A204&amp;""))))</f>
        <v/>
      </c>
      <c r="AC204" s="32">
        <f>SUBSTITUTE(SUBSTITUTE(SUBSTITUTE(SUBSTITUTE(SUBSTITUTE(SUBSTITUTE(SUBSTITUTE(SUBSTITUTE(SUBSTITUTE(SUBSTITUTE(AB204,"%","%25"),"&amp;","%26"),"#","%23"),"+","%2B"),"=","%3D"),"?","%3F"),CHAR(34),"%22"),CHAR(10),"%0A"),CHAR(13),"")," ","+")</f>
        <v/>
      </c>
      <c r="AD204" s="32">
        <f>IF(OR(AA204="",AB204=""),"",'Start Here'!$B$20&amp;"#p="&amp;SUBSTITUTE(AA204,"+","%2B")&amp;"&amp;n="&amp;AC204&amp;"&amp;m="&amp;SUBSTITUTE('Start Here'!$B$24,"{name}",AC204))</f>
        <v/>
      </c>
      <c r="AE204" s="32">
        <f>LEN(AD204)</f>
        <v/>
      </c>
      <c r="AF204" s="32">
        <f>IF(AND(TRIM(A204&amp;"")&lt;&gt;"",OR(B204="Awaiting",B204="Not sure yet")),1,0)</f>
        <v/>
      </c>
      <c r="AG204" s="32">
        <f>N(AG203)+AF204</f>
        <v/>
      </c>
      <c r="AH204" s="32">
        <f>IF(AF204=1,AG204,"")</f>
        <v/>
      </c>
      <c r="AI204" s="32">
        <f>IF(AND(TRIM(A204&amp;"")&lt;&gt;"",L204&amp;""&lt;&gt;"",L204&amp;""=Seating!$I$3&amp;"",B204&lt;&gt;"Declined"),1,0)</f>
        <v/>
      </c>
      <c r="AJ204" s="32">
        <f>N(AJ203)+AI204</f>
        <v/>
      </c>
      <c r="AK204" s="32">
        <f>IF(AI204=1,AJ204,"")</f>
        <v/>
      </c>
    </row>
    <row r="205">
      <c r="A205" s="10" t="n"/>
      <c r="B205" s="47">
        <f>IF(TRIM(A205&amp;"")="","",IF(W205&lt;&gt;"",W205,IF(I205="","Awaiting",I205)))</f>
        <v/>
      </c>
      <c r="C205" s="60">
        <f>IF(OR(B205="Awaiting",B205="Not sure yet"),IF(AD205&lt;&gt;"",HYPERLINK(AD205,"💬 Remind"),"add mobile"),"")</f>
        <v/>
      </c>
      <c r="D205" s="58" t="n"/>
      <c r="E205" s="10" t="n"/>
      <c r="F205" s="10" t="n"/>
      <c r="G205" s="10" t="n"/>
      <c r="H205" s="10" t="n"/>
      <c r="I205" s="10" t="n"/>
      <c r="J205" s="10" t="n"/>
      <c r="K205" s="10" t="n"/>
      <c r="L205" s="56" t="n"/>
      <c r="M205" s="10" t="n"/>
      <c r="N205" s="12" t="n"/>
      <c r="O205" s="10" t="n"/>
      <c r="P205" s="10" t="n"/>
      <c r="Q205" s="61">
        <f>IF(V205="","",IF(T205="","Covered by "&amp;INDEX('Form Calc'!$B:$B,V205)&amp;"'s reply (same party)","Replied "&amp;TEXT(INDEX('Form Calc'!$A:$A,T205),"mm/dd")&amp;" · "&amp;INDEX('Form Calc'!$H:$H,T205)&amp;" adult(s), "&amp;INDEX('Form Calc'!$I:$I,T205)&amp;" child(ren)"&amp;IF(INDEX('Form Calc'!$K:$K,T205)&lt;&gt;""," · "&amp;INDEX('Form Calc'!$K:$K,T205),"")&amp;IF(INDEX('Form Calc'!$M:$M,T205)&lt;&gt;""," · “"&amp;INDEX('Form Calc'!$M:$M,T205)&amp;"”","")))</f>
        <v/>
      </c>
      <c r="R205" s="32">
        <f>SUBSTITUTE(SUBSTITUTE(SUBSTITUTE(SUBSTITUTE(SUBSTITUTE(SUBSTITUTE(SUBSTITUTE(SUBSTITUTE(D205&amp;""," ",""),"-",""),"(",""),")",""),".",""),"+",""),"/",""),CHAR(160),"")</f>
        <v/>
      </c>
      <c r="S205" s="32">
        <f>IF(LEN(R205)&gt;=10,RIGHT(R205,10),R205)</f>
        <v/>
      </c>
      <c r="T205" s="32">
        <f>IF(TRIM(A205&amp;"")="","",IF(S205&lt;&gt;"",IFERROR(MATCH(S205,'Form Calc'!$P:$P,0),IFERROR(MATCH(TRIM(A205&amp;""),'Form Calc'!$Q:$Q,0),"")),IFERROR(MATCH(TRIM(A205&amp;""),'Form Calc'!$Q:$Q,0),"")))</f>
        <v/>
      </c>
      <c r="U205" s="32">
        <f>IF(AND(T205&lt;&gt;"",TRIM(E205&amp;"")&lt;&gt;""),TRIM(E205&amp;""),"")</f>
        <v/>
      </c>
      <c r="V205" s="32">
        <f>IF(TRIM(A205&amp;"")="","",IF(T205&lt;&gt;"",T205,IF(TRIM(E205&amp;"")="","",IFERROR(INDEX($T$6:$T$505,MATCH(TRIM(E205&amp;""),$U$6:$U$505,0)),""))))</f>
        <v/>
      </c>
      <c r="W205" s="32">
        <f>IF(V205="","",INDEX('Form Calc'!$G:$G,V205))</f>
        <v/>
      </c>
      <c r="X205" s="32">
        <f>IF(TRIM(A205&amp;"")="","",IF(T205&lt;&gt;"",IF(INDEX('Form Calc'!$K:$K,T205)&lt;&gt;"",INDEX('Form Calc'!$K:$K,T205),J205&amp;""),J205&amp;""))</f>
        <v/>
      </c>
      <c r="Y205" s="32">
        <f>IF(TRIM(A205&amp;"")="","",IF(TRIM(D205&amp;"")&lt;&gt;"",TRIM(D205&amp;""),IF(T205&lt;&gt;"",INDEX('Form Calc'!$C:$C,T205)&amp;"","")))</f>
        <v/>
      </c>
      <c r="Z205" s="32">
        <f>SUBSTITUTE(SUBSTITUTE(SUBSTITUTE(SUBSTITUTE(SUBSTITUTE(SUBSTITUTE(SUBSTITUTE(SUBSTITUTE(Y205," ",""),"-",""),"(",""),")",""),".",""),"+",""),"/",""),CHAR(160),"")</f>
        <v/>
      </c>
      <c r="AA205" s="32">
        <f>IF(Z205="","",IF(LEN(Z205)=10,"+1"&amp;Z205,IF(AND(LEN(Z205)=11,LEFT(Z205,1)="1"),"+"&amp;Z205,IF(LEFT(Y205,1)="+","+"&amp;Z205,Z205))))</f>
        <v/>
      </c>
      <c r="AB205" s="32">
        <f>IF(TRIM(A205&amp;"")="","",IF(TRIM(M205&amp;"")&lt;&gt;"",TRIM(M205&amp;""),IFERROR(LEFT(TRIM(A205&amp;""),FIND(" ",TRIM(A205&amp;""))-1),TRIM(A205&amp;""))))</f>
        <v/>
      </c>
      <c r="AC205" s="32">
        <f>SUBSTITUTE(SUBSTITUTE(SUBSTITUTE(SUBSTITUTE(SUBSTITUTE(SUBSTITUTE(SUBSTITUTE(SUBSTITUTE(SUBSTITUTE(SUBSTITUTE(AB205,"%","%25"),"&amp;","%26"),"#","%23"),"+","%2B"),"=","%3D"),"?","%3F"),CHAR(34),"%22"),CHAR(10),"%0A"),CHAR(13),"")," ","+")</f>
        <v/>
      </c>
      <c r="AD205" s="32">
        <f>IF(OR(AA205="",AB205=""),"",'Start Here'!$B$20&amp;"#p="&amp;SUBSTITUTE(AA205,"+","%2B")&amp;"&amp;n="&amp;AC205&amp;"&amp;m="&amp;SUBSTITUTE('Start Here'!$B$24,"{name}",AC205))</f>
        <v/>
      </c>
      <c r="AE205" s="32">
        <f>LEN(AD205)</f>
        <v/>
      </c>
      <c r="AF205" s="32">
        <f>IF(AND(TRIM(A205&amp;"")&lt;&gt;"",OR(B205="Awaiting",B205="Not sure yet")),1,0)</f>
        <v/>
      </c>
      <c r="AG205" s="32">
        <f>N(AG204)+AF205</f>
        <v/>
      </c>
      <c r="AH205" s="32">
        <f>IF(AF205=1,AG205,"")</f>
        <v/>
      </c>
      <c r="AI205" s="32">
        <f>IF(AND(TRIM(A205&amp;"")&lt;&gt;"",L205&amp;""&lt;&gt;"",L205&amp;""=Seating!$I$3&amp;"",B205&lt;&gt;"Declined"),1,0)</f>
        <v/>
      </c>
      <c r="AJ205" s="32">
        <f>N(AJ204)+AI205</f>
        <v/>
      </c>
      <c r="AK205" s="32">
        <f>IF(AI205=1,AJ205,"")</f>
        <v/>
      </c>
    </row>
    <row r="206">
      <c r="A206" s="10" t="n"/>
      <c r="B206" s="47">
        <f>IF(TRIM(A206&amp;"")="","",IF(W206&lt;&gt;"",W206,IF(I206="","Awaiting",I206)))</f>
        <v/>
      </c>
      <c r="C206" s="60">
        <f>IF(OR(B206="Awaiting",B206="Not sure yet"),IF(AD206&lt;&gt;"",HYPERLINK(AD206,"💬 Remind"),"add mobile"),"")</f>
        <v/>
      </c>
      <c r="D206" s="58" t="n"/>
      <c r="E206" s="10" t="n"/>
      <c r="F206" s="10" t="n"/>
      <c r="G206" s="10" t="n"/>
      <c r="H206" s="10" t="n"/>
      <c r="I206" s="10" t="n"/>
      <c r="J206" s="10" t="n"/>
      <c r="K206" s="10" t="n"/>
      <c r="L206" s="56" t="n"/>
      <c r="M206" s="10" t="n"/>
      <c r="N206" s="12" t="n"/>
      <c r="O206" s="10" t="n"/>
      <c r="P206" s="10" t="n"/>
      <c r="Q206" s="61">
        <f>IF(V206="","",IF(T206="","Covered by "&amp;INDEX('Form Calc'!$B:$B,V206)&amp;"'s reply (same party)","Replied "&amp;TEXT(INDEX('Form Calc'!$A:$A,T206),"mm/dd")&amp;" · "&amp;INDEX('Form Calc'!$H:$H,T206)&amp;" adult(s), "&amp;INDEX('Form Calc'!$I:$I,T206)&amp;" child(ren)"&amp;IF(INDEX('Form Calc'!$K:$K,T206)&lt;&gt;""," · "&amp;INDEX('Form Calc'!$K:$K,T206),"")&amp;IF(INDEX('Form Calc'!$M:$M,T206)&lt;&gt;""," · “"&amp;INDEX('Form Calc'!$M:$M,T206)&amp;"”","")))</f>
        <v/>
      </c>
      <c r="R206" s="32">
        <f>SUBSTITUTE(SUBSTITUTE(SUBSTITUTE(SUBSTITUTE(SUBSTITUTE(SUBSTITUTE(SUBSTITUTE(SUBSTITUTE(D206&amp;""," ",""),"-",""),"(",""),")",""),".",""),"+",""),"/",""),CHAR(160),"")</f>
        <v/>
      </c>
      <c r="S206" s="32">
        <f>IF(LEN(R206)&gt;=10,RIGHT(R206,10),R206)</f>
        <v/>
      </c>
      <c r="T206" s="32">
        <f>IF(TRIM(A206&amp;"")="","",IF(S206&lt;&gt;"",IFERROR(MATCH(S206,'Form Calc'!$P:$P,0),IFERROR(MATCH(TRIM(A206&amp;""),'Form Calc'!$Q:$Q,0),"")),IFERROR(MATCH(TRIM(A206&amp;""),'Form Calc'!$Q:$Q,0),"")))</f>
        <v/>
      </c>
      <c r="U206" s="32">
        <f>IF(AND(T206&lt;&gt;"",TRIM(E206&amp;"")&lt;&gt;""),TRIM(E206&amp;""),"")</f>
        <v/>
      </c>
      <c r="V206" s="32">
        <f>IF(TRIM(A206&amp;"")="","",IF(T206&lt;&gt;"",T206,IF(TRIM(E206&amp;"")="","",IFERROR(INDEX($T$6:$T$505,MATCH(TRIM(E206&amp;""),$U$6:$U$505,0)),""))))</f>
        <v/>
      </c>
      <c r="W206" s="32">
        <f>IF(V206="","",INDEX('Form Calc'!$G:$G,V206))</f>
        <v/>
      </c>
      <c r="X206" s="32">
        <f>IF(TRIM(A206&amp;"")="","",IF(T206&lt;&gt;"",IF(INDEX('Form Calc'!$K:$K,T206)&lt;&gt;"",INDEX('Form Calc'!$K:$K,T206),J206&amp;""),J206&amp;""))</f>
        <v/>
      </c>
      <c r="Y206" s="32">
        <f>IF(TRIM(A206&amp;"")="","",IF(TRIM(D206&amp;"")&lt;&gt;"",TRIM(D206&amp;""),IF(T206&lt;&gt;"",INDEX('Form Calc'!$C:$C,T206)&amp;"","")))</f>
        <v/>
      </c>
      <c r="Z206" s="32">
        <f>SUBSTITUTE(SUBSTITUTE(SUBSTITUTE(SUBSTITUTE(SUBSTITUTE(SUBSTITUTE(SUBSTITUTE(SUBSTITUTE(Y206," ",""),"-",""),"(",""),")",""),".",""),"+",""),"/",""),CHAR(160),"")</f>
        <v/>
      </c>
      <c r="AA206" s="32">
        <f>IF(Z206="","",IF(LEN(Z206)=10,"+1"&amp;Z206,IF(AND(LEN(Z206)=11,LEFT(Z206,1)="1"),"+"&amp;Z206,IF(LEFT(Y206,1)="+","+"&amp;Z206,Z206))))</f>
        <v/>
      </c>
      <c r="AB206" s="32">
        <f>IF(TRIM(A206&amp;"")="","",IF(TRIM(M206&amp;"")&lt;&gt;"",TRIM(M206&amp;""),IFERROR(LEFT(TRIM(A206&amp;""),FIND(" ",TRIM(A206&amp;""))-1),TRIM(A206&amp;""))))</f>
        <v/>
      </c>
      <c r="AC206" s="32">
        <f>SUBSTITUTE(SUBSTITUTE(SUBSTITUTE(SUBSTITUTE(SUBSTITUTE(SUBSTITUTE(SUBSTITUTE(SUBSTITUTE(SUBSTITUTE(SUBSTITUTE(AB206,"%","%25"),"&amp;","%26"),"#","%23"),"+","%2B"),"=","%3D"),"?","%3F"),CHAR(34),"%22"),CHAR(10),"%0A"),CHAR(13),"")," ","+")</f>
        <v/>
      </c>
      <c r="AD206" s="32">
        <f>IF(OR(AA206="",AB206=""),"",'Start Here'!$B$20&amp;"#p="&amp;SUBSTITUTE(AA206,"+","%2B")&amp;"&amp;n="&amp;AC206&amp;"&amp;m="&amp;SUBSTITUTE('Start Here'!$B$24,"{name}",AC206))</f>
        <v/>
      </c>
      <c r="AE206" s="32">
        <f>LEN(AD206)</f>
        <v/>
      </c>
      <c r="AF206" s="32">
        <f>IF(AND(TRIM(A206&amp;"")&lt;&gt;"",OR(B206="Awaiting",B206="Not sure yet")),1,0)</f>
        <v/>
      </c>
      <c r="AG206" s="32">
        <f>N(AG205)+AF206</f>
        <v/>
      </c>
      <c r="AH206" s="32">
        <f>IF(AF206=1,AG206,"")</f>
        <v/>
      </c>
      <c r="AI206" s="32">
        <f>IF(AND(TRIM(A206&amp;"")&lt;&gt;"",L206&amp;""&lt;&gt;"",L206&amp;""=Seating!$I$3&amp;"",B206&lt;&gt;"Declined"),1,0)</f>
        <v/>
      </c>
      <c r="AJ206" s="32">
        <f>N(AJ205)+AI206</f>
        <v/>
      </c>
      <c r="AK206" s="32">
        <f>IF(AI206=1,AJ206,"")</f>
        <v/>
      </c>
    </row>
    <row r="207">
      <c r="A207" s="10" t="n"/>
      <c r="B207" s="47">
        <f>IF(TRIM(A207&amp;"")="","",IF(W207&lt;&gt;"",W207,IF(I207="","Awaiting",I207)))</f>
        <v/>
      </c>
      <c r="C207" s="60">
        <f>IF(OR(B207="Awaiting",B207="Not sure yet"),IF(AD207&lt;&gt;"",HYPERLINK(AD207,"💬 Remind"),"add mobile"),"")</f>
        <v/>
      </c>
      <c r="D207" s="58" t="n"/>
      <c r="E207" s="10" t="n"/>
      <c r="F207" s="10" t="n"/>
      <c r="G207" s="10" t="n"/>
      <c r="H207" s="10" t="n"/>
      <c r="I207" s="10" t="n"/>
      <c r="J207" s="10" t="n"/>
      <c r="K207" s="10" t="n"/>
      <c r="L207" s="56" t="n"/>
      <c r="M207" s="10" t="n"/>
      <c r="N207" s="12" t="n"/>
      <c r="O207" s="10" t="n"/>
      <c r="P207" s="10" t="n"/>
      <c r="Q207" s="61">
        <f>IF(V207="","",IF(T207="","Covered by "&amp;INDEX('Form Calc'!$B:$B,V207)&amp;"'s reply (same party)","Replied "&amp;TEXT(INDEX('Form Calc'!$A:$A,T207),"mm/dd")&amp;" · "&amp;INDEX('Form Calc'!$H:$H,T207)&amp;" adult(s), "&amp;INDEX('Form Calc'!$I:$I,T207)&amp;" child(ren)"&amp;IF(INDEX('Form Calc'!$K:$K,T207)&lt;&gt;""," · "&amp;INDEX('Form Calc'!$K:$K,T207),"")&amp;IF(INDEX('Form Calc'!$M:$M,T207)&lt;&gt;""," · “"&amp;INDEX('Form Calc'!$M:$M,T207)&amp;"”","")))</f>
        <v/>
      </c>
      <c r="R207" s="32">
        <f>SUBSTITUTE(SUBSTITUTE(SUBSTITUTE(SUBSTITUTE(SUBSTITUTE(SUBSTITUTE(SUBSTITUTE(SUBSTITUTE(D207&amp;""," ",""),"-",""),"(",""),")",""),".",""),"+",""),"/",""),CHAR(160),"")</f>
        <v/>
      </c>
      <c r="S207" s="32">
        <f>IF(LEN(R207)&gt;=10,RIGHT(R207,10),R207)</f>
        <v/>
      </c>
      <c r="T207" s="32">
        <f>IF(TRIM(A207&amp;"")="","",IF(S207&lt;&gt;"",IFERROR(MATCH(S207,'Form Calc'!$P:$P,0),IFERROR(MATCH(TRIM(A207&amp;""),'Form Calc'!$Q:$Q,0),"")),IFERROR(MATCH(TRIM(A207&amp;""),'Form Calc'!$Q:$Q,0),"")))</f>
        <v/>
      </c>
      <c r="U207" s="32">
        <f>IF(AND(T207&lt;&gt;"",TRIM(E207&amp;"")&lt;&gt;""),TRIM(E207&amp;""),"")</f>
        <v/>
      </c>
      <c r="V207" s="32">
        <f>IF(TRIM(A207&amp;"")="","",IF(T207&lt;&gt;"",T207,IF(TRIM(E207&amp;"")="","",IFERROR(INDEX($T$6:$T$505,MATCH(TRIM(E207&amp;""),$U$6:$U$505,0)),""))))</f>
        <v/>
      </c>
      <c r="W207" s="32">
        <f>IF(V207="","",INDEX('Form Calc'!$G:$G,V207))</f>
        <v/>
      </c>
      <c r="X207" s="32">
        <f>IF(TRIM(A207&amp;"")="","",IF(T207&lt;&gt;"",IF(INDEX('Form Calc'!$K:$K,T207)&lt;&gt;"",INDEX('Form Calc'!$K:$K,T207),J207&amp;""),J207&amp;""))</f>
        <v/>
      </c>
      <c r="Y207" s="32">
        <f>IF(TRIM(A207&amp;"")="","",IF(TRIM(D207&amp;"")&lt;&gt;"",TRIM(D207&amp;""),IF(T207&lt;&gt;"",INDEX('Form Calc'!$C:$C,T207)&amp;"","")))</f>
        <v/>
      </c>
      <c r="Z207" s="32">
        <f>SUBSTITUTE(SUBSTITUTE(SUBSTITUTE(SUBSTITUTE(SUBSTITUTE(SUBSTITUTE(SUBSTITUTE(SUBSTITUTE(Y207," ",""),"-",""),"(",""),")",""),".",""),"+",""),"/",""),CHAR(160),"")</f>
        <v/>
      </c>
      <c r="AA207" s="32">
        <f>IF(Z207="","",IF(LEN(Z207)=10,"+1"&amp;Z207,IF(AND(LEN(Z207)=11,LEFT(Z207,1)="1"),"+"&amp;Z207,IF(LEFT(Y207,1)="+","+"&amp;Z207,Z207))))</f>
        <v/>
      </c>
      <c r="AB207" s="32">
        <f>IF(TRIM(A207&amp;"")="","",IF(TRIM(M207&amp;"")&lt;&gt;"",TRIM(M207&amp;""),IFERROR(LEFT(TRIM(A207&amp;""),FIND(" ",TRIM(A207&amp;""))-1),TRIM(A207&amp;""))))</f>
        <v/>
      </c>
      <c r="AC207" s="32">
        <f>SUBSTITUTE(SUBSTITUTE(SUBSTITUTE(SUBSTITUTE(SUBSTITUTE(SUBSTITUTE(SUBSTITUTE(SUBSTITUTE(SUBSTITUTE(SUBSTITUTE(AB207,"%","%25"),"&amp;","%26"),"#","%23"),"+","%2B"),"=","%3D"),"?","%3F"),CHAR(34),"%22"),CHAR(10),"%0A"),CHAR(13),"")," ","+")</f>
        <v/>
      </c>
      <c r="AD207" s="32">
        <f>IF(OR(AA207="",AB207=""),"",'Start Here'!$B$20&amp;"#p="&amp;SUBSTITUTE(AA207,"+","%2B")&amp;"&amp;n="&amp;AC207&amp;"&amp;m="&amp;SUBSTITUTE('Start Here'!$B$24,"{name}",AC207))</f>
        <v/>
      </c>
      <c r="AE207" s="32">
        <f>LEN(AD207)</f>
        <v/>
      </c>
      <c r="AF207" s="32">
        <f>IF(AND(TRIM(A207&amp;"")&lt;&gt;"",OR(B207="Awaiting",B207="Not sure yet")),1,0)</f>
        <v/>
      </c>
      <c r="AG207" s="32">
        <f>N(AG206)+AF207</f>
        <v/>
      </c>
      <c r="AH207" s="32">
        <f>IF(AF207=1,AG207,"")</f>
        <v/>
      </c>
      <c r="AI207" s="32">
        <f>IF(AND(TRIM(A207&amp;"")&lt;&gt;"",L207&amp;""&lt;&gt;"",L207&amp;""=Seating!$I$3&amp;"",B207&lt;&gt;"Declined"),1,0)</f>
        <v/>
      </c>
      <c r="AJ207" s="32">
        <f>N(AJ206)+AI207</f>
        <v/>
      </c>
      <c r="AK207" s="32">
        <f>IF(AI207=1,AJ207,"")</f>
        <v/>
      </c>
    </row>
    <row r="208">
      <c r="A208" s="10" t="n"/>
      <c r="B208" s="47">
        <f>IF(TRIM(A208&amp;"")="","",IF(W208&lt;&gt;"",W208,IF(I208="","Awaiting",I208)))</f>
        <v/>
      </c>
      <c r="C208" s="60">
        <f>IF(OR(B208="Awaiting",B208="Not sure yet"),IF(AD208&lt;&gt;"",HYPERLINK(AD208,"💬 Remind"),"add mobile"),"")</f>
        <v/>
      </c>
      <c r="D208" s="58" t="n"/>
      <c r="E208" s="10" t="n"/>
      <c r="F208" s="10" t="n"/>
      <c r="G208" s="10" t="n"/>
      <c r="H208" s="10" t="n"/>
      <c r="I208" s="10" t="n"/>
      <c r="J208" s="10" t="n"/>
      <c r="K208" s="10" t="n"/>
      <c r="L208" s="56" t="n"/>
      <c r="M208" s="10" t="n"/>
      <c r="N208" s="12" t="n"/>
      <c r="O208" s="10" t="n"/>
      <c r="P208" s="10" t="n"/>
      <c r="Q208" s="61">
        <f>IF(V208="","",IF(T208="","Covered by "&amp;INDEX('Form Calc'!$B:$B,V208)&amp;"'s reply (same party)","Replied "&amp;TEXT(INDEX('Form Calc'!$A:$A,T208),"mm/dd")&amp;" · "&amp;INDEX('Form Calc'!$H:$H,T208)&amp;" adult(s), "&amp;INDEX('Form Calc'!$I:$I,T208)&amp;" child(ren)"&amp;IF(INDEX('Form Calc'!$K:$K,T208)&lt;&gt;""," · "&amp;INDEX('Form Calc'!$K:$K,T208),"")&amp;IF(INDEX('Form Calc'!$M:$M,T208)&lt;&gt;""," · “"&amp;INDEX('Form Calc'!$M:$M,T208)&amp;"”","")))</f>
        <v/>
      </c>
      <c r="R208" s="32">
        <f>SUBSTITUTE(SUBSTITUTE(SUBSTITUTE(SUBSTITUTE(SUBSTITUTE(SUBSTITUTE(SUBSTITUTE(SUBSTITUTE(D208&amp;""," ",""),"-",""),"(",""),")",""),".",""),"+",""),"/",""),CHAR(160),"")</f>
        <v/>
      </c>
      <c r="S208" s="32">
        <f>IF(LEN(R208)&gt;=10,RIGHT(R208,10),R208)</f>
        <v/>
      </c>
      <c r="T208" s="32">
        <f>IF(TRIM(A208&amp;"")="","",IF(S208&lt;&gt;"",IFERROR(MATCH(S208,'Form Calc'!$P:$P,0),IFERROR(MATCH(TRIM(A208&amp;""),'Form Calc'!$Q:$Q,0),"")),IFERROR(MATCH(TRIM(A208&amp;""),'Form Calc'!$Q:$Q,0),"")))</f>
        <v/>
      </c>
      <c r="U208" s="32">
        <f>IF(AND(T208&lt;&gt;"",TRIM(E208&amp;"")&lt;&gt;""),TRIM(E208&amp;""),"")</f>
        <v/>
      </c>
      <c r="V208" s="32">
        <f>IF(TRIM(A208&amp;"")="","",IF(T208&lt;&gt;"",T208,IF(TRIM(E208&amp;"")="","",IFERROR(INDEX($T$6:$T$505,MATCH(TRIM(E208&amp;""),$U$6:$U$505,0)),""))))</f>
        <v/>
      </c>
      <c r="W208" s="32">
        <f>IF(V208="","",INDEX('Form Calc'!$G:$G,V208))</f>
        <v/>
      </c>
      <c r="X208" s="32">
        <f>IF(TRIM(A208&amp;"")="","",IF(T208&lt;&gt;"",IF(INDEX('Form Calc'!$K:$K,T208)&lt;&gt;"",INDEX('Form Calc'!$K:$K,T208),J208&amp;""),J208&amp;""))</f>
        <v/>
      </c>
      <c r="Y208" s="32">
        <f>IF(TRIM(A208&amp;"")="","",IF(TRIM(D208&amp;"")&lt;&gt;"",TRIM(D208&amp;""),IF(T208&lt;&gt;"",INDEX('Form Calc'!$C:$C,T208)&amp;"","")))</f>
        <v/>
      </c>
      <c r="Z208" s="32">
        <f>SUBSTITUTE(SUBSTITUTE(SUBSTITUTE(SUBSTITUTE(SUBSTITUTE(SUBSTITUTE(SUBSTITUTE(SUBSTITUTE(Y208," ",""),"-",""),"(",""),")",""),".",""),"+",""),"/",""),CHAR(160),"")</f>
        <v/>
      </c>
      <c r="AA208" s="32">
        <f>IF(Z208="","",IF(LEN(Z208)=10,"+1"&amp;Z208,IF(AND(LEN(Z208)=11,LEFT(Z208,1)="1"),"+"&amp;Z208,IF(LEFT(Y208,1)="+","+"&amp;Z208,Z208))))</f>
        <v/>
      </c>
      <c r="AB208" s="32">
        <f>IF(TRIM(A208&amp;"")="","",IF(TRIM(M208&amp;"")&lt;&gt;"",TRIM(M208&amp;""),IFERROR(LEFT(TRIM(A208&amp;""),FIND(" ",TRIM(A208&amp;""))-1),TRIM(A208&amp;""))))</f>
        <v/>
      </c>
      <c r="AC208" s="32">
        <f>SUBSTITUTE(SUBSTITUTE(SUBSTITUTE(SUBSTITUTE(SUBSTITUTE(SUBSTITUTE(SUBSTITUTE(SUBSTITUTE(SUBSTITUTE(SUBSTITUTE(AB208,"%","%25"),"&amp;","%26"),"#","%23"),"+","%2B"),"=","%3D"),"?","%3F"),CHAR(34),"%22"),CHAR(10),"%0A"),CHAR(13),"")," ","+")</f>
        <v/>
      </c>
      <c r="AD208" s="32">
        <f>IF(OR(AA208="",AB208=""),"",'Start Here'!$B$20&amp;"#p="&amp;SUBSTITUTE(AA208,"+","%2B")&amp;"&amp;n="&amp;AC208&amp;"&amp;m="&amp;SUBSTITUTE('Start Here'!$B$24,"{name}",AC208))</f>
        <v/>
      </c>
      <c r="AE208" s="32">
        <f>LEN(AD208)</f>
        <v/>
      </c>
      <c r="AF208" s="32">
        <f>IF(AND(TRIM(A208&amp;"")&lt;&gt;"",OR(B208="Awaiting",B208="Not sure yet")),1,0)</f>
        <v/>
      </c>
      <c r="AG208" s="32">
        <f>N(AG207)+AF208</f>
        <v/>
      </c>
      <c r="AH208" s="32">
        <f>IF(AF208=1,AG208,"")</f>
        <v/>
      </c>
      <c r="AI208" s="32">
        <f>IF(AND(TRIM(A208&amp;"")&lt;&gt;"",L208&amp;""&lt;&gt;"",L208&amp;""=Seating!$I$3&amp;"",B208&lt;&gt;"Declined"),1,0)</f>
        <v/>
      </c>
      <c r="AJ208" s="32">
        <f>N(AJ207)+AI208</f>
        <v/>
      </c>
      <c r="AK208" s="32">
        <f>IF(AI208=1,AJ208,"")</f>
        <v/>
      </c>
    </row>
    <row r="209">
      <c r="A209" s="10" t="n"/>
      <c r="B209" s="47">
        <f>IF(TRIM(A209&amp;"")="","",IF(W209&lt;&gt;"",W209,IF(I209="","Awaiting",I209)))</f>
        <v/>
      </c>
      <c r="C209" s="60">
        <f>IF(OR(B209="Awaiting",B209="Not sure yet"),IF(AD209&lt;&gt;"",HYPERLINK(AD209,"💬 Remind"),"add mobile"),"")</f>
        <v/>
      </c>
      <c r="D209" s="58" t="n"/>
      <c r="E209" s="10" t="n"/>
      <c r="F209" s="10" t="n"/>
      <c r="G209" s="10" t="n"/>
      <c r="H209" s="10" t="n"/>
      <c r="I209" s="10" t="n"/>
      <c r="J209" s="10" t="n"/>
      <c r="K209" s="10" t="n"/>
      <c r="L209" s="56" t="n"/>
      <c r="M209" s="10" t="n"/>
      <c r="N209" s="12" t="n"/>
      <c r="O209" s="10" t="n"/>
      <c r="P209" s="10" t="n"/>
      <c r="Q209" s="61">
        <f>IF(V209="","",IF(T209="","Covered by "&amp;INDEX('Form Calc'!$B:$B,V209)&amp;"'s reply (same party)","Replied "&amp;TEXT(INDEX('Form Calc'!$A:$A,T209),"mm/dd")&amp;" · "&amp;INDEX('Form Calc'!$H:$H,T209)&amp;" adult(s), "&amp;INDEX('Form Calc'!$I:$I,T209)&amp;" child(ren)"&amp;IF(INDEX('Form Calc'!$K:$K,T209)&lt;&gt;""," · "&amp;INDEX('Form Calc'!$K:$K,T209),"")&amp;IF(INDEX('Form Calc'!$M:$M,T209)&lt;&gt;""," · “"&amp;INDEX('Form Calc'!$M:$M,T209)&amp;"”","")))</f>
        <v/>
      </c>
      <c r="R209" s="32">
        <f>SUBSTITUTE(SUBSTITUTE(SUBSTITUTE(SUBSTITUTE(SUBSTITUTE(SUBSTITUTE(SUBSTITUTE(SUBSTITUTE(D209&amp;""," ",""),"-",""),"(",""),")",""),".",""),"+",""),"/",""),CHAR(160),"")</f>
        <v/>
      </c>
      <c r="S209" s="32">
        <f>IF(LEN(R209)&gt;=10,RIGHT(R209,10),R209)</f>
        <v/>
      </c>
      <c r="T209" s="32">
        <f>IF(TRIM(A209&amp;"")="","",IF(S209&lt;&gt;"",IFERROR(MATCH(S209,'Form Calc'!$P:$P,0),IFERROR(MATCH(TRIM(A209&amp;""),'Form Calc'!$Q:$Q,0),"")),IFERROR(MATCH(TRIM(A209&amp;""),'Form Calc'!$Q:$Q,0),"")))</f>
        <v/>
      </c>
      <c r="U209" s="32">
        <f>IF(AND(T209&lt;&gt;"",TRIM(E209&amp;"")&lt;&gt;""),TRIM(E209&amp;""),"")</f>
        <v/>
      </c>
      <c r="V209" s="32">
        <f>IF(TRIM(A209&amp;"")="","",IF(T209&lt;&gt;"",T209,IF(TRIM(E209&amp;"")="","",IFERROR(INDEX($T$6:$T$505,MATCH(TRIM(E209&amp;""),$U$6:$U$505,0)),""))))</f>
        <v/>
      </c>
      <c r="W209" s="32">
        <f>IF(V209="","",INDEX('Form Calc'!$G:$G,V209))</f>
        <v/>
      </c>
      <c r="X209" s="32">
        <f>IF(TRIM(A209&amp;"")="","",IF(T209&lt;&gt;"",IF(INDEX('Form Calc'!$K:$K,T209)&lt;&gt;"",INDEX('Form Calc'!$K:$K,T209),J209&amp;""),J209&amp;""))</f>
        <v/>
      </c>
      <c r="Y209" s="32">
        <f>IF(TRIM(A209&amp;"")="","",IF(TRIM(D209&amp;"")&lt;&gt;"",TRIM(D209&amp;""),IF(T209&lt;&gt;"",INDEX('Form Calc'!$C:$C,T209)&amp;"","")))</f>
        <v/>
      </c>
      <c r="Z209" s="32">
        <f>SUBSTITUTE(SUBSTITUTE(SUBSTITUTE(SUBSTITUTE(SUBSTITUTE(SUBSTITUTE(SUBSTITUTE(SUBSTITUTE(Y209," ",""),"-",""),"(",""),")",""),".",""),"+",""),"/",""),CHAR(160),"")</f>
        <v/>
      </c>
      <c r="AA209" s="32">
        <f>IF(Z209="","",IF(LEN(Z209)=10,"+1"&amp;Z209,IF(AND(LEN(Z209)=11,LEFT(Z209,1)="1"),"+"&amp;Z209,IF(LEFT(Y209,1)="+","+"&amp;Z209,Z209))))</f>
        <v/>
      </c>
      <c r="AB209" s="32">
        <f>IF(TRIM(A209&amp;"")="","",IF(TRIM(M209&amp;"")&lt;&gt;"",TRIM(M209&amp;""),IFERROR(LEFT(TRIM(A209&amp;""),FIND(" ",TRIM(A209&amp;""))-1),TRIM(A209&amp;""))))</f>
        <v/>
      </c>
      <c r="AC209" s="32">
        <f>SUBSTITUTE(SUBSTITUTE(SUBSTITUTE(SUBSTITUTE(SUBSTITUTE(SUBSTITUTE(SUBSTITUTE(SUBSTITUTE(SUBSTITUTE(SUBSTITUTE(AB209,"%","%25"),"&amp;","%26"),"#","%23"),"+","%2B"),"=","%3D"),"?","%3F"),CHAR(34),"%22"),CHAR(10),"%0A"),CHAR(13),"")," ","+")</f>
        <v/>
      </c>
      <c r="AD209" s="32">
        <f>IF(OR(AA209="",AB209=""),"",'Start Here'!$B$20&amp;"#p="&amp;SUBSTITUTE(AA209,"+","%2B")&amp;"&amp;n="&amp;AC209&amp;"&amp;m="&amp;SUBSTITUTE('Start Here'!$B$24,"{name}",AC209))</f>
        <v/>
      </c>
      <c r="AE209" s="32">
        <f>LEN(AD209)</f>
        <v/>
      </c>
      <c r="AF209" s="32">
        <f>IF(AND(TRIM(A209&amp;"")&lt;&gt;"",OR(B209="Awaiting",B209="Not sure yet")),1,0)</f>
        <v/>
      </c>
      <c r="AG209" s="32">
        <f>N(AG208)+AF209</f>
        <v/>
      </c>
      <c r="AH209" s="32">
        <f>IF(AF209=1,AG209,"")</f>
        <v/>
      </c>
      <c r="AI209" s="32">
        <f>IF(AND(TRIM(A209&amp;"")&lt;&gt;"",L209&amp;""&lt;&gt;"",L209&amp;""=Seating!$I$3&amp;"",B209&lt;&gt;"Declined"),1,0)</f>
        <v/>
      </c>
      <c r="AJ209" s="32">
        <f>N(AJ208)+AI209</f>
        <v/>
      </c>
      <c r="AK209" s="32">
        <f>IF(AI209=1,AJ209,"")</f>
        <v/>
      </c>
    </row>
    <row r="210">
      <c r="A210" s="10" t="n"/>
      <c r="B210" s="47">
        <f>IF(TRIM(A210&amp;"")="","",IF(W210&lt;&gt;"",W210,IF(I210="","Awaiting",I210)))</f>
        <v/>
      </c>
      <c r="C210" s="60">
        <f>IF(OR(B210="Awaiting",B210="Not sure yet"),IF(AD210&lt;&gt;"",HYPERLINK(AD210,"💬 Remind"),"add mobile"),"")</f>
        <v/>
      </c>
      <c r="D210" s="58" t="n"/>
      <c r="E210" s="10" t="n"/>
      <c r="F210" s="10" t="n"/>
      <c r="G210" s="10" t="n"/>
      <c r="H210" s="10" t="n"/>
      <c r="I210" s="10" t="n"/>
      <c r="J210" s="10" t="n"/>
      <c r="K210" s="10" t="n"/>
      <c r="L210" s="56" t="n"/>
      <c r="M210" s="10" t="n"/>
      <c r="N210" s="12" t="n"/>
      <c r="O210" s="10" t="n"/>
      <c r="P210" s="10" t="n"/>
      <c r="Q210" s="61">
        <f>IF(V210="","",IF(T210="","Covered by "&amp;INDEX('Form Calc'!$B:$B,V210)&amp;"'s reply (same party)","Replied "&amp;TEXT(INDEX('Form Calc'!$A:$A,T210),"mm/dd")&amp;" · "&amp;INDEX('Form Calc'!$H:$H,T210)&amp;" adult(s), "&amp;INDEX('Form Calc'!$I:$I,T210)&amp;" child(ren)"&amp;IF(INDEX('Form Calc'!$K:$K,T210)&lt;&gt;""," · "&amp;INDEX('Form Calc'!$K:$K,T210),"")&amp;IF(INDEX('Form Calc'!$M:$M,T210)&lt;&gt;""," · “"&amp;INDEX('Form Calc'!$M:$M,T210)&amp;"”","")))</f>
        <v/>
      </c>
      <c r="R210" s="32">
        <f>SUBSTITUTE(SUBSTITUTE(SUBSTITUTE(SUBSTITUTE(SUBSTITUTE(SUBSTITUTE(SUBSTITUTE(SUBSTITUTE(D210&amp;""," ",""),"-",""),"(",""),")",""),".",""),"+",""),"/",""),CHAR(160),"")</f>
        <v/>
      </c>
      <c r="S210" s="32">
        <f>IF(LEN(R210)&gt;=10,RIGHT(R210,10),R210)</f>
        <v/>
      </c>
      <c r="T210" s="32">
        <f>IF(TRIM(A210&amp;"")="","",IF(S210&lt;&gt;"",IFERROR(MATCH(S210,'Form Calc'!$P:$P,0),IFERROR(MATCH(TRIM(A210&amp;""),'Form Calc'!$Q:$Q,0),"")),IFERROR(MATCH(TRIM(A210&amp;""),'Form Calc'!$Q:$Q,0),"")))</f>
        <v/>
      </c>
      <c r="U210" s="32">
        <f>IF(AND(T210&lt;&gt;"",TRIM(E210&amp;"")&lt;&gt;""),TRIM(E210&amp;""),"")</f>
        <v/>
      </c>
      <c r="V210" s="32">
        <f>IF(TRIM(A210&amp;"")="","",IF(T210&lt;&gt;"",T210,IF(TRIM(E210&amp;"")="","",IFERROR(INDEX($T$6:$T$505,MATCH(TRIM(E210&amp;""),$U$6:$U$505,0)),""))))</f>
        <v/>
      </c>
      <c r="W210" s="32">
        <f>IF(V210="","",INDEX('Form Calc'!$G:$G,V210))</f>
        <v/>
      </c>
      <c r="X210" s="32">
        <f>IF(TRIM(A210&amp;"")="","",IF(T210&lt;&gt;"",IF(INDEX('Form Calc'!$K:$K,T210)&lt;&gt;"",INDEX('Form Calc'!$K:$K,T210),J210&amp;""),J210&amp;""))</f>
        <v/>
      </c>
      <c r="Y210" s="32">
        <f>IF(TRIM(A210&amp;"")="","",IF(TRIM(D210&amp;"")&lt;&gt;"",TRIM(D210&amp;""),IF(T210&lt;&gt;"",INDEX('Form Calc'!$C:$C,T210)&amp;"","")))</f>
        <v/>
      </c>
      <c r="Z210" s="32">
        <f>SUBSTITUTE(SUBSTITUTE(SUBSTITUTE(SUBSTITUTE(SUBSTITUTE(SUBSTITUTE(SUBSTITUTE(SUBSTITUTE(Y210," ",""),"-",""),"(",""),")",""),".",""),"+",""),"/",""),CHAR(160),"")</f>
        <v/>
      </c>
      <c r="AA210" s="32">
        <f>IF(Z210="","",IF(LEN(Z210)=10,"+1"&amp;Z210,IF(AND(LEN(Z210)=11,LEFT(Z210,1)="1"),"+"&amp;Z210,IF(LEFT(Y210,1)="+","+"&amp;Z210,Z210))))</f>
        <v/>
      </c>
      <c r="AB210" s="32">
        <f>IF(TRIM(A210&amp;"")="","",IF(TRIM(M210&amp;"")&lt;&gt;"",TRIM(M210&amp;""),IFERROR(LEFT(TRIM(A210&amp;""),FIND(" ",TRIM(A210&amp;""))-1),TRIM(A210&amp;""))))</f>
        <v/>
      </c>
      <c r="AC210" s="32">
        <f>SUBSTITUTE(SUBSTITUTE(SUBSTITUTE(SUBSTITUTE(SUBSTITUTE(SUBSTITUTE(SUBSTITUTE(SUBSTITUTE(SUBSTITUTE(SUBSTITUTE(AB210,"%","%25"),"&amp;","%26"),"#","%23"),"+","%2B"),"=","%3D"),"?","%3F"),CHAR(34),"%22"),CHAR(10),"%0A"),CHAR(13),"")," ","+")</f>
        <v/>
      </c>
      <c r="AD210" s="32">
        <f>IF(OR(AA210="",AB210=""),"",'Start Here'!$B$20&amp;"#p="&amp;SUBSTITUTE(AA210,"+","%2B")&amp;"&amp;n="&amp;AC210&amp;"&amp;m="&amp;SUBSTITUTE('Start Here'!$B$24,"{name}",AC210))</f>
        <v/>
      </c>
      <c r="AE210" s="32">
        <f>LEN(AD210)</f>
        <v/>
      </c>
      <c r="AF210" s="32">
        <f>IF(AND(TRIM(A210&amp;"")&lt;&gt;"",OR(B210="Awaiting",B210="Not sure yet")),1,0)</f>
        <v/>
      </c>
      <c r="AG210" s="32">
        <f>N(AG209)+AF210</f>
        <v/>
      </c>
      <c r="AH210" s="32">
        <f>IF(AF210=1,AG210,"")</f>
        <v/>
      </c>
      <c r="AI210" s="32">
        <f>IF(AND(TRIM(A210&amp;"")&lt;&gt;"",L210&amp;""&lt;&gt;"",L210&amp;""=Seating!$I$3&amp;"",B210&lt;&gt;"Declined"),1,0)</f>
        <v/>
      </c>
      <c r="AJ210" s="32">
        <f>N(AJ209)+AI210</f>
        <v/>
      </c>
      <c r="AK210" s="32">
        <f>IF(AI210=1,AJ210,"")</f>
        <v/>
      </c>
    </row>
    <row r="211">
      <c r="A211" s="10" t="n"/>
      <c r="B211" s="47">
        <f>IF(TRIM(A211&amp;"")="","",IF(W211&lt;&gt;"",W211,IF(I211="","Awaiting",I211)))</f>
        <v/>
      </c>
      <c r="C211" s="60">
        <f>IF(OR(B211="Awaiting",B211="Not sure yet"),IF(AD211&lt;&gt;"",HYPERLINK(AD211,"💬 Remind"),"add mobile"),"")</f>
        <v/>
      </c>
      <c r="D211" s="58" t="n"/>
      <c r="E211" s="10" t="n"/>
      <c r="F211" s="10" t="n"/>
      <c r="G211" s="10" t="n"/>
      <c r="H211" s="10" t="n"/>
      <c r="I211" s="10" t="n"/>
      <c r="J211" s="10" t="n"/>
      <c r="K211" s="10" t="n"/>
      <c r="L211" s="56" t="n"/>
      <c r="M211" s="10" t="n"/>
      <c r="N211" s="12" t="n"/>
      <c r="O211" s="10" t="n"/>
      <c r="P211" s="10" t="n"/>
      <c r="Q211" s="61">
        <f>IF(V211="","",IF(T211="","Covered by "&amp;INDEX('Form Calc'!$B:$B,V211)&amp;"'s reply (same party)","Replied "&amp;TEXT(INDEX('Form Calc'!$A:$A,T211),"mm/dd")&amp;" · "&amp;INDEX('Form Calc'!$H:$H,T211)&amp;" adult(s), "&amp;INDEX('Form Calc'!$I:$I,T211)&amp;" child(ren)"&amp;IF(INDEX('Form Calc'!$K:$K,T211)&lt;&gt;""," · "&amp;INDEX('Form Calc'!$K:$K,T211),"")&amp;IF(INDEX('Form Calc'!$M:$M,T211)&lt;&gt;""," · “"&amp;INDEX('Form Calc'!$M:$M,T211)&amp;"”","")))</f>
        <v/>
      </c>
      <c r="R211" s="32">
        <f>SUBSTITUTE(SUBSTITUTE(SUBSTITUTE(SUBSTITUTE(SUBSTITUTE(SUBSTITUTE(SUBSTITUTE(SUBSTITUTE(D211&amp;""," ",""),"-",""),"(",""),")",""),".",""),"+",""),"/",""),CHAR(160),"")</f>
        <v/>
      </c>
      <c r="S211" s="32">
        <f>IF(LEN(R211)&gt;=10,RIGHT(R211,10),R211)</f>
        <v/>
      </c>
      <c r="T211" s="32">
        <f>IF(TRIM(A211&amp;"")="","",IF(S211&lt;&gt;"",IFERROR(MATCH(S211,'Form Calc'!$P:$P,0),IFERROR(MATCH(TRIM(A211&amp;""),'Form Calc'!$Q:$Q,0),"")),IFERROR(MATCH(TRIM(A211&amp;""),'Form Calc'!$Q:$Q,0),"")))</f>
        <v/>
      </c>
      <c r="U211" s="32">
        <f>IF(AND(T211&lt;&gt;"",TRIM(E211&amp;"")&lt;&gt;""),TRIM(E211&amp;""),"")</f>
        <v/>
      </c>
      <c r="V211" s="32">
        <f>IF(TRIM(A211&amp;"")="","",IF(T211&lt;&gt;"",T211,IF(TRIM(E211&amp;"")="","",IFERROR(INDEX($T$6:$T$505,MATCH(TRIM(E211&amp;""),$U$6:$U$505,0)),""))))</f>
        <v/>
      </c>
      <c r="W211" s="32">
        <f>IF(V211="","",INDEX('Form Calc'!$G:$G,V211))</f>
        <v/>
      </c>
      <c r="X211" s="32">
        <f>IF(TRIM(A211&amp;"")="","",IF(T211&lt;&gt;"",IF(INDEX('Form Calc'!$K:$K,T211)&lt;&gt;"",INDEX('Form Calc'!$K:$K,T211),J211&amp;""),J211&amp;""))</f>
        <v/>
      </c>
      <c r="Y211" s="32">
        <f>IF(TRIM(A211&amp;"")="","",IF(TRIM(D211&amp;"")&lt;&gt;"",TRIM(D211&amp;""),IF(T211&lt;&gt;"",INDEX('Form Calc'!$C:$C,T211)&amp;"","")))</f>
        <v/>
      </c>
      <c r="Z211" s="32">
        <f>SUBSTITUTE(SUBSTITUTE(SUBSTITUTE(SUBSTITUTE(SUBSTITUTE(SUBSTITUTE(SUBSTITUTE(SUBSTITUTE(Y211," ",""),"-",""),"(",""),")",""),".",""),"+",""),"/",""),CHAR(160),"")</f>
        <v/>
      </c>
      <c r="AA211" s="32">
        <f>IF(Z211="","",IF(LEN(Z211)=10,"+1"&amp;Z211,IF(AND(LEN(Z211)=11,LEFT(Z211,1)="1"),"+"&amp;Z211,IF(LEFT(Y211,1)="+","+"&amp;Z211,Z211))))</f>
        <v/>
      </c>
      <c r="AB211" s="32">
        <f>IF(TRIM(A211&amp;"")="","",IF(TRIM(M211&amp;"")&lt;&gt;"",TRIM(M211&amp;""),IFERROR(LEFT(TRIM(A211&amp;""),FIND(" ",TRIM(A211&amp;""))-1),TRIM(A211&amp;""))))</f>
        <v/>
      </c>
      <c r="AC211" s="32">
        <f>SUBSTITUTE(SUBSTITUTE(SUBSTITUTE(SUBSTITUTE(SUBSTITUTE(SUBSTITUTE(SUBSTITUTE(SUBSTITUTE(SUBSTITUTE(SUBSTITUTE(AB211,"%","%25"),"&amp;","%26"),"#","%23"),"+","%2B"),"=","%3D"),"?","%3F"),CHAR(34),"%22"),CHAR(10),"%0A"),CHAR(13),"")," ","+")</f>
        <v/>
      </c>
      <c r="AD211" s="32">
        <f>IF(OR(AA211="",AB211=""),"",'Start Here'!$B$20&amp;"#p="&amp;SUBSTITUTE(AA211,"+","%2B")&amp;"&amp;n="&amp;AC211&amp;"&amp;m="&amp;SUBSTITUTE('Start Here'!$B$24,"{name}",AC211))</f>
        <v/>
      </c>
      <c r="AE211" s="32">
        <f>LEN(AD211)</f>
        <v/>
      </c>
      <c r="AF211" s="32">
        <f>IF(AND(TRIM(A211&amp;"")&lt;&gt;"",OR(B211="Awaiting",B211="Not sure yet")),1,0)</f>
        <v/>
      </c>
      <c r="AG211" s="32">
        <f>N(AG210)+AF211</f>
        <v/>
      </c>
      <c r="AH211" s="32">
        <f>IF(AF211=1,AG211,"")</f>
        <v/>
      </c>
      <c r="AI211" s="32">
        <f>IF(AND(TRIM(A211&amp;"")&lt;&gt;"",L211&amp;""&lt;&gt;"",L211&amp;""=Seating!$I$3&amp;"",B211&lt;&gt;"Declined"),1,0)</f>
        <v/>
      </c>
      <c r="AJ211" s="32">
        <f>N(AJ210)+AI211</f>
        <v/>
      </c>
      <c r="AK211" s="32">
        <f>IF(AI211=1,AJ211,"")</f>
        <v/>
      </c>
    </row>
    <row r="212">
      <c r="A212" s="10" t="n"/>
      <c r="B212" s="47">
        <f>IF(TRIM(A212&amp;"")="","",IF(W212&lt;&gt;"",W212,IF(I212="","Awaiting",I212)))</f>
        <v/>
      </c>
      <c r="C212" s="60">
        <f>IF(OR(B212="Awaiting",B212="Not sure yet"),IF(AD212&lt;&gt;"",HYPERLINK(AD212,"💬 Remind"),"add mobile"),"")</f>
        <v/>
      </c>
      <c r="D212" s="58" t="n"/>
      <c r="E212" s="10" t="n"/>
      <c r="F212" s="10" t="n"/>
      <c r="G212" s="10" t="n"/>
      <c r="H212" s="10" t="n"/>
      <c r="I212" s="10" t="n"/>
      <c r="J212" s="10" t="n"/>
      <c r="K212" s="10" t="n"/>
      <c r="L212" s="56" t="n"/>
      <c r="M212" s="10" t="n"/>
      <c r="N212" s="12" t="n"/>
      <c r="O212" s="10" t="n"/>
      <c r="P212" s="10" t="n"/>
      <c r="Q212" s="61">
        <f>IF(V212="","",IF(T212="","Covered by "&amp;INDEX('Form Calc'!$B:$B,V212)&amp;"'s reply (same party)","Replied "&amp;TEXT(INDEX('Form Calc'!$A:$A,T212),"mm/dd")&amp;" · "&amp;INDEX('Form Calc'!$H:$H,T212)&amp;" adult(s), "&amp;INDEX('Form Calc'!$I:$I,T212)&amp;" child(ren)"&amp;IF(INDEX('Form Calc'!$K:$K,T212)&lt;&gt;""," · "&amp;INDEX('Form Calc'!$K:$K,T212),"")&amp;IF(INDEX('Form Calc'!$M:$M,T212)&lt;&gt;""," · “"&amp;INDEX('Form Calc'!$M:$M,T212)&amp;"”","")))</f>
        <v/>
      </c>
      <c r="R212" s="32">
        <f>SUBSTITUTE(SUBSTITUTE(SUBSTITUTE(SUBSTITUTE(SUBSTITUTE(SUBSTITUTE(SUBSTITUTE(SUBSTITUTE(D212&amp;""," ",""),"-",""),"(",""),")",""),".",""),"+",""),"/",""),CHAR(160),"")</f>
        <v/>
      </c>
      <c r="S212" s="32">
        <f>IF(LEN(R212)&gt;=10,RIGHT(R212,10),R212)</f>
        <v/>
      </c>
      <c r="T212" s="32">
        <f>IF(TRIM(A212&amp;"")="","",IF(S212&lt;&gt;"",IFERROR(MATCH(S212,'Form Calc'!$P:$P,0),IFERROR(MATCH(TRIM(A212&amp;""),'Form Calc'!$Q:$Q,0),"")),IFERROR(MATCH(TRIM(A212&amp;""),'Form Calc'!$Q:$Q,0),"")))</f>
        <v/>
      </c>
      <c r="U212" s="32">
        <f>IF(AND(T212&lt;&gt;"",TRIM(E212&amp;"")&lt;&gt;""),TRIM(E212&amp;""),"")</f>
        <v/>
      </c>
      <c r="V212" s="32">
        <f>IF(TRIM(A212&amp;"")="","",IF(T212&lt;&gt;"",T212,IF(TRIM(E212&amp;"")="","",IFERROR(INDEX($T$6:$T$505,MATCH(TRIM(E212&amp;""),$U$6:$U$505,0)),""))))</f>
        <v/>
      </c>
      <c r="W212" s="32">
        <f>IF(V212="","",INDEX('Form Calc'!$G:$G,V212))</f>
        <v/>
      </c>
      <c r="X212" s="32">
        <f>IF(TRIM(A212&amp;"")="","",IF(T212&lt;&gt;"",IF(INDEX('Form Calc'!$K:$K,T212)&lt;&gt;"",INDEX('Form Calc'!$K:$K,T212),J212&amp;""),J212&amp;""))</f>
        <v/>
      </c>
      <c r="Y212" s="32">
        <f>IF(TRIM(A212&amp;"")="","",IF(TRIM(D212&amp;"")&lt;&gt;"",TRIM(D212&amp;""),IF(T212&lt;&gt;"",INDEX('Form Calc'!$C:$C,T212)&amp;"","")))</f>
        <v/>
      </c>
      <c r="Z212" s="32">
        <f>SUBSTITUTE(SUBSTITUTE(SUBSTITUTE(SUBSTITUTE(SUBSTITUTE(SUBSTITUTE(SUBSTITUTE(SUBSTITUTE(Y212," ",""),"-",""),"(",""),")",""),".",""),"+",""),"/",""),CHAR(160),"")</f>
        <v/>
      </c>
      <c r="AA212" s="32">
        <f>IF(Z212="","",IF(LEN(Z212)=10,"+1"&amp;Z212,IF(AND(LEN(Z212)=11,LEFT(Z212,1)="1"),"+"&amp;Z212,IF(LEFT(Y212,1)="+","+"&amp;Z212,Z212))))</f>
        <v/>
      </c>
      <c r="AB212" s="32">
        <f>IF(TRIM(A212&amp;"")="","",IF(TRIM(M212&amp;"")&lt;&gt;"",TRIM(M212&amp;""),IFERROR(LEFT(TRIM(A212&amp;""),FIND(" ",TRIM(A212&amp;""))-1),TRIM(A212&amp;""))))</f>
        <v/>
      </c>
      <c r="AC212" s="32">
        <f>SUBSTITUTE(SUBSTITUTE(SUBSTITUTE(SUBSTITUTE(SUBSTITUTE(SUBSTITUTE(SUBSTITUTE(SUBSTITUTE(SUBSTITUTE(SUBSTITUTE(AB212,"%","%25"),"&amp;","%26"),"#","%23"),"+","%2B"),"=","%3D"),"?","%3F"),CHAR(34),"%22"),CHAR(10),"%0A"),CHAR(13),"")," ","+")</f>
        <v/>
      </c>
      <c r="AD212" s="32">
        <f>IF(OR(AA212="",AB212=""),"",'Start Here'!$B$20&amp;"#p="&amp;SUBSTITUTE(AA212,"+","%2B")&amp;"&amp;n="&amp;AC212&amp;"&amp;m="&amp;SUBSTITUTE('Start Here'!$B$24,"{name}",AC212))</f>
        <v/>
      </c>
      <c r="AE212" s="32">
        <f>LEN(AD212)</f>
        <v/>
      </c>
      <c r="AF212" s="32">
        <f>IF(AND(TRIM(A212&amp;"")&lt;&gt;"",OR(B212="Awaiting",B212="Not sure yet")),1,0)</f>
        <v/>
      </c>
      <c r="AG212" s="32">
        <f>N(AG211)+AF212</f>
        <v/>
      </c>
      <c r="AH212" s="32">
        <f>IF(AF212=1,AG212,"")</f>
        <v/>
      </c>
      <c r="AI212" s="32">
        <f>IF(AND(TRIM(A212&amp;"")&lt;&gt;"",L212&amp;""&lt;&gt;"",L212&amp;""=Seating!$I$3&amp;"",B212&lt;&gt;"Declined"),1,0)</f>
        <v/>
      </c>
      <c r="AJ212" s="32">
        <f>N(AJ211)+AI212</f>
        <v/>
      </c>
      <c r="AK212" s="32">
        <f>IF(AI212=1,AJ212,"")</f>
        <v/>
      </c>
    </row>
    <row r="213">
      <c r="A213" s="10" t="n"/>
      <c r="B213" s="47">
        <f>IF(TRIM(A213&amp;"")="","",IF(W213&lt;&gt;"",W213,IF(I213="","Awaiting",I213)))</f>
        <v/>
      </c>
      <c r="C213" s="60">
        <f>IF(OR(B213="Awaiting",B213="Not sure yet"),IF(AD213&lt;&gt;"",HYPERLINK(AD213,"💬 Remind"),"add mobile"),"")</f>
        <v/>
      </c>
      <c r="D213" s="58" t="n"/>
      <c r="E213" s="10" t="n"/>
      <c r="F213" s="10" t="n"/>
      <c r="G213" s="10" t="n"/>
      <c r="H213" s="10" t="n"/>
      <c r="I213" s="10" t="n"/>
      <c r="J213" s="10" t="n"/>
      <c r="K213" s="10" t="n"/>
      <c r="L213" s="56" t="n"/>
      <c r="M213" s="10" t="n"/>
      <c r="N213" s="12" t="n"/>
      <c r="O213" s="10" t="n"/>
      <c r="P213" s="10" t="n"/>
      <c r="Q213" s="61">
        <f>IF(V213="","",IF(T213="","Covered by "&amp;INDEX('Form Calc'!$B:$B,V213)&amp;"'s reply (same party)","Replied "&amp;TEXT(INDEX('Form Calc'!$A:$A,T213),"mm/dd")&amp;" · "&amp;INDEX('Form Calc'!$H:$H,T213)&amp;" adult(s), "&amp;INDEX('Form Calc'!$I:$I,T213)&amp;" child(ren)"&amp;IF(INDEX('Form Calc'!$K:$K,T213)&lt;&gt;""," · "&amp;INDEX('Form Calc'!$K:$K,T213),"")&amp;IF(INDEX('Form Calc'!$M:$M,T213)&lt;&gt;""," · “"&amp;INDEX('Form Calc'!$M:$M,T213)&amp;"”","")))</f>
        <v/>
      </c>
      <c r="R213" s="32">
        <f>SUBSTITUTE(SUBSTITUTE(SUBSTITUTE(SUBSTITUTE(SUBSTITUTE(SUBSTITUTE(SUBSTITUTE(SUBSTITUTE(D213&amp;""," ",""),"-",""),"(",""),")",""),".",""),"+",""),"/",""),CHAR(160),"")</f>
        <v/>
      </c>
      <c r="S213" s="32">
        <f>IF(LEN(R213)&gt;=10,RIGHT(R213,10),R213)</f>
        <v/>
      </c>
      <c r="T213" s="32">
        <f>IF(TRIM(A213&amp;"")="","",IF(S213&lt;&gt;"",IFERROR(MATCH(S213,'Form Calc'!$P:$P,0),IFERROR(MATCH(TRIM(A213&amp;""),'Form Calc'!$Q:$Q,0),"")),IFERROR(MATCH(TRIM(A213&amp;""),'Form Calc'!$Q:$Q,0),"")))</f>
        <v/>
      </c>
      <c r="U213" s="32">
        <f>IF(AND(T213&lt;&gt;"",TRIM(E213&amp;"")&lt;&gt;""),TRIM(E213&amp;""),"")</f>
        <v/>
      </c>
      <c r="V213" s="32">
        <f>IF(TRIM(A213&amp;"")="","",IF(T213&lt;&gt;"",T213,IF(TRIM(E213&amp;"")="","",IFERROR(INDEX($T$6:$T$505,MATCH(TRIM(E213&amp;""),$U$6:$U$505,0)),""))))</f>
        <v/>
      </c>
      <c r="W213" s="32">
        <f>IF(V213="","",INDEX('Form Calc'!$G:$G,V213))</f>
        <v/>
      </c>
      <c r="X213" s="32">
        <f>IF(TRIM(A213&amp;"")="","",IF(T213&lt;&gt;"",IF(INDEX('Form Calc'!$K:$K,T213)&lt;&gt;"",INDEX('Form Calc'!$K:$K,T213),J213&amp;""),J213&amp;""))</f>
        <v/>
      </c>
      <c r="Y213" s="32">
        <f>IF(TRIM(A213&amp;"")="","",IF(TRIM(D213&amp;"")&lt;&gt;"",TRIM(D213&amp;""),IF(T213&lt;&gt;"",INDEX('Form Calc'!$C:$C,T213)&amp;"","")))</f>
        <v/>
      </c>
      <c r="Z213" s="32">
        <f>SUBSTITUTE(SUBSTITUTE(SUBSTITUTE(SUBSTITUTE(SUBSTITUTE(SUBSTITUTE(SUBSTITUTE(SUBSTITUTE(Y213," ",""),"-",""),"(",""),")",""),".",""),"+",""),"/",""),CHAR(160),"")</f>
        <v/>
      </c>
      <c r="AA213" s="32">
        <f>IF(Z213="","",IF(LEN(Z213)=10,"+1"&amp;Z213,IF(AND(LEN(Z213)=11,LEFT(Z213,1)="1"),"+"&amp;Z213,IF(LEFT(Y213,1)="+","+"&amp;Z213,Z213))))</f>
        <v/>
      </c>
      <c r="AB213" s="32">
        <f>IF(TRIM(A213&amp;"")="","",IF(TRIM(M213&amp;"")&lt;&gt;"",TRIM(M213&amp;""),IFERROR(LEFT(TRIM(A213&amp;""),FIND(" ",TRIM(A213&amp;""))-1),TRIM(A213&amp;""))))</f>
        <v/>
      </c>
      <c r="AC213" s="32">
        <f>SUBSTITUTE(SUBSTITUTE(SUBSTITUTE(SUBSTITUTE(SUBSTITUTE(SUBSTITUTE(SUBSTITUTE(SUBSTITUTE(SUBSTITUTE(SUBSTITUTE(AB213,"%","%25"),"&amp;","%26"),"#","%23"),"+","%2B"),"=","%3D"),"?","%3F"),CHAR(34),"%22"),CHAR(10),"%0A"),CHAR(13),"")," ","+")</f>
        <v/>
      </c>
      <c r="AD213" s="32">
        <f>IF(OR(AA213="",AB213=""),"",'Start Here'!$B$20&amp;"#p="&amp;SUBSTITUTE(AA213,"+","%2B")&amp;"&amp;n="&amp;AC213&amp;"&amp;m="&amp;SUBSTITUTE('Start Here'!$B$24,"{name}",AC213))</f>
        <v/>
      </c>
      <c r="AE213" s="32">
        <f>LEN(AD213)</f>
        <v/>
      </c>
      <c r="AF213" s="32">
        <f>IF(AND(TRIM(A213&amp;"")&lt;&gt;"",OR(B213="Awaiting",B213="Not sure yet")),1,0)</f>
        <v/>
      </c>
      <c r="AG213" s="32">
        <f>N(AG212)+AF213</f>
        <v/>
      </c>
      <c r="AH213" s="32">
        <f>IF(AF213=1,AG213,"")</f>
        <v/>
      </c>
      <c r="AI213" s="32">
        <f>IF(AND(TRIM(A213&amp;"")&lt;&gt;"",L213&amp;""&lt;&gt;"",L213&amp;""=Seating!$I$3&amp;"",B213&lt;&gt;"Declined"),1,0)</f>
        <v/>
      </c>
      <c r="AJ213" s="32">
        <f>N(AJ212)+AI213</f>
        <v/>
      </c>
      <c r="AK213" s="32">
        <f>IF(AI213=1,AJ213,"")</f>
        <v/>
      </c>
    </row>
    <row r="214">
      <c r="A214" s="10" t="n"/>
      <c r="B214" s="47">
        <f>IF(TRIM(A214&amp;"")="","",IF(W214&lt;&gt;"",W214,IF(I214="","Awaiting",I214)))</f>
        <v/>
      </c>
      <c r="C214" s="60">
        <f>IF(OR(B214="Awaiting",B214="Not sure yet"),IF(AD214&lt;&gt;"",HYPERLINK(AD214,"💬 Remind"),"add mobile"),"")</f>
        <v/>
      </c>
      <c r="D214" s="58" t="n"/>
      <c r="E214" s="10" t="n"/>
      <c r="F214" s="10" t="n"/>
      <c r="G214" s="10" t="n"/>
      <c r="H214" s="10" t="n"/>
      <c r="I214" s="10" t="n"/>
      <c r="J214" s="10" t="n"/>
      <c r="K214" s="10" t="n"/>
      <c r="L214" s="56" t="n"/>
      <c r="M214" s="10" t="n"/>
      <c r="N214" s="12" t="n"/>
      <c r="O214" s="10" t="n"/>
      <c r="P214" s="10" t="n"/>
      <c r="Q214" s="61">
        <f>IF(V214="","",IF(T214="","Covered by "&amp;INDEX('Form Calc'!$B:$B,V214)&amp;"'s reply (same party)","Replied "&amp;TEXT(INDEX('Form Calc'!$A:$A,T214),"mm/dd")&amp;" · "&amp;INDEX('Form Calc'!$H:$H,T214)&amp;" adult(s), "&amp;INDEX('Form Calc'!$I:$I,T214)&amp;" child(ren)"&amp;IF(INDEX('Form Calc'!$K:$K,T214)&lt;&gt;""," · "&amp;INDEX('Form Calc'!$K:$K,T214),"")&amp;IF(INDEX('Form Calc'!$M:$M,T214)&lt;&gt;""," · “"&amp;INDEX('Form Calc'!$M:$M,T214)&amp;"”","")))</f>
        <v/>
      </c>
      <c r="R214" s="32">
        <f>SUBSTITUTE(SUBSTITUTE(SUBSTITUTE(SUBSTITUTE(SUBSTITUTE(SUBSTITUTE(SUBSTITUTE(SUBSTITUTE(D214&amp;""," ",""),"-",""),"(",""),")",""),".",""),"+",""),"/",""),CHAR(160),"")</f>
        <v/>
      </c>
      <c r="S214" s="32">
        <f>IF(LEN(R214)&gt;=10,RIGHT(R214,10),R214)</f>
        <v/>
      </c>
      <c r="T214" s="32">
        <f>IF(TRIM(A214&amp;"")="","",IF(S214&lt;&gt;"",IFERROR(MATCH(S214,'Form Calc'!$P:$P,0),IFERROR(MATCH(TRIM(A214&amp;""),'Form Calc'!$Q:$Q,0),"")),IFERROR(MATCH(TRIM(A214&amp;""),'Form Calc'!$Q:$Q,0),"")))</f>
        <v/>
      </c>
      <c r="U214" s="32">
        <f>IF(AND(T214&lt;&gt;"",TRIM(E214&amp;"")&lt;&gt;""),TRIM(E214&amp;""),"")</f>
        <v/>
      </c>
      <c r="V214" s="32">
        <f>IF(TRIM(A214&amp;"")="","",IF(T214&lt;&gt;"",T214,IF(TRIM(E214&amp;"")="","",IFERROR(INDEX($T$6:$T$505,MATCH(TRIM(E214&amp;""),$U$6:$U$505,0)),""))))</f>
        <v/>
      </c>
      <c r="W214" s="32">
        <f>IF(V214="","",INDEX('Form Calc'!$G:$G,V214))</f>
        <v/>
      </c>
      <c r="X214" s="32">
        <f>IF(TRIM(A214&amp;"")="","",IF(T214&lt;&gt;"",IF(INDEX('Form Calc'!$K:$K,T214)&lt;&gt;"",INDEX('Form Calc'!$K:$K,T214),J214&amp;""),J214&amp;""))</f>
        <v/>
      </c>
      <c r="Y214" s="32">
        <f>IF(TRIM(A214&amp;"")="","",IF(TRIM(D214&amp;"")&lt;&gt;"",TRIM(D214&amp;""),IF(T214&lt;&gt;"",INDEX('Form Calc'!$C:$C,T214)&amp;"","")))</f>
        <v/>
      </c>
      <c r="Z214" s="32">
        <f>SUBSTITUTE(SUBSTITUTE(SUBSTITUTE(SUBSTITUTE(SUBSTITUTE(SUBSTITUTE(SUBSTITUTE(SUBSTITUTE(Y214," ",""),"-",""),"(",""),")",""),".",""),"+",""),"/",""),CHAR(160),"")</f>
        <v/>
      </c>
      <c r="AA214" s="32">
        <f>IF(Z214="","",IF(LEN(Z214)=10,"+1"&amp;Z214,IF(AND(LEN(Z214)=11,LEFT(Z214,1)="1"),"+"&amp;Z214,IF(LEFT(Y214,1)="+","+"&amp;Z214,Z214))))</f>
        <v/>
      </c>
      <c r="AB214" s="32">
        <f>IF(TRIM(A214&amp;"")="","",IF(TRIM(M214&amp;"")&lt;&gt;"",TRIM(M214&amp;""),IFERROR(LEFT(TRIM(A214&amp;""),FIND(" ",TRIM(A214&amp;""))-1),TRIM(A214&amp;""))))</f>
        <v/>
      </c>
      <c r="AC214" s="32">
        <f>SUBSTITUTE(SUBSTITUTE(SUBSTITUTE(SUBSTITUTE(SUBSTITUTE(SUBSTITUTE(SUBSTITUTE(SUBSTITUTE(SUBSTITUTE(SUBSTITUTE(AB214,"%","%25"),"&amp;","%26"),"#","%23"),"+","%2B"),"=","%3D"),"?","%3F"),CHAR(34),"%22"),CHAR(10),"%0A"),CHAR(13),"")," ","+")</f>
        <v/>
      </c>
      <c r="AD214" s="32">
        <f>IF(OR(AA214="",AB214=""),"",'Start Here'!$B$20&amp;"#p="&amp;SUBSTITUTE(AA214,"+","%2B")&amp;"&amp;n="&amp;AC214&amp;"&amp;m="&amp;SUBSTITUTE('Start Here'!$B$24,"{name}",AC214))</f>
        <v/>
      </c>
      <c r="AE214" s="32">
        <f>LEN(AD214)</f>
        <v/>
      </c>
      <c r="AF214" s="32">
        <f>IF(AND(TRIM(A214&amp;"")&lt;&gt;"",OR(B214="Awaiting",B214="Not sure yet")),1,0)</f>
        <v/>
      </c>
      <c r="AG214" s="32">
        <f>N(AG213)+AF214</f>
        <v/>
      </c>
      <c r="AH214" s="32">
        <f>IF(AF214=1,AG214,"")</f>
        <v/>
      </c>
      <c r="AI214" s="32">
        <f>IF(AND(TRIM(A214&amp;"")&lt;&gt;"",L214&amp;""&lt;&gt;"",L214&amp;""=Seating!$I$3&amp;"",B214&lt;&gt;"Declined"),1,0)</f>
        <v/>
      </c>
      <c r="AJ214" s="32">
        <f>N(AJ213)+AI214</f>
        <v/>
      </c>
      <c r="AK214" s="32">
        <f>IF(AI214=1,AJ214,"")</f>
        <v/>
      </c>
    </row>
    <row r="215">
      <c r="A215" s="10" t="n"/>
      <c r="B215" s="47">
        <f>IF(TRIM(A215&amp;"")="","",IF(W215&lt;&gt;"",W215,IF(I215="","Awaiting",I215)))</f>
        <v/>
      </c>
      <c r="C215" s="60">
        <f>IF(OR(B215="Awaiting",B215="Not sure yet"),IF(AD215&lt;&gt;"",HYPERLINK(AD215,"💬 Remind"),"add mobile"),"")</f>
        <v/>
      </c>
      <c r="D215" s="58" t="n"/>
      <c r="E215" s="10" t="n"/>
      <c r="F215" s="10" t="n"/>
      <c r="G215" s="10" t="n"/>
      <c r="H215" s="10" t="n"/>
      <c r="I215" s="10" t="n"/>
      <c r="J215" s="10" t="n"/>
      <c r="K215" s="10" t="n"/>
      <c r="L215" s="56" t="n"/>
      <c r="M215" s="10" t="n"/>
      <c r="N215" s="12" t="n"/>
      <c r="O215" s="10" t="n"/>
      <c r="P215" s="10" t="n"/>
      <c r="Q215" s="61">
        <f>IF(V215="","",IF(T215="","Covered by "&amp;INDEX('Form Calc'!$B:$B,V215)&amp;"'s reply (same party)","Replied "&amp;TEXT(INDEX('Form Calc'!$A:$A,T215),"mm/dd")&amp;" · "&amp;INDEX('Form Calc'!$H:$H,T215)&amp;" adult(s), "&amp;INDEX('Form Calc'!$I:$I,T215)&amp;" child(ren)"&amp;IF(INDEX('Form Calc'!$K:$K,T215)&lt;&gt;""," · "&amp;INDEX('Form Calc'!$K:$K,T215),"")&amp;IF(INDEX('Form Calc'!$M:$M,T215)&lt;&gt;""," · “"&amp;INDEX('Form Calc'!$M:$M,T215)&amp;"”","")))</f>
        <v/>
      </c>
      <c r="R215" s="32">
        <f>SUBSTITUTE(SUBSTITUTE(SUBSTITUTE(SUBSTITUTE(SUBSTITUTE(SUBSTITUTE(SUBSTITUTE(SUBSTITUTE(D215&amp;""," ",""),"-",""),"(",""),")",""),".",""),"+",""),"/",""),CHAR(160),"")</f>
        <v/>
      </c>
      <c r="S215" s="32">
        <f>IF(LEN(R215)&gt;=10,RIGHT(R215,10),R215)</f>
        <v/>
      </c>
      <c r="T215" s="32">
        <f>IF(TRIM(A215&amp;"")="","",IF(S215&lt;&gt;"",IFERROR(MATCH(S215,'Form Calc'!$P:$P,0),IFERROR(MATCH(TRIM(A215&amp;""),'Form Calc'!$Q:$Q,0),"")),IFERROR(MATCH(TRIM(A215&amp;""),'Form Calc'!$Q:$Q,0),"")))</f>
        <v/>
      </c>
      <c r="U215" s="32">
        <f>IF(AND(T215&lt;&gt;"",TRIM(E215&amp;"")&lt;&gt;""),TRIM(E215&amp;""),"")</f>
        <v/>
      </c>
      <c r="V215" s="32">
        <f>IF(TRIM(A215&amp;"")="","",IF(T215&lt;&gt;"",T215,IF(TRIM(E215&amp;"")="","",IFERROR(INDEX($T$6:$T$505,MATCH(TRIM(E215&amp;""),$U$6:$U$505,0)),""))))</f>
        <v/>
      </c>
      <c r="W215" s="32">
        <f>IF(V215="","",INDEX('Form Calc'!$G:$G,V215))</f>
        <v/>
      </c>
      <c r="X215" s="32">
        <f>IF(TRIM(A215&amp;"")="","",IF(T215&lt;&gt;"",IF(INDEX('Form Calc'!$K:$K,T215)&lt;&gt;"",INDEX('Form Calc'!$K:$K,T215),J215&amp;""),J215&amp;""))</f>
        <v/>
      </c>
      <c r="Y215" s="32">
        <f>IF(TRIM(A215&amp;"")="","",IF(TRIM(D215&amp;"")&lt;&gt;"",TRIM(D215&amp;""),IF(T215&lt;&gt;"",INDEX('Form Calc'!$C:$C,T215)&amp;"","")))</f>
        <v/>
      </c>
      <c r="Z215" s="32">
        <f>SUBSTITUTE(SUBSTITUTE(SUBSTITUTE(SUBSTITUTE(SUBSTITUTE(SUBSTITUTE(SUBSTITUTE(SUBSTITUTE(Y215," ",""),"-",""),"(",""),")",""),".",""),"+",""),"/",""),CHAR(160),"")</f>
        <v/>
      </c>
      <c r="AA215" s="32">
        <f>IF(Z215="","",IF(LEN(Z215)=10,"+1"&amp;Z215,IF(AND(LEN(Z215)=11,LEFT(Z215,1)="1"),"+"&amp;Z215,IF(LEFT(Y215,1)="+","+"&amp;Z215,Z215))))</f>
        <v/>
      </c>
      <c r="AB215" s="32">
        <f>IF(TRIM(A215&amp;"")="","",IF(TRIM(M215&amp;"")&lt;&gt;"",TRIM(M215&amp;""),IFERROR(LEFT(TRIM(A215&amp;""),FIND(" ",TRIM(A215&amp;""))-1),TRIM(A215&amp;""))))</f>
        <v/>
      </c>
      <c r="AC215" s="32">
        <f>SUBSTITUTE(SUBSTITUTE(SUBSTITUTE(SUBSTITUTE(SUBSTITUTE(SUBSTITUTE(SUBSTITUTE(SUBSTITUTE(SUBSTITUTE(SUBSTITUTE(AB215,"%","%25"),"&amp;","%26"),"#","%23"),"+","%2B"),"=","%3D"),"?","%3F"),CHAR(34),"%22"),CHAR(10),"%0A"),CHAR(13),"")," ","+")</f>
        <v/>
      </c>
      <c r="AD215" s="32">
        <f>IF(OR(AA215="",AB215=""),"",'Start Here'!$B$20&amp;"#p="&amp;SUBSTITUTE(AA215,"+","%2B")&amp;"&amp;n="&amp;AC215&amp;"&amp;m="&amp;SUBSTITUTE('Start Here'!$B$24,"{name}",AC215))</f>
        <v/>
      </c>
      <c r="AE215" s="32">
        <f>LEN(AD215)</f>
        <v/>
      </c>
      <c r="AF215" s="32">
        <f>IF(AND(TRIM(A215&amp;"")&lt;&gt;"",OR(B215="Awaiting",B215="Not sure yet")),1,0)</f>
        <v/>
      </c>
      <c r="AG215" s="32">
        <f>N(AG214)+AF215</f>
        <v/>
      </c>
      <c r="AH215" s="32">
        <f>IF(AF215=1,AG215,"")</f>
        <v/>
      </c>
      <c r="AI215" s="32">
        <f>IF(AND(TRIM(A215&amp;"")&lt;&gt;"",L215&amp;""&lt;&gt;"",L215&amp;""=Seating!$I$3&amp;"",B215&lt;&gt;"Declined"),1,0)</f>
        <v/>
      </c>
      <c r="AJ215" s="32">
        <f>N(AJ214)+AI215</f>
        <v/>
      </c>
      <c r="AK215" s="32">
        <f>IF(AI215=1,AJ215,"")</f>
        <v/>
      </c>
    </row>
    <row r="216">
      <c r="A216" s="10" t="n"/>
      <c r="B216" s="47">
        <f>IF(TRIM(A216&amp;"")="","",IF(W216&lt;&gt;"",W216,IF(I216="","Awaiting",I216)))</f>
        <v/>
      </c>
      <c r="C216" s="60">
        <f>IF(OR(B216="Awaiting",B216="Not sure yet"),IF(AD216&lt;&gt;"",HYPERLINK(AD216,"💬 Remind"),"add mobile"),"")</f>
        <v/>
      </c>
      <c r="D216" s="58" t="n"/>
      <c r="E216" s="10" t="n"/>
      <c r="F216" s="10" t="n"/>
      <c r="G216" s="10" t="n"/>
      <c r="H216" s="10" t="n"/>
      <c r="I216" s="10" t="n"/>
      <c r="J216" s="10" t="n"/>
      <c r="K216" s="10" t="n"/>
      <c r="L216" s="56" t="n"/>
      <c r="M216" s="10" t="n"/>
      <c r="N216" s="12" t="n"/>
      <c r="O216" s="10" t="n"/>
      <c r="P216" s="10" t="n"/>
      <c r="Q216" s="61">
        <f>IF(V216="","",IF(T216="","Covered by "&amp;INDEX('Form Calc'!$B:$B,V216)&amp;"'s reply (same party)","Replied "&amp;TEXT(INDEX('Form Calc'!$A:$A,T216),"mm/dd")&amp;" · "&amp;INDEX('Form Calc'!$H:$H,T216)&amp;" adult(s), "&amp;INDEX('Form Calc'!$I:$I,T216)&amp;" child(ren)"&amp;IF(INDEX('Form Calc'!$K:$K,T216)&lt;&gt;""," · "&amp;INDEX('Form Calc'!$K:$K,T216),"")&amp;IF(INDEX('Form Calc'!$M:$M,T216)&lt;&gt;""," · “"&amp;INDEX('Form Calc'!$M:$M,T216)&amp;"”","")))</f>
        <v/>
      </c>
      <c r="R216" s="32">
        <f>SUBSTITUTE(SUBSTITUTE(SUBSTITUTE(SUBSTITUTE(SUBSTITUTE(SUBSTITUTE(SUBSTITUTE(SUBSTITUTE(D216&amp;""," ",""),"-",""),"(",""),")",""),".",""),"+",""),"/",""),CHAR(160),"")</f>
        <v/>
      </c>
      <c r="S216" s="32">
        <f>IF(LEN(R216)&gt;=10,RIGHT(R216,10),R216)</f>
        <v/>
      </c>
      <c r="T216" s="32">
        <f>IF(TRIM(A216&amp;"")="","",IF(S216&lt;&gt;"",IFERROR(MATCH(S216,'Form Calc'!$P:$P,0),IFERROR(MATCH(TRIM(A216&amp;""),'Form Calc'!$Q:$Q,0),"")),IFERROR(MATCH(TRIM(A216&amp;""),'Form Calc'!$Q:$Q,0),"")))</f>
        <v/>
      </c>
      <c r="U216" s="32">
        <f>IF(AND(T216&lt;&gt;"",TRIM(E216&amp;"")&lt;&gt;""),TRIM(E216&amp;""),"")</f>
        <v/>
      </c>
      <c r="V216" s="32">
        <f>IF(TRIM(A216&amp;"")="","",IF(T216&lt;&gt;"",T216,IF(TRIM(E216&amp;"")="","",IFERROR(INDEX($T$6:$T$505,MATCH(TRIM(E216&amp;""),$U$6:$U$505,0)),""))))</f>
        <v/>
      </c>
      <c r="W216" s="32">
        <f>IF(V216="","",INDEX('Form Calc'!$G:$G,V216))</f>
        <v/>
      </c>
      <c r="X216" s="32">
        <f>IF(TRIM(A216&amp;"")="","",IF(T216&lt;&gt;"",IF(INDEX('Form Calc'!$K:$K,T216)&lt;&gt;"",INDEX('Form Calc'!$K:$K,T216),J216&amp;""),J216&amp;""))</f>
        <v/>
      </c>
      <c r="Y216" s="32">
        <f>IF(TRIM(A216&amp;"")="","",IF(TRIM(D216&amp;"")&lt;&gt;"",TRIM(D216&amp;""),IF(T216&lt;&gt;"",INDEX('Form Calc'!$C:$C,T216)&amp;"","")))</f>
        <v/>
      </c>
      <c r="Z216" s="32">
        <f>SUBSTITUTE(SUBSTITUTE(SUBSTITUTE(SUBSTITUTE(SUBSTITUTE(SUBSTITUTE(SUBSTITUTE(SUBSTITUTE(Y216," ",""),"-",""),"(",""),")",""),".",""),"+",""),"/",""),CHAR(160),"")</f>
        <v/>
      </c>
      <c r="AA216" s="32">
        <f>IF(Z216="","",IF(LEN(Z216)=10,"+1"&amp;Z216,IF(AND(LEN(Z216)=11,LEFT(Z216,1)="1"),"+"&amp;Z216,IF(LEFT(Y216,1)="+","+"&amp;Z216,Z216))))</f>
        <v/>
      </c>
      <c r="AB216" s="32">
        <f>IF(TRIM(A216&amp;"")="","",IF(TRIM(M216&amp;"")&lt;&gt;"",TRIM(M216&amp;""),IFERROR(LEFT(TRIM(A216&amp;""),FIND(" ",TRIM(A216&amp;""))-1),TRIM(A216&amp;""))))</f>
        <v/>
      </c>
      <c r="AC216" s="32">
        <f>SUBSTITUTE(SUBSTITUTE(SUBSTITUTE(SUBSTITUTE(SUBSTITUTE(SUBSTITUTE(SUBSTITUTE(SUBSTITUTE(SUBSTITUTE(SUBSTITUTE(AB216,"%","%25"),"&amp;","%26"),"#","%23"),"+","%2B"),"=","%3D"),"?","%3F"),CHAR(34),"%22"),CHAR(10),"%0A"),CHAR(13),"")," ","+")</f>
        <v/>
      </c>
      <c r="AD216" s="32">
        <f>IF(OR(AA216="",AB216=""),"",'Start Here'!$B$20&amp;"#p="&amp;SUBSTITUTE(AA216,"+","%2B")&amp;"&amp;n="&amp;AC216&amp;"&amp;m="&amp;SUBSTITUTE('Start Here'!$B$24,"{name}",AC216))</f>
        <v/>
      </c>
      <c r="AE216" s="32">
        <f>LEN(AD216)</f>
        <v/>
      </c>
      <c r="AF216" s="32">
        <f>IF(AND(TRIM(A216&amp;"")&lt;&gt;"",OR(B216="Awaiting",B216="Not sure yet")),1,0)</f>
        <v/>
      </c>
      <c r="AG216" s="32">
        <f>N(AG215)+AF216</f>
        <v/>
      </c>
      <c r="AH216" s="32">
        <f>IF(AF216=1,AG216,"")</f>
        <v/>
      </c>
      <c r="AI216" s="32">
        <f>IF(AND(TRIM(A216&amp;"")&lt;&gt;"",L216&amp;""&lt;&gt;"",L216&amp;""=Seating!$I$3&amp;"",B216&lt;&gt;"Declined"),1,0)</f>
        <v/>
      </c>
      <c r="AJ216" s="32">
        <f>N(AJ215)+AI216</f>
        <v/>
      </c>
      <c r="AK216" s="32">
        <f>IF(AI216=1,AJ216,"")</f>
        <v/>
      </c>
    </row>
    <row r="217">
      <c r="A217" s="10" t="n"/>
      <c r="B217" s="47">
        <f>IF(TRIM(A217&amp;"")="","",IF(W217&lt;&gt;"",W217,IF(I217="","Awaiting",I217)))</f>
        <v/>
      </c>
      <c r="C217" s="60">
        <f>IF(OR(B217="Awaiting",B217="Not sure yet"),IF(AD217&lt;&gt;"",HYPERLINK(AD217,"💬 Remind"),"add mobile"),"")</f>
        <v/>
      </c>
      <c r="D217" s="58" t="n"/>
      <c r="E217" s="10" t="n"/>
      <c r="F217" s="10" t="n"/>
      <c r="G217" s="10" t="n"/>
      <c r="H217" s="10" t="n"/>
      <c r="I217" s="10" t="n"/>
      <c r="J217" s="10" t="n"/>
      <c r="K217" s="10" t="n"/>
      <c r="L217" s="56" t="n"/>
      <c r="M217" s="10" t="n"/>
      <c r="N217" s="12" t="n"/>
      <c r="O217" s="10" t="n"/>
      <c r="P217" s="10" t="n"/>
      <c r="Q217" s="61">
        <f>IF(V217="","",IF(T217="","Covered by "&amp;INDEX('Form Calc'!$B:$B,V217)&amp;"'s reply (same party)","Replied "&amp;TEXT(INDEX('Form Calc'!$A:$A,T217),"mm/dd")&amp;" · "&amp;INDEX('Form Calc'!$H:$H,T217)&amp;" adult(s), "&amp;INDEX('Form Calc'!$I:$I,T217)&amp;" child(ren)"&amp;IF(INDEX('Form Calc'!$K:$K,T217)&lt;&gt;""," · "&amp;INDEX('Form Calc'!$K:$K,T217),"")&amp;IF(INDEX('Form Calc'!$M:$M,T217)&lt;&gt;""," · “"&amp;INDEX('Form Calc'!$M:$M,T217)&amp;"”","")))</f>
        <v/>
      </c>
      <c r="R217" s="32">
        <f>SUBSTITUTE(SUBSTITUTE(SUBSTITUTE(SUBSTITUTE(SUBSTITUTE(SUBSTITUTE(SUBSTITUTE(SUBSTITUTE(D217&amp;""," ",""),"-",""),"(",""),")",""),".",""),"+",""),"/",""),CHAR(160),"")</f>
        <v/>
      </c>
      <c r="S217" s="32">
        <f>IF(LEN(R217)&gt;=10,RIGHT(R217,10),R217)</f>
        <v/>
      </c>
      <c r="T217" s="32">
        <f>IF(TRIM(A217&amp;"")="","",IF(S217&lt;&gt;"",IFERROR(MATCH(S217,'Form Calc'!$P:$P,0),IFERROR(MATCH(TRIM(A217&amp;""),'Form Calc'!$Q:$Q,0),"")),IFERROR(MATCH(TRIM(A217&amp;""),'Form Calc'!$Q:$Q,0),"")))</f>
        <v/>
      </c>
      <c r="U217" s="32">
        <f>IF(AND(T217&lt;&gt;"",TRIM(E217&amp;"")&lt;&gt;""),TRIM(E217&amp;""),"")</f>
        <v/>
      </c>
      <c r="V217" s="32">
        <f>IF(TRIM(A217&amp;"")="","",IF(T217&lt;&gt;"",T217,IF(TRIM(E217&amp;"")="","",IFERROR(INDEX($T$6:$T$505,MATCH(TRIM(E217&amp;""),$U$6:$U$505,0)),""))))</f>
        <v/>
      </c>
      <c r="W217" s="32">
        <f>IF(V217="","",INDEX('Form Calc'!$G:$G,V217))</f>
        <v/>
      </c>
      <c r="X217" s="32">
        <f>IF(TRIM(A217&amp;"")="","",IF(T217&lt;&gt;"",IF(INDEX('Form Calc'!$K:$K,T217)&lt;&gt;"",INDEX('Form Calc'!$K:$K,T217),J217&amp;""),J217&amp;""))</f>
        <v/>
      </c>
      <c r="Y217" s="32">
        <f>IF(TRIM(A217&amp;"")="","",IF(TRIM(D217&amp;"")&lt;&gt;"",TRIM(D217&amp;""),IF(T217&lt;&gt;"",INDEX('Form Calc'!$C:$C,T217)&amp;"","")))</f>
        <v/>
      </c>
      <c r="Z217" s="32">
        <f>SUBSTITUTE(SUBSTITUTE(SUBSTITUTE(SUBSTITUTE(SUBSTITUTE(SUBSTITUTE(SUBSTITUTE(SUBSTITUTE(Y217," ",""),"-",""),"(",""),")",""),".",""),"+",""),"/",""),CHAR(160),"")</f>
        <v/>
      </c>
      <c r="AA217" s="32">
        <f>IF(Z217="","",IF(LEN(Z217)=10,"+1"&amp;Z217,IF(AND(LEN(Z217)=11,LEFT(Z217,1)="1"),"+"&amp;Z217,IF(LEFT(Y217,1)="+","+"&amp;Z217,Z217))))</f>
        <v/>
      </c>
      <c r="AB217" s="32">
        <f>IF(TRIM(A217&amp;"")="","",IF(TRIM(M217&amp;"")&lt;&gt;"",TRIM(M217&amp;""),IFERROR(LEFT(TRIM(A217&amp;""),FIND(" ",TRIM(A217&amp;""))-1),TRIM(A217&amp;""))))</f>
        <v/>
      </c>
      <c r="AC217" s="32">
        <f>SUBSTITUTE(SUBSTITUTE(SUBSTITUTE(SUBSTITUTE(SUBSTITUTE(SUBSTITUTE(SUBSTITUTE(SUBSTITUTE(SUBSTITUTE(SUBSTITUTE(AB217,"%","%25"),"&amp;","%26"),"#","%23"),"+","%2B"),"=","%3D"),"?","%3F"),CHAR(34),"%22"),CHAR(10),"%0A"),CHAR(13),"")," ","+")</f>
        <v/>
      </c>
      <c r="AD217" s="32">
        <f>IF(OR(AA217="",AB217=""),"",'Start Here'!$B$20&amp;"#p="&amp;SUBSTITUTE(AA217,"+","%2B")&amp;"&amp;n="&amp;AC217&amp;"&amp;m="&amp;SUBSTITUTE('Start Here'!$B$24,"{name}",AC217))</f>
        <v/>
      </c>
      <c r="AE217" s="32">
        <f>LEN(AD217)</f>
        <v/>
      </c>
      <c r="AF217" s="32">
        <f>IF(AND(TRIM(A217&amp;"")&lt;&gt;"",OR(B217="Awaiting",B217="Not sure yet")),1,0)</f>
        <v/>
      </c>
      <c r="AG217" s="32">
        <f>N(AG216)+AF217</f>
        <v/>
      </c>
      <c r="AH217" s="32">
        <f>IF(AF217=1,AG217,"")</f>
        <v/>
      </c>
      <c r="AI217" s="32">
        <f>IF(AND(TRIM(A217&amp;"")&lt;&gt;"",L217&amp;""&lt;&gt;"",L217&amp;""=Seating!$I$3&amp;"",B217&lt;&gt;"Declined"),1,0)</f>
        <v/>
      </c>
      <c r="AJ217" s="32">
        <f>N(AJ216)+AI217</f>
        <v/>
      </c>
      <c r="AK217" s="32">
        <f>IF(AI217=1,AJ217,"")</f>
        <v/>
      </c>
    </row>
    <row r="218">
      <c r="A218" s="10" t="n"/>
      <c r="B218" s="47">
        <f>IF(TRIM(A218&amp;"")="","",IF(W218&lt;&gt;"",W218,IF(I218="","Awaiting",I218)))</f>
        <v/>
      </c>
      <c r="C218" s="60">
        <f>IF(OR(B218="Awaiting",B218="Not sure yet"),IF(AD218&lt;&gt;"",HYPERLINK(AD218,"💬 Remind"),"add mobile"),"")</f>
        <v/>
      </c>
      <c r="D218" s="58" t="n"/>
      <c r="E218" s="10" t="n"/>
      <c r="F218" s="10" t="n"/>
      <c r="G218" s="10" t="n"/>
      <c r="H218" s="10" t="n"/>
      <c r="I218" s="10" t="n"/>
      <c r="J218" s="10" t="n"/>
      <c r="K218" s="10" t="n"/>
      <c r="L218" s="56" t="n"/>
      <c r="M218" s="10" t="n"/>
      <c r="N218" s="12" t="n"/>
      <c r="O218" s="10" t="n"/>
      <c r="P218" s="10" t="n"/>
      <c r="Q218" s="61">
        <f>IF(V218="","",IF(T218="","Covered by "&amp;INDEX('Form Calc'!$B:$B,V218)&amp;"'s reply (same party)","Replied "&amp;TEXT(INDEX('Form Calc'!$A:$A,T218),"mm/dd")&amp;" · "&amp;INDEX('Form Calc'!$H:$H,T218)&amp;" adult(s), "&amp;INDEX('Form Calc'!$I:$I,T218)&amp;" child(ren)"&amp;IF(INDEX('Form Calc'!$K:$K,T218)&lt;&gt;""," · "&amp;INDEX('Form Calc'!$K:$K,T218),"")&amp;IF(INDEX('Form Calc'!$M:$M,T218)&lt;&gt;""," · “"&amp;INDEX('Form Calc'!$M:$M,T218)&amp;"”","")))</f>
        <v/>
      </c>
      <c r="R218" s="32">
        <f>SUBSTITUTE(SUBSTITUTE(SUBSTITUTE(SUBSTITUTE(SUBSTITUTE(SUBSTITUTE(SUBSTITUTE(SUBSTITUTE(D218&amp;""," ",""),"-",""),"(",""),")",""),".",""),"+",""),"/",""),CHAR(160),"")</f>
        <v/>
      </c>
      <c r="S218" s="32">
        <f>IF(LEN(R218)&gt;=10,RIGHT(R218,10),R218)</f>
        <v/>
      </c>
      <c r="T218" s="32">
        <f>IF(TRIM(A218&amp;"")="","",IF(S218&lt;&gt;"",IFERROR(MATCH(S218,'Form Calc'!$P:$P,0),IFERROR(MATCH(TRIM(A218&amp;""),'Form Calc'!$Q:$Q,0),"")),IFERROR(MATCH(TRIM(A218&amp;""),'Form Calc'!$Q:$Q,0),"")))</f>
        <v/>
      </c>
      <c r="U218" s="32">
        <f>IF(AND(T218&lt;&gt;"",TRIM(E218&amp;"")&lt;&gt;""),TRIM(E218&amp;""),"")</f>
        <v/>
      </c>
      <c r="V218" s="32">
        <f>IF(TRIM(A218&amp;"")="","",IF(T218&lt;&gt;"",T218,IF(TRIM(E218&amp;"")="","",IFERROR(INDEX($T$6:$T$505,MATCH(TRIM(E218&amp;""),$U$6:$U$505,0)),""))))</f>
        <v/>
      </c>
      <c r="W218" s="32">
        <f>IF(V218="","",INDEX('Form Calc'!$G:$G,V218))</f>
        <v/>
      </c>
      <c r="X218" s="32">
        <f>IF(TRIM(A218&amp;"")="","",IF(T218&lt;&gt;"",IF(INDEX('Form Calc'!$K:$K,T218)&lt;&gt;"",INDEX('Form Calc'!$K:$K,T218),J218&amp;""),J218&amp;""))</f>
        <v/>
      </c>
      <c r="Y218" s="32">
        <f>IF(TRIM(A218&amp;"")="","",IF(TRIM(D218&amp;"")&lt;&gt;"",TRIM(D218&amp;""),IF(T218&lt;&gt;"",INDEX('Form Calc'!$C:$C,T218)&amp;"","")))</f>
        <v/>
      </c>
      <c r="Z218" s="32">
        <f>SUBSTITUTE(SUBSTITUTE(SUBSTITUTE(SUBSTITUTE(SUBSTITUTE(SUBSTITUTE(SUBSTITUTE(SUBSTITUTE(Y218," ",""),"-",""),"(",""),")",""),".",""),"+",""),"/",""),CHAR(160),"")</f>
        <v/>
      </c>
      <c r="AA218" s="32">
        <f>IF(Z218="","",IF(LEN(Z218)=10,"+1"&amp;Z218,IF(AND(LEN(Z218)=11,LEFT(Z218,1)="1"),"+"&amp;Z218,IF(LEFT(Y218,1)="+","+"&amp;Z218,Z218))))</f>
        <v/>
      </c>
      <c r="AB218" s="32">
        <f>IF(TRIM(A218&amp;"")="","",IF(TRIM(M218&amp;"")&lt;&gt;"",TRIM(M218&amp;""),IFERROR(LEFT(TRIM(A218&amp;""),FIND(" ",TRIM(A218&amp;""))-1),TRIM(A218&amp;""))))</f>
        <v/>
      </c>
      <c r="AC218" s="32">
        <f>SUBSTITUTE(SUBSTITUTE(SUBSTITUTE(SUBSTITUTE(SUBSTITUTE(SUBSTITUTE(SUBSTITUTE(SUBSTITUTE(SUBSTITUTE(SUBSTITUTE(AB218,"%","%25"),"&amp;","%26"),"#","%23"),"+","%2B"),"=","%3D"),"?","%3F"),CHAR(34),"%22"),CHAR(10),"%0A"),CHAR(13),"")," ","+")</f>
        <v/>
      </c>
      <c r="AD218" s="32">
        <f>IF(OR(AA218="",AB218=""),"",'Start Here'!$B$20&amp;"#p="&amp;SUBSTITUTE(AA218,"+","%2B")&amp;"&amp;n="&amp;AC218&amp;"&amp;m="&amp;SUBSTITUTE('Start Here'!$B$24,"{name}",AC218))</f>
        <v/>
      </c>
      <c r="AE218" s="32">
        <f>LEN(AD218)</f>
        <v/>
      </c>
      <c r="AF218" s="32">
        <f>IF(AND(TRIM(A218&amp;"")&lt;&gt;"",OR(B218="Awaiting",B218="Not sure yet")),1,0)</f>
        <v/>
      </c>
      <c r="AG218" s="32">
        <f>N(AG217)+AF218</f>
        <v/>
      </c>
      <c r="AH218" s="32">
        <f>IF(AF218=1,AG218,"")</f>
        <v/>
      </c>
      <c r="AI218" s="32">
        <f>IF(AND(TRIM(A218&amp;"")&lt;&gt;"",L218&amp;""&lt;&gt;"",L218&amp;""=Seating!$I$3&amp;"",B218&lt;&gt;"Declined"),1,0)</f>
        <v/>
      </c>
      <c r="AJ218" s="32">
        <f>N(AJ217)+AI218</f>
        <v/>
      </c>
      <c r="AK218" s="32">
        <f>IF(AI218=1,AJ218,"")</f>
        <v/>
      </c>
    </row>
    <row r="219">
      <c r="A219" s="10" t="n"/>
      <c r="B219" s="47">
        <f>IF(TRIM(A219&amp;"")="","",IF(W219&lt;&gt;"",W219,IF(I219="","Awaiting",I219)))</f>
        <v/>
      </c>
      <c r="C219" s="60">
        <f>IF(OR(B219="Awaiting",B219="Not sure yet"),IF(AD219&lt;&gt;"",HYPERLINK(AD219,"💬 Remind"),"add mobile"),"")</f>
        <v/>
      </c>
      <c r="D219" s="58" t="n"/>
      <c r="E219" s="10" t="n"/>
      <c r="F219" s="10" t="n"/>
      <c r="G219" s="10" t="n"/>
      <c r="H219" s="10" t="n"/>
      <c r="I219" s="10" t="n"/>
      <c r="J219" s="10" t="n"/>
      <c r="K219" s="10" t="n"/>
      <c r="L219" s="56" t="n"/>
      <c r="M219" s="10" t="n"/>
      <c r="N219" s="12" t="n"/>
      <c r="O219" s="10" t="n"/>
      <c r="P219" s="10" t="n"/>
      <c r="Q219" s="61">
        <f>IF(V219="","",IF(T219="","Covered by "&amp;INDEX('Form Calc'!$B:$B,V219)&amp;"'s reply (same party)","Replied "&amp;TEXT(INDEX('Form Calc'!$A:$A,T219),"mm/dd")&amp;" · "&amp;INDEX('Form Calc'!$H:$H,T219)&amp;" adult(s), "&amp;INDEX('Form Calc'!$I:$I,T219)&amp;" child(ren)"&amp;IF(INDEX('Form Calc'!$K:$K,T219)&lt;&gt;""," · "&amp;INDEX('Form Calc'!$K:$K,T219),"")&amp;IF(INDEX('Form Calc'!$M:$M,T219)&lt;&gt;""," · “"&amp;INDEX('Form Calc'!$M:$M,T219)&amp;"”","")))</f>
        <v/>
      </c>
      <c r="R219" s="32">
        <f>SUBSTITUTE(SUBSTITUTE(SUBSTITUTE(SUBSTITUTE(SUBSTITUTE(SUBSTITUTE(SUBSTITUTE(SUBSTITUTE(D219&amp;""," ",""),"-",""),"(",""),")",""),".",""),"+",""),"/",""),CHAR(160),"")</f>
        <v/>
      </c>
      <c r="S219" s="32">
        <f>IF(LEN(R219)&gt;=10,RIGHT(R219,10),R219)</f>
        <v/>
      </c>
      <c r="T219" s="32">
        <f>IF(TRIM(A219&amp;"")="","",IF(S219&lt;&gt;"",IFERROR(MATCH(S219,'Form Calc'!$P:$P,0),IFERROR(MATCH(TRIM(A219&amp;""),'Form Calc'!$Q:$Q,0),"")),IFERROR(MATCH(TRIM(A219&amp;""),'Form Calc'!$Q:$Q,0),"")))</f>
        <v/>
      </c>
      <c r="U219" s="32">
        <f>IF(AND(T219&lt;&gt;"",TRIM(E219&amp;"")&lt;&gt;""),TRIM(E219&amp;""),"")</f>
        <v/>
      </c>
      <c r="V219" s="32">
        <f>IF(TRIM(A219&amp;"")="","",IF(T219&lt;&gt;"",T219,IF(TRIM(E219&amp;"")="","",IFERROR(INDEX($T$6:$T$505,MATCH(TRIM(E219&amp;""),$U$6:$U$505,0)),""))))</f>
        <v/>
      </c>
      <c r="W219" s="32">
        <f>IF(V219="","",INDEX('Form Calc'!$G:$G,V219))</f>
        <v/>
      </c>
      <c r="X219" s="32">
        <f>IF(TRIM(A219&amp;"")="","",IF(T219&lt;&gt;"",IF(INDEX('Form Calc'!$K:$K,T219)&lt;&gt;"",INDEX('Form Calc'!$K:$K,T219),J219&amp;""),J219&amp;""))</f>
        <v/>
      </c>
      <c r="Y219" s="32">
        <f>IF(TRIM(A219&amp;"")="","",IF(TRIM(D219&amp;"")&lt;&gt;"",TRIM(D219&amp;""),IF(T219&lt;&gt;"",INDEX('Form Calc'!$C:$C,T219)&amp;"","")))</f>
        <v/>
      </c>
      <c r="Z219" s="32">
        <f>SUBSTITUTE(SUBSTITUTE(SUBSTITUTE(SUBSTITUTE(SUBSTITUTE(SUBSTITUTE(SUBSTITUTE(SUBSTITUTE(Y219," ",""),"-",""),"(",""),")",""),".",""),"+",""),"/",""),CHAR(160),"")</f>
        <v/>
      </c>
      <c r="AA219" s="32">
        <f>IF(Z219="","",IF(LEN(Z219)=10,"+1"&amp;Z219,IF(AND(LEN(Z219)=11,LEFT(Z219,1)="1"),"+"&amp;Z219,IF(LEFT(Y219,1)="+","+"&amp;Z219,Z219))))</f>
        <v/>
      </c>
      <c r="AB219" s="32">
        <f>IF(TRIM(A219&amp;"")="","",IF(TRIM(M219&amp;"")&lt;&gt;"",TRIM(M219&amp;""),IFERROR(LEFT(TRIM(A219&amp;""),FIND(" ",TRIM(A219&amp;""))-1),TRIM(A219&amp;""))))</f>
        <v/>
      </c>
      <c r="AC219" s="32">
        <f>SUBSTITUTE(SUBSTITUTE(SUBSTITUTE(SUBSTITUTE(SUBSTITUTE(SUBSTITUTE(SUBSTITUTE(SUBSTITUTE(SUBSTITUTE(SUBSTITUTE(AB219,"%","%25"),"&amp;","%26"),"#","%23"),"+","%2B"),"=","%3D"),"?","%3F"),CHAR(34),"%22"),CHAR(10),"%0A"),CHAR(13),"")," ","+")</f>
        <v/>
      </c>
      <c r="AD219" s="32">
        <f>IF(OR(AA219="",AB219=""),"",'Start Here'!$B$20&amp;"#p="&amp;SUBSTITUTE(AA219,"+","%2B")&amp;"&amp;n="&amp;AC219&amp;"&amp;m="&amp;SUBSTITUTE('Start Here'!$B$24,"{name}",AC219))</f>
        <v/>
      </c>
      <c r="AE219" s="32">
        <f>LEN(AD219)</f>
        <v/>
      </c>
      <c r="AF219" s="32">
        <f>IF(AND(TRIM(A219&amp;"")&lt;&gt;"",OR(B219="Awaiting",B219="Not sure yet")),1,0)</f>
        <v/>
      </c>
      <c r="AG219" s="32">
        <f>N(AG218)+AF219</f>
        <v/>
      </c>
      <c r="AH219" s="32">
        <f>IF(AF219=1,AG219,"")</f>
        <v/>
      </c>
      <c r="AI219" s="32">
        <f>IF(AND(TRIM(A219&amp;"")&lt;&gt;"",L219&amp;""&lt;&gt;"",L219&amp;""=Seating!$I$3&amp;"",B219&lt;&gt;"Declined"),1,0)</f>
        <v/>
      </c>
      <c r="AJ219" s="32">
        <f>N(AJ218)+AI219</f>
        <v/>
      </c>
      <c r="AK219" s="32">
        <f>IF(AI219=1,AJ219,"")</f>
        <v/>
      </c>
    </row>
    <row r="220">
      <c r="A220" s="10" t="n"/>
      <c r="B220" s="47">
        <f>IF(TRIM(A220&amp;"")="","",IF(W220&lt;&gt;"",W220,IF(I220="","Awaiting",I220)))</f>
        <v/>
      </c>
      <c r="C220" s="60">
        <f>IF(OR(B220="Awaiting",B220="Not sure yet"),IF(AD220&lt;&gt;"",HYPERLINK(AD220,"💬 Remind"),"add mobile"),"")</f>
        <v/>
      </c>
      <c r="D220" s="58" t="n"/>
      <c r="E220" s="10" t="n"/>
      <c r="F220" s="10" t="n"/>
      <c r="G220" s="10" t="n"/>
      <c r="H220" s="10" t="n"/>
      <c r="I220" s="10" t="n"/>
      <c r="J220" s="10" t="n"/>
      <c r="K220" s="10" t="n"/>
      <c r="L220" s="56" t="n"/>
      <c r="M220" s="10" t="n"/>
      <c r="N220" s="12" t="n"/>
      <c r="O220" s="10" t="n"/>
      <c r="P220" s="10" t="n"/>
      <c r="Q220" s="61">
        <f>IF(V220="","",IF(T220="","Covered by "&amp;INDEX('Form Calc'!$B:$B,V220)&amp;"'s reply (same party)","Replied "&amp;TEXT(INDEX('Form Calc'!$A:$A,T220),"mm/dd")&amp;" · "&amp;INDEX('Form Calc'!$H:$H,T220)&amp;" adult(s), "&amp;INDEX('Form Calc'!$I:$I,T220)&amp;" child(ren)"&amp;IF(INDEX('Form Calc'!$K:$K,T220)&lt;&gt;""," · "&amp;INDEX('Form Calc'!$K:$K,T220),"")&amp;IF(INDEX('Form Calc'!$M:$M,T220)&lt;&gt;""," · “"&amp;INDEX('Form Calc'!$M:$M,T220)&amp;"”","")))</f>
        <v/>
      </c>
      <c r="R220" s="32">
        <f>SUBSTITUTE(SUBSTITUTE(SUBSTITUTE(SUBSTITUTE(SUBSTITUTE(SUBSTITUTE(SUBSTITUTE(SUBSTITUTE(D220&amp;""," ",""),"-",""),"(",""),")",""),".",""),"+",""),"/",""),CHAR(160),"")</f>
        <v/>
      </c>
      <c r="S220" s="32">
        <f>IF(LEN(R220)&gt;=10,RIGHT(R220,10),R220)</f>
        <v/>
      </c>
      <c r="T220" s="32">
        <f>IF(TRIM(A220&amp;"")="","",IF(S220&lt;&gt;"",IFERROR(MATCH(S220,'Form Calc'!$P:$P,0),IFERROR(MATCH(TRIM(A220&amp;""),'Form Calc'!$Q:$Q,0),"")),IFERROR(MATCH(TRIM(A220&amp;""),'Form Calc'!$Q:$Q,0),"")))</f>
        <v/>
      </c>
      <c r="U220" s="32">
        <f>IF(AND(T220&lt;&gt;"",TRIM(E220&amp;"")&lt;&gt;""),TRIM(E220&amp;""),"")</f>
        <v/>
      </c>
      <c r="V220" s="32">
        <f>IF(TRIM(A220&amp;"")="","",IF(T220&lt;&gt;"",T220,IF(TRIM(E220&amp;"")="","",IFERROR(INDEX($T$6:$T$505,MATCH(TRIM(E220&amp;""),$U$6:$U$505,0)),""))))</f>
        <v/>
      </c>
      <c r="W220" s="32">
        <f>IF(V220="","",INDEX('Form Calc'!$G:$G,V220))</f>
        <v/>
      </c>
      <c r="X220" s="32">
        <f>IF(TRIM(A220&amp;"")="","",IF(T220&lt;&gt;"",IF(INDEX('Form Calc'!$K:$K,T220)&lt;&gt;"",INDEX('Form Calc'!$K:$K,T220),J220&amp;""),J220&amp;""))</f>
        <v/>
      </c>
      <c r="Y220" s="32">
        <f>IF(TRIM(A220&amp;"")="","",IF(TRIM(D220&amp;"")&lt;&gt;"",TRIM(D220&amp;""),IF(T220&lt;&gt;"",INDEX('Form Calc'!$C:$C,T220)&amp;"","")))</f>
        <v/>
      </c>
      <c r="Z220" s="32">
        <f>SUBSTITUTE(SUBSTITUTE(SUBSTITUTE(SUBSTITUTE(SUBSTITUTE(SUBSTITUTE(SUBSTITUTE(SUBSTITUTE(Y220," ",""),"-",""),"(",""),")",""),".",""),"+",""),"/",""),CHAR(160),"")</f>
        <v/>
      </c>
      <c r="AA220" s="32">
        <f>IF(Z220="","",IF(LEN(Z220)=10,"+1"&amp;Z220,IF(AND(LEN(Z220)=11,LEFT(Z220,1)="1"),"+"&amp;Z220,IF(LEFT(Y220,1)="+","+"&amp;Z220,Z220))))</f>
        <v/>
      </c>
      <c r="AB220" s="32">
        <f>IF(TRIM(A220&amp;"")="","",IF(TRIM(M220&amp;"")&lt;&gt;"",TRIM(M220&amp;""),IFERROR(LEFT(TRIM(A220&amp;""),FIND(" ",TRIM(A220&amp;""))-1),TRIM(A220&amp;""))))</f>
        <v/>
      </c>
      <c r="AC220" s="32">
        <f>SUBSTITUTE(SUBSTITUTE(SUBSTITUTE(SUBSTITUTE(SUBSTITUTE(SUBSTITUTE(SUBSTITUTE(SUBSTITUTE(SUBSTITUTE(SUBSTITUTE(AB220,"%","%25"),"&amp;","%26"),"#","%23"),"+","%2B"),"=","%3D"),"?","%3F"),CHAR(34),"%22"),CHAR(10),"%0A"),CHAR(13),"")," ","+")</f>
        <v/>
      </c>
      <c r="AD220" s="32">
        <f>IF(OR(AA220="",AB220=""),"",'Start Here'!$B$20&amp;"#p="&amp;SUBSTITUTE(AA220,"+","%2B")&amp;"&amp;n="&amp;AC220&amp;"&amp;m="&amp;SUBSTITUTE('Start Here'!$B$24,"{name}",AC220))</f>
        <v/>
      </c>
      <c r="AE220" s="32">
        <f>LEN(AD220)</f>
        <v/>
      </c>
      <c r="AF220" s="32">
        <f>IF(AND(TRIM(A220&amp;"")&lt;&gt;"",OR(B220="Awaiting",B220="Not sure yet")),1,0)</f>
        <v/>
      </c>
      <c r="AG220" s="32">
        <f>N(AG219)+AF220</f>
        <v/>
      </c>
      <c r="AH220" s="32">
        <f>IF(AF220=1,AG220,"")</f>
        <v/>
      </c>
      <c r="AI220" s="32">
        <f>IF(AND(TRIM(A220&amp;"")&lt;&gt;"",L220&amp;""&lt;&gt;"",L220&amp;""=Seating!$I$3&amp;"",B220&lt;&gt;"Declined"),1,0)</f>
        <v/>
      </c>
      <c r="AJ220" s="32">
        <f>N(AJ219)+AI220</f>
        <v/>
      </c>
      <c r="AK220" s="32">
        <f>IF(AI220=1,AJ220,"")</f>
        <v/>
      </c>
    </row>
    <row r="221">
      <c r="A221" s="10" t="n"/>
      <c r="B221" s="47">
        <f>IF(TRIM(A221&amp;"")="","",IF(W221&lt;&gt;"",W221,IF(I221="","Awaiting",I221)))</f>
        <v/>
      </c>
      <c r="C221" s="60">
        <f>IF(OR(B221="Awaiting",B221="Not sure yet"),IF(AD221&lt;&gt;"",HYPERLINK(AD221,"💬 Remind"),"add mobile"),"")</f>
        <v/>
      </c>
      <c r="D221" s="58" t="n"/>
      <c r="E221" s="10" t="n"/>
      <c r="F221" s="10" t="n"/>
      <c r="G221" s="10" t="n"/>
      <c r="H221" s="10" t="n"/>
      <c r="I221" s="10" t="n"/>
      <c r="J221" s="10" t="n"/>
      <c r="K221" s="10" t="n"/>
      <c r="L221" s="56" t="n"/>
      <c r="M221" s="10" t="n"/>
      <c r="N221" s="12" t="n"/>
      <c r="O221" s="10" t="n"/>
      <c r="P221" s="10" t="n"/>
      <c r="Q221" s="61">
        <f>IF(V221="","",IF(T221="","Covered by "&amp;INDEX('Form Calc'!$B:$B,V221)&amp;"'s reply (same party)","Replied "&amp;TEXT(INDEX('Form Calc'!$A:$A,T221),"mm/dd")&amp;" · "&amp;INDEX('Form Calc'!$H:$H,T221)&amp;" adult(s), "&amp;INDEX('Form Calc'!$I:$I,T221)&amp;" child(ren)"&amp;IF(INDEX('Form Calc'!$K:$K,T221)&lt;&gt;""," · "&amp;INDEX('Form Calc'!$K:$K,T221),"")&amp;IF(INDEX('Form Calc'!$M:$M,T221)&lt;&gt;""," · “"&amp;INDEX('Form Calc'!$M:$M,T221)&amp;"”","")))</f>
        <v/>
      </c>
      <c r="R221" s="32">
        <f>SUBSTITUTE(SUBSTITUTE(SUBSTITUTE(SUBSTITUTE(SUBSTITUTE(SUBSTITUTE(SUBSTITUTE(SUBSTITUTE(D221&amp;""," ",""),"-",""),"(",""),")",""),".",""),"+",""),"/",""),CHAR(160),"")</f>
        <v/>
      </c>
      <c r="S221" s="32">
        <f>IF(LEN(R221)&gt;=10,RIGHT(R221,10),R221)</f>
        <v/>
      </c>
      <c r="T221" s="32">
        <f>IF(TRIM(A221&amp;"")="","",IF(S221&lt;&gt;"",IFERROR(MATCH(S221,'Form Calc'!$P:$P,0),IFERROR(MATCH(TRIM(A221&amp;""),'Form Calc'!$Q:$Q,0),"")),IFERROR(MATCH(TRIM(A221&amp;""),'Form Calc'!$Q:$Q,0),"")))</f>
        <v/>
      </c>
      <c r="U221" s="32">
        <f>IF(AND(T221&lt;&gt;"",TRIM(E221&amp;"")&lt;&gt;""),TRIM(E221&amp;""),"")</f>
        <v/>
      </c>
      <c r="V221" s="32">
        <f>IF(TRIM(A221&amp;"")="","",IF(T221&lt;&gt;"",T221,IF(TRIM(E221&amp;"")="","",IFERROR(INDEX($T$6:$T$505,MATCH(TRIM(E221&amp;""),$U$6:$U$505,0)),""))))</f>
        <v/>
      </c>
      <c r="W221" s="32">
        <f>IF(V221="","",INDEX('Form Calc'!$G:$G,V221))</f>
        <v/>
      </c>
      <c r="X221" s="32">
        <f>IF(TRIM(A221&amp;"")="","",IF(T221&lt;&gt;"",IF(INDEX('Form Calc'!$K:$K,T221)&lt;&gt;"",INDEX('Form Calc'!$K:$K,T221),J221&amp;""),J221&amp;""))</f>
        <v/>
      </c>
      <c r="Y221" s="32">
        <f>IF(TRIM(A221&amp;"")="","",IF(TRIM(D221&amp;"")&lt;&gt;"",TRIM(D221&amp;""),IF(T221&lt;&gt;"",INDEX('Form Calc'!$C:$C,T221)&amp;"","")))</f>
        <v/>
      </c>
      <c r="Z221" s="32">
        <f>SUBSTITUTE(SUBSTITUTE(SUBSTITUTE(SUBSTITUTE(SUBSTITUTE(SUBSTITUTE(SUBSTITUTE(SUBSTITUTE(Y221," ",""),"-",""),"(",""),")",""),".",""),"+",""),"/",""),CHAR(160),"")</f>
        <v/>
      </c>
      <c r="AA221" s="32">
        <f>IF(Z221="","",IF(LEN(Z221)=10,"+1"&amp;Z221,IF(AND(LEN(Z221)=11,LEFT(Z221,1)="1"),"+"&amp;Z221,IF(LEFT(Y221,1)="+","+"&amp;Z221,Z221))))</f>
        <v/>
      </c>
      <c r="AB221" s="32">
        <f>IF(TRIM(A221&amp;"")="","",IF(TRIM(M221&amp;"")&lt;&gt;"",TRIM(M221&amp;""),IFERROR(LEFT(TRIM(A221&amp;""),FIND(" ",TRIM(A221&amp;""))-1),TRIM(A221&amp;""))))</f>
        <v/>
      </c>
      <c r="AC221" s="32">
        <f>SUBSTITUTE(SUBSTITUTE(SUBSTITUTE(SUBSTITUTE(SUBSTITUTE(SUBSTITUTE(SUBSTITUTE(SUBSTITUTE(SUBSTITUTE(SUBSTITUTE(AB221,"%","%25"),"&amp;","%26"),"#","%23"),"+","%2B"),"=","%3D"),"?","%3F"),CHAR(34),"%22"),CHAR(10),"%0A"),CHAR(13),"")," ","+")</f>
        <v/>
      </c>
      <c r="AD221" s="32">
        <f>IF(OR(AA221="",AB221=""),"",'Start Here'!$B$20&amp;"#p="&amp;SUBSTITUTE(AA221,"+","%2B")&amp;"&amp;n="&amp;AC221&amp;"&amp;m="&amp;SUBSTITUTE('Start Here'!$B$24,"{name}",AC221))</f>
        <v/>
      </c>
      <c r="AE221" s="32">
        <f>LEN(AD221)</f>
        <v/>
      </c>
      <c r="AF221" s="32">
        <f>IF(AND(TRIM(A221&amp;"")&lt;&gt;"",OR(B221="Awaiting",B221="Not sure yet")),1,0)</f>
        <v/>
      </c>
      <c r="AG221" s="32">
        <f>N(AG220)+AF221</f>
        <v/>
      </c>
      <c r="AH221" s="32">
        <f>IF(AF221=1,AG221,"")</f>
        <v/>
      </c>
      <c r="AI221" s="32">
        <f>IF(AND(TRIM(A221&amp;"")&lt;&gt;"",L221&amp;""&lt;&gt;"",L221&amp;""=Seating!$I$3&amp;"",B221&lt;&gt;"Declined"),1,0)</f>
        <v/>
      </c>
      <c r="AJ221" s="32">
        <f>N(AJ220)+AI221</f>
        <v/>
      </c>
      <c r="AK221" s="32">
        <f>IF(AI221=1,AJ221,"")</f>
        <v/>
      </c>
    </row>
    <row r="222">
      <c r="A222" s="10" t="n"/>
      <c r="B222" s="47">
        <f>IF(TRIM(A222&amp;"")="","",IF(W222&lt;&gt;"",W222,IF(I222="","Awaiting",I222)))</f>
        <v/>
      </c>
      <c r="C222" s="60">
        <f>IF(OR(B222="Awaiting",B222="Not sure yet"),IF(AD222&lt;&gt;"",HYPERLINK(AD222,"💬 Remind"),"add mobile"),"")</f>
        <v/>
      </c>
      <c r="D222" s="58" t="n"/>
      <c r="E222" s="10" t="n"/>
      <c r="F222" s="10" t="n"/>
      <c r="G222" s="10" t="n"/>
      <c r="H222" s="10" t="n"/>
      <c r="I222" s="10" t="n"/>
      <c r="J222" s="10" t="n"/>
      <c r="K222" s="10" t="n"/>
      <c r="L222" s="56" t="n"/>
      <c r="M222" s="10" t="n"/>
      <c r="N222" s="12" t="n"/>
      <c r="O222" s="10" t="n"/>
      <c r="P222" s="10" t="n"/>
      <c r="Q222" s="61">
        <f>IF(V222="","",IF(T222="","Covered by "&amp;INDEX('Form Calc'!$B:$B,V222)&amp;"'s reply (same party)","Replied "&amp;TEXT(INDEX('Form Calc'!$A:$A,T222),"mm/dd")&amp;" · "&amp;INDEX('Form Calc'!$H:$H,T222)&amp;" adult(s), "&amp;INDEX('Form Calc'!$I:$I,T222)&amp;" child(ren)"&amp;IF(INDEX('Form Calc'!$K:$K,T222)&lt;&gt;""," · "&amp;INDEX('Form Calc'!$K:$K,T222),"")&amp;IF(INDEX('Form Calc'!$M:$M,T222)&lt;&gt;""," · “"&amp;INDEX('Form Calc'!$M:$M,T222)&amp;"”","")))</f>
        <v/>
      </c>
      <c r="R222" s="32">
        <f>SUBSTITUTE(SUBSTITUTE(SUBSTITUTE(SUBSTITUTE(SUBSTITUTE(SUBSTITUTE(SUBSTITUTE(SUBSTITUTE(D222&amp;""," ",""),"-",""),"(",""),")",""),".",""),"+",""),"/",""),CHAR(160),"")</f>
        <v/>
      </c>
      <c r="S222" s="32">
        <f>IF(LEN(R222)&gt;=10,RIGHT(R222,10),R222)</f>
        <v/>
      </c>
      <c r="T222" s="32">
        <f>IF(TRIM(A222&amp;"")="","",IF(S222&lt;&gt;"",IFERROR(MATCH(S222,'Form Calc'!$P:$P,0),IFERROR(MATCH(TRIM(A222&amp;""),'Form Calc'!$Q:$Q,0),"")),IFERROR(MATCH(TRIM(A222&amp;""),'Form Calc'!$Q:$Q,0),"")))</f>
        <v/>
      </c>
      <c r="U222" s="32">
        <f>IF(AND(T222&lt;&gt;"",TRIM(E222&amp;"")&lt;&gt;""),TRIM(E222&amp;""),"")</f>
        <v/>
      </c>
      <c r="V222" s="32">
        <f>IF(TRIM(A222&amp;"")="","",IF(T222&lt;&gt;"",T222,IF(TRIM(E222&amp;"")="","",IFERROR(INDEX($T$6:$T$505,MATCH(TRIM(E222&amp;""),$U$6:$U$505,0)),""))))</f>
        <v/>
      </c>
      <c r="W222" s="32">
        <f>IF(V222="","",INDEX('Form Calc'!$G:$G,V222))</f>
        <v/>
      </c>
      <c r="X222" s="32">
        <f>IF(TRIM(A222&amp;"")="","",IF(T222&lt;&gt;"",IF(INDEX('Form Calc'!$K:$K,T222)&lt;&gt;"",INDEX('Form Calc'!$K:$K,T222),J222&amp;""),J222&amp;""))</f>
        <v/>
      </c>
      <c r="Y222" s="32">
        <f>IF(TRIM(A222&amp;"")="","",IF(TRIM(D222&amp;"")&lt;&gt;"",TRIM(D222&amp;""),IF(T222&lt;&gt;"",INDEX('Form Calc'!$C:$C,T222)&amp;"","")))</f>
        <v/>
      </c>
      <c r="Z222" s="32">
        <f>SUBSTITUTE(SUBSTITUTE(SUBSTITUTE(SUBSTITUTE(SUBSTITUTE(SUBSTITUTE(SUBSTITUTE(SUBSTITUTE(Y222," ",""),"-",""),"(",""),")",""),".",""),"+",""),"/",""),CHAR(160),"")</f>
        <v/>
      </c>
      <c r="AA222" s="32">
        <f>IF(Z222="","",IF(LEN(Z222)=10,"+1"&amp;Z222,IF(AND(LEN(Z222)=11,LEFT(Z222,1)="1"),"+"&amp;Z222,IF(LEFT(Y222,1)="+","+"&amp;Z222,Z222))))</f>
        <v/>
      </c>
      <c r="AB222" s="32">
        <f>IF(TRIM(A222&amp;"")="","",IF(TRIM(M222&amp;"")&lt;&gt;"",TRIM(M222&amp;""),IFERROR(LEFT(TRIM(A222&amp;""),FIND(" ",TRIM(A222&amp;""))-1),TRIM(A222&amp;""))))</f>
        <v/>
      </c>
      <c r="AC222" s="32">
        <f>SUBSTITUTE(SUBSTITUTE(SUBSTITUTE(SUBSTITUTE(SUBSTITUTE(SUBSTITUTE(SUBSTITUTE(SUBSTITUTE(SUBSTITUTE(SUBSTITUTE(AB222,"%","%25"),"&amp;","%26"),"#","%23"),"+","%2B"),"=","%3D"),"?","%3F"),CHAR(34),"%22"),CHAR(10),"%0A"),CHAR(13),"")," ","+")</f>
        <v/>
      </c>
      <c r="AD222" s="32">
        <f>IF(OR(AA222="",AB222=""),"",'Start Here'!$B$20&amp;"#p="&amp;SUBSTITUTE(AA222,"+","%2B")&amp;"&amp;n="&amp;AC222&amp;"&amp;m="&amp;SUBSTITUTE('Start Here'!$B$24,"{name}",AC222))</f>
        <v/>
      </c>
      <c r="AE222" s="32">
        <f>LEN(AD222)</f>
        <v/>
      </c>
      <c r="AF222" s="32">
        <f>IF(AND(TRIM(A222&amp;"")&lt;&gt;"",OR(B222="Awaiting",B222="Not sure yet")),1,0)</f>
        <v/>
      </c>
      <c r="AG222" s="32">
        <f>N(AG221)+AF222</f>
        <v/>
      </c>
      <c r="AH222" s="32">
        <f>IF(AF222=1,AG222,"")</f>
        <v/>
      </c>
      <c r="AI222" s="32">
        <f>IF(AND(TRIM(A222&amp;"")&lt;&gt;"",L222&amp;""&lt;&gt;"",L222&amp;""=Seating!$I$3&amp;"",B222&lt;&gt;"Declined"),1,0)</f>
        <v/>
      </c>
      <c r="AJ222" s="32">
        <f>N(AJ221)+AI222</f>
        <v/>
      </c>
      <c r="AK222" s="32">
        <f>IF(AI222=1,AJ222,"")</f>
        <v/>
      </c>
    </row>
    <row r="223">
      <c r="A223" s="10" t="n"/>
      <c r="B223" s="47">
        <f>IF(TRIM(A223&amp;"")="","",IF(W223&lt;&gt;"",W223,IF(I223="","Awaiting",I223)))</f>
        <v/>
      </c>
      <c r="C223" s="60">
        <f>IF(OR(B223="Awaiting",B223="Not sure yet"),IF(AD223&lt;&gt;"",HYPERLINK(AD223,"💬 Remind"),"add mobile"),"")</f>
        <v/>
      </c>
      <c r="D223" s="58" t="n"/>
      <c r="E223" s="10" t="n"/>
      <c r="F223" s="10" t="n"/>
      <c r="G223" s="10" t="n"/>
      <c r="H223" s="10" t="n"/>
      <c r="I223" s="10" t="n"/>
      <c r="J223" s="10" t="n"/>
      <c r="K223" s="10" t="n"/>
      <c r="L223" s="56" t="n"/>
      <c r="M223" s="10" t="n"/>
      <c r="N223" s="12" t="n"/>
      <c r="O223" s="10" t="n"/>
      <c r="P223" s="10" t="n"/>
      <c r="Q223" s="61">
        <f>IF(V223="","",IF(T223="","Covered by "&amp;INDEX('Form Calc'!$B:$B,V223)&amp;"'s reply (same party)","Replied "&amp;TEXT(INDEX('Form Calc'!$A:$A,T223),"mm/dd")&amp;" · "&amp;INDEX('Form Calc'!$H:$H,T223)&amp;" adult(s), "&amp;INDEX('Form Calc'!$I:$I,T223)&amp;" child(ren)"&amp;IF(INDEX('Form Calc'!$K:$K,T223)&lt;&gt;""," · "&amp;INDEX('Form Calc'!$K:$K,T223),"")&amp;IF(INDEX('Form Calc'!$M:$M,T223)&lt;&gt;""," · “"&amp;INDEX('Form Calc'!$M:$M,T223)&amp;"”","")))</f>
        <v/>
      </c>
      <c r="R223" s="32">
        <f>SUBSTITUTE(SUBSTITUTE(SUBSTITUTE(SUBSTITUTE(SUBSTITUTE(SUBSTITUTE(SUBSTITUTE(SUBSTITUTE(D223&amp;""," ",""),"-",""),"(",""),")",""),".",""),"+",""),"/",""),CHAR(160),"")</f>
        <v/>
      </c>
      <c r="S223" s="32">
        <f>IF(LEN(R223)&gt;=10,RIGHT(R223,10),R223)</f>
        <v/>
      </c>
      <c r="T223" s="32">
        <f>IF(TRIM(A223&amp;"")="","",IF(S223&lt;&gt;"",IFERROR(MATCH(S223,'Form Calc'!$P:$P,0),IFERROR(MATCH(TRIM(A223&amp;""),'Form Calc'!$Q:$Q,0),"")),IFERROR(MATCH(TRIM(A223&amp;""),'Form Calc'!$Q:$Q,0),"")))</f>
        <v/>
      </c>
      <c r="U223" s="32">
        <f>IF(AND(T223&lt;&gt;"",TRIM(E223&amp;"")&lt;&gt;""),TRIM(E223&amp;""),"")</f>
        <v/>
      </c>
      <c r="V223" s="32">
        <f>IF(TRIM(A223&amp;"")="","",IF(T223&lt;&gt;"",T223,IF(TRIM(E223&amp;"")="","",IFERROR(INDEX($T$6:$T$505,MATCH(TRIM(E223&amp;""),$U$6:$U$505,0)),""))))</f>
        <v/>
      </c>
      <c r="W223" s="32">
        <f>IF(V223="","",INDEX('Form Calc'!$G:$G,V223))</f>
        <v/>
      </c>
      <c r="X223" s="32">
        <f>IF(TRIM(A223&amp;"")="","",IF(T223&lt;&gt;"",IF(INDEX('Form Calc'!$K:$K,T223)&lt;&gt;"",INDEX('Form Calc'!$K:$K,T223),J223&amp;""),J223&amp;""))</f>
        <v/>
      </c>
      <c r="Y223" s="32">
        <f>IF(TRIM(A223&amp;"")="","",IF(TRIM(D223&amp;"")&lt;&gt;"",TRIM(D223&amp;""),IF(T223&lt;&gt;"",INDEX('Form Calc'!$C:$C,T223)&amp;"","")))</f>
        <v/>
      </c>
      <c r="Z223" s="32">
        <f>SUBSTITUTE(SUBSTITUTE(SUBSTITUTE(SUBSTITUTE(SUBSTITUTE(SUBSTITUTE(SUBSTITUTE(SUBSTITUTE(Y223," ",""),"-",""),"(",""),")",""),".",""),"+",""),"/",""),CHAR(160),"")</f>
        <v/>
      </c>
      <c r="AA223" s="32">
        <f>IF(Z223="","",IF(LEN(Z223)=10,"+1"&amp;Z223,IF(AND(LEN(Z223)=11,LEFT(Z223,1)="1"),"+"&amp;Z223,IF(LEFT(Y223,1)="+","+"&amp;Z223,Z223))))</f>
        <v/>
      </c>
      <c r="AB223" s="32">
        <f>IF(TRIM(A223&amp;"")="","",IF(TRIM(M223&amp;"")&lt;&gt;"",TRIM(M223&amp;""),IFERROR(LEFT(TRIM(A223&amp;""),FIND(" ",TRIM(A223&amp;""))-1),TRIM(A223&amp;""))))</f>
        <v/>
      </c>
      <c r="AC223" s="32">
        <f>SUBSTITUTE(SUBSTITUTE(SUBSTITUTE(SUBSTITUTE(SUBSTITUTE(SUBSTITUTE(SUBSTITUTE(SUBSTITUTE(SUBSTITUTE(SUBSTITUTE(AB223,"%","%25"),"&amp;","%26"),"#","%23"),"+","%2B"),"=","%3D"),"?","%3F"),CHAR(34),"%22"),CHAR(10),"%0A"),CHAR(13),"")," ","+")</f>
        <v/>
      </c>
      <c r="AD223" s="32">
        <f>IF(OR(AA223="",AB223=""),"",'Start Here'!$B$20&amp;"#p="&amp;SUBSTITUTE(AA223,"+","%2B")&amp;"&amp;n="&amp;AC223&amp;"&amp;m="&amp;SUBSTITUTE('Start Here'!$B$24,"{name}",AC223))</f>
        <v/>
      </c>
      <c r="AE223" s="32">
        <f>LEN(AD223)</f>
        <v/>
      </c>
      <c r="AF223" s="32">
        <f>IF(AND(TRIM(A223&amp;"")&lt;&gt;"",OR(B223="Awaiting",B223="Not sure yet")),1,0)</f>
        <v/>
      </c>
      <c r="AG223" s="32">
        <f>N(AG222)+AF223</f>
        <v/>
      </c>
      <c r="AH223" s="32">
        <f>IF(AF223=1,AG223,"")</f>
        <v/>
      </c>
      <c r="AI223" s="32">
        <f>IF(AND(TRIM(A223&amp;"")&lt;&gt;"",L223&amp;""&lt;&gt;"",L223&amp;""=Seating!$I$3&amp;"",B223&lt;&gt;"Declined"),1,0)</f>
        <v/>
      </c>
      <c r="AJ223" s="32">
        <f>N(AJ222)+AI223</f>
        <v/>
      </c>
      <c r="AK223" s="32">
        <f>IF(AI223=1,AJ223,"")</f>
        <v/>
      </c>
    </row>
    <row r="224">
      <c r="A224" s="10" t="n"/>
      <c r="B224" s="47">
        <f>IF(TRIM(A224&amp;"")="","",IF(W224&lt;&gt;"",W224,IF(I224="","Awaiting",I224)))</f>
        <v/>
      </c>
      <c r="C224" s="60">
        <f>IF(OR(B224="Awaiting",B224="Not sure yet"),IF(AD224&lt;&gt;"",HYPERLINK(AD224,"💬 Remind"),"add mobile"),"")</f>
        <v/>
      </c>
      <c r="D224" s="58" t="n"/>
      <c r="E224" s="10" t="n"/>
      <c r="F224" s="10" t="n"/>
      <c r="G224" s="10" t="n"/>
      <c r="H224" s="10" t="n"/>
      <c r="I224" s="10" t="n"/>
      <c r="J224" s="10" t="n"/>
      <c r="K224" s="10" t="n"/>
      <c r="L224" s="56" t="n"/>
      <c r="M224" s="10" t="n"/>
      <c r="N224" s="12" t="n"/>
      <c r="O224" s="10" t="n"/>
      <c r="P224" s="10" t="n"/>
      <c r="Q224" s="61">
        <f>IF(V224="","",IF(T224="","Covered by "&amp;INDEX('Form Calc'!$B:$B,V224)&amp;"'s reply (same party)","Replied "&amp;TEXT(INDEX('Form Calc'!$A:$A,T224),"mm/dd")&amp;" · "&amp;INDEX('Form Calc'!$H:$H,T224)&amp;" adult(s), "&amp;INDEX('Form Calc'!$I:$I,T224)&amp;" child(ren)"&amp;IF(INDEX('Form Calc'!$K:$K,T224)&lt;&gt;""," · "&amp;INDEX('Form Calc'!$K:$K,T224),"")&amp;IF(INDEX('Form Calc'!$M:$M,T224)&lt;&gt;""," · “"&amp;INDEX('Form Calc'!$M:$M,T224)&amp;"”","")))</f>
        <v/>
      </c>
      <c r="R224" s="32">
        <f>SUBSTITUTE(SUBSTITUTE(SUBSTITUTE(SUBSTITUTE(SUBSTITUTE(SUBSTITUTE(SUBSTITUTE(SUBSTITUTE(D224&amp;""," ",""),"-",""),"(",""),")",""),".",""),"+",""),"/",""),CHAR(160),"")</f>
        <v/>
      </c>
      <c r="S224" s="32">
        <f>IF(LEN(R224)&gt;=10,RIGHT(R224,10),R224)</f>
        <v/>
      </c>
      <c r="T224" s="32">
        <f>IF(TRIM(A224&amp;"")="","",IF(S224&lt;&gt;"",IFERROR(MATCH(S224,'Form Calc'!$P:$P,0),IFERROR(MATCH(TRIM(A224&amp;""),'Form Calc'!$Q:$Q,0),"")),IFERROR(MATCH(TRIM(A224&amp;""),'Form Calc'!$Q:$Q,0),"")))</f>
        <v/>
      </c>
      <c r="U224" s="32">
        <f>IF(AND(T224&lt;&gt;"",TRIM(E224&amp;"")&lt;&gt;""),TRIM(E224&amp;""),"")</f>
        <v/>
      </c>
      <c r="V224" s="32">
        <f>IF(TRIM(A224&amp;"")="","",IF(T224&lt;&gt;"",T224,IF(TRIM(E224&amp;"")="","",IFERROR(INDEX($T$6:$T$505,MATCH(TRIM(E224&amp;""),$U$6:$U$505,0)),""))))</f>
        <v/>
      </c>
      <c r="W224" s="32">
        <f>IF(V224="","",INDEX('Form Calc'!$G:$G,V224))</f>
        <v/>
      </c>
      <c r="X224" s="32">
        <f>IF(TRIM(A224&amp;"")="","",IF(T224&lt;&gt;"",IF(INDEX('Form Calc'!$K:$K,T224)&lt;&gt;"",INDEX('Form Calc'!$K:$K,T224),J224&amp;""),J224&amp;""))</f>
        <v/>
      </c>
      <c r="Y224" s="32">
        <f>IF(TRIM(A224&amp;"")="","",IF(TRIM(D224&amp;"")&lt;&gt;"",TRIM(D224&amp;""),IF(T224&lt;&gt;"",INDEX('Form Calc'!$C:$C,T224)&amp;"","")))</f>
        <v/>
      </c>
      <c r="Z224" s="32">
        <f>SUBSTITUTE(SUBSTITUTE(SUBSTITUTE(SUBSTITUTE(SUBSTITUTE(SUBSTITUTE(SUBSTITUTE(SUBSTITUTE(Y224," ",""),"-",""),"(",""),")",""),".",""),"+",""),"/",""),CHAR(160),"")</f>
        <v/>
      </c>
      <c r="AA224" s="32">
        <f>IF(Z224="","",IF(LEN(Z224)=10,"+1"&amp;Z224,IF(AND(LEN(Z224)=11,LEFT(Z224,1)="1"),"+"&amp;Z224,IF(LEFT(Y224,1)="+","+"&amp;Z224,Z224))))</f>
        <v/>
      </c>
      <c r="AB224" s="32">
        <f>IF(TRIM(A224&amp;"")="","",IF(TRIM(M224&amp;"")&lt;&gt;"",TRIM(M224&amp;""),IFERROR(LEFT(TRIM(A224&amp;""),FIND(" ",TRIM(A224&amp;""))-1),TRIM(A224&amp;""))))</f>
        <v/>
      </c>
      <c r="AC224" s="32">
        <f>SUBSTITUTE(SUBSTITUTE(SUBSTITUTE(SUBSTITUTE(SUBSTITUTE(SUBSTITUTE(SUBSTITUTE(SUBSTITUTE(SUBSTITUTE(SUBSTITUTE(AB224,"%","%25"),"&amp;","%26"),"#","%23"),"+","%2B"),"=","%3D"),"?","%3F"),CHAR(34),"%22"),CHAR(10),"%0A"),CHAR(13),"")," ","+")</f>
        <v/>
      </c>
      <c r="AD224" s="32">
        <f>IF(OR(AA224="",AB224=""),"",'Start Here'!$B$20&amp;"#p="&amp;SUBSTITUTE(AA224,"+","%2B")&amp;"&amp;n="&amp;AC224&amp;"&amp;m="&amp;SUBSTITUTE('Start Here'!$B$24,"{name}",AC224))</f>
        <v/>
      </c>
      <c r="AE224" s="32">
        <f>LEN(AD224)</f>
        <v/>
      </c>
      <c r="AF224" s="32">
        <f>IF(AND(TRIM(A224&amp;"")&lt;&gt;"",OR(B224="Awaiting",B224="Not sure yet")),1,0)</f>
        <v/>
      </c>
      <c r="AG224" s="32">
        <f>N(AG223)+AF224</f>
        <v/>
      </c>
      <c r="AH224" s="32">
        <f>IF(AF224=1,AG224,"")</f>
        <v/>
      </c>
      <c r="AI224" s="32">
        <f>IF(AND(TRIM(A224&amp;"")&lt;&gt;"",L224&amp;""&lt;&gt;"",L224&amp;""=Seating!$I$3&amp;"",B224&lt;&gt;"Declined"),1,0)</f>
        <v/>
      </c>
      <c r="AJ224" s="32">
        <f>N(AJ223)+AI224</f>
        <v/>
      </c>
      <c r="AK224" s="32">
        <f>IF(AI224=1,AJ224,"")</f>
        <v/>
      </c>
    </row>
    <row r="225">
      <c r="A225" s="10" t="n"/>
      <c r="B225" s="47">
        <f>IF(TRIM(A225&amp;"")="","",IF(W225&lt;&gt;"",W225,IF(I225="","Awaiting",I225)))</f>
        <v/>
      </c>
      <c r="C225" s="60">
        <f>IF(OR(B225="Awaiting",B225="Not sure yet"),IF(AD225&lt;&gt;"",HYPERLINK(AD225,"💬 Remind"),"add mobile"),"")</f>
        <v/>
      </c>
      <c r="D225" s="58" t="n"/>
      <c r="E225" s="10" t="n"/>
      <c r="F225" s="10" t="n"/>
      <c r="G225" s="10" t="n"/>
      <c r="H225" s="10" t="n"/>
      <c r="I225" s="10" t="n"/>
      <c r="J225" s="10" t="n"/>
      <c r="K225" s="10" t="n"/>
      <c r="L225" s="56" t="n"/>
      <c r="M225" s="10" t="n"/>
      <c r="N225" s="12" t="n"/>
      <c r="O225" s="10" t="n"/>
      <c r="P225" s="10" t="n"/>
      <c r="Q225" s="61">
        <f>IF(V225="","",IF(T225="","Covered by "&amp;INDEX('Form Calc'!$B:$B,V225)&amp;"'s reply (same party)","Replied "&amp;TEXT(INDEX('Form Calc'!$A:$A,T225),"mm/dd")&amp;" · "&amp;INDEX('Form Calc'!$H:$H,T225)&amp;" adult(s), "&amp;INDEX('Form Calc'!$I:$I,T225)&amp;" child(ren)"&amp;IF(INDEX('Form Calc'!$K:$K,T225)&lt;&gt;""," · "&amp;INDEX('Form Calc'!$K:$K,T225),"")&amp;IF(INDEX('Form Calc'!$M:$M,T225)&lt;&gt;""," · “"&amp;INDEX('Form Calc'!$M:$M,T225)&amp;"”","")))</f>
        <v/>
      </c>
      <c r="R225" s="32">
        <f>SUBSTITUTE(SUBSTITUTE(SUBSTITUTE(SUBSTITUTE(SUBSTITUTE(SUBSTITUTE(SUBSTITUTE(SUBSTITUTE(D225&amp;""," ",""),"-",""),"(",""),")",""),".",""),"+",""),"/",""),CHAR(160),"")</f>
        <v/>
      </c>
      <c r="S225" s="32">
        <f>IF(LEN(R225)&gt;=10,RIGHT(R225,10),R225)</f>
        <v/>
      </c>
      <c r="T225" s="32">
        <f>IF(TRIM(A225&amp;"")="","",IF(S225&lt;&gt;"",IFERROR(MATCH(S225,'Form Calc'!$P:$P,0),IFERROR(MATCH(TRIM(A225&amp;""),'Form Calc'!$Q:$Q,0),"")),IFERROR(MATCH(TRIM(A225&amp;""),'Form Calc'!$Q:$Q,0),"")))</f>
        <v/>
      </c>
      <c r="U225" s="32">
        <f>IF(AND(T225&lt;&gt;"",TRIM(E225&amp;"")&lt;&gt;""),TRIM(E225&amp;""),"")</f>
        <v/>
      </c>
      <c r="V225" s="32">
        <f>IF(TRIM(A225&amp;"")="","",IF(T225&lt;&gt;"",T225,IF(TRIM(E225&amp;"")="","",IFERROR(INDEX($T$6:$T$505,MATCH(TRIM(E225&amp;""),$U$6:$U$505,0)),""))))</f>
        <v/>
      </c>
      <c r="W225" s="32">
        <f>IF(V225="","",INDEX('Form Calc'!$G:$G,V225))</f>
        <v/>
      </c>
      <c r="X225" s="32">
        <f>IF(TRIM(A225&amp;"")="","",IF(T225&lt;&gt;"",IF(INDEX('Form Calc'!$K:$K,T225)&lt;&gt;"",INDEX('Form Calc'!$K:$K,T225),J225&amp;""),J225&amp;""))</f>
        <v/>
      </c>
      <c r="Y225" s="32">
        <f>IF(TRIM(A225&amp;"")="","",IF(TRIM(D225&amp;"")&lt;&gt;"",TRIM(D225&amp;""),IF(T225&lt;&gt;"",INDEX('Form Calc'!$C:$C,T225)&amp;"","")))</f>
        <v/>
      </c>
      <c r="Z225" s="32">
        <f>SUBSTITUTE(SUBSTITUTE(SUBSTITUTE(SUBSTITUTE(SUBSTITUTE(SUBSTITUTE(SUBSTITUTE(SUBSTITUTE(Y225," ",""),"-",""),"(",""),")",""),".",""),"+",""),"/",""),CHAR(160),"")</f>
        <v/>
      </c>
      <c r="AA225" s="32">
        <f>IF(Z225="","",IF(LEN(Z225)=10,"+1"&amp;Z225,IF(AND(LEN(Z225)=11,LEFT(Z225,1)="1"),"+"&amp;Z225,IF(LEFT(Y225,1)="+","+"&amp;Z225,Z225))))</f>
        <v/>
      </c>
      <c r="AB225" s="32">
        <f>IF(TRIM(A225&amp;"")="","",IF(TRIM(M225&amp;"")&lt;&gt;"",TRIM(M225&amp;""),IFERROR(LEFT(TRIM(A225&amp;""),FIND(" ",TRIM(A225&amp;""))-1),TRIM(A225&amp;""))))</f>
        <v/>
      </c>
      <c r="AC225" s="32">
        <f>SUBSTITUTE(SUBSTITUTE(SUBSTITUTE(SUBSTITUTE(SUBSTITUTE(SUBSTITUTE(SUBSTITUTE(SUBSTITUTE(SUBSTITUTE(SUBSTITUTE(AB225,"%","%25"),"&amp;","%26"),"#","%23"),"+","%2B"),"=","%3D"),"?","%3F"),CHAR(34),"%22"),CHAR(10),"%0A"),CHAR(13),"")," ","+")</f>
        <v/>
      </c>
      <c r="AD225" s="32">
        <f>IF(OR(AA225="",AB225=""),"",'Start Here'!$B$20&amp;"#p="&amp;SUBSTITUTE(AA225,"+","%2B")&amp;"&amp;n="&amp;AC225&amp;"&amp;m="&amp;SUBSTITUTE('Start Here'!$B$24,"{name}",AC225))</f>
        <v/>
      </c>
      <c r="AE225" s="32">
        <f>LEN(AD225)</f>
        <v/>
      </c>
      <c r="AF225" s="32">
        <f>IF(AND(TRIM(A225&amp;"")&lt;&gt;"",OR(B225="Awaiting",B225="Not sure yet")),1,0)</f>
        <v/>
      </c>
      <c r="AG225" s="32">
        <f>N(AG224)+AF225</f>
        <v/>
      </c>
      <c r="AH225" s="32">
        <f>IF(AF225=1,AG225,"")</f>
        <v/>
      </c>
      <c r="AI225" s="32">
        <f>IF(AND(TRIM(A225&amp;"")&lt;&gt;"",L225&amp;""&lt;&gt;"",L225&amp;""=Seating!$I$3&amp;"",B225&lt;&gt;"Declined"),1,0)</f>
        <v/>
      </c>
      <c r="AJ225" s="32">
        <f>N(AJ224)+AI225</f>
        <v/>
      </c>
      <c r="AK225" s="32">
        <f>IF(AI225=1,AJ225,"")</f>
        <v/>
      </c>
    </row>
    <row r="226">
      <c r="A226" s="10" t="n"/>
      <c r="B226" s="47">
        <f>IF(TRIM(A226&amp;"")="","",IF(W226&lt;&gt;"",W226,IF(I226="","Awaiting",I226)))</f>
        <v/>
      </c>
      <c r="C226" s="60">
        <f>IF(OR(B226="Awaiting",B226="Not sure yet"),IF(AD226&lt;&gt;"",HYPERLINK(AD226,"💬 Remind"),"add mobile"),"")</f>
        <v/>
      </c>
      <c r="D226" s="58" t="n"/>
      <c r="E226" s="10" t="n"/>
      <c r="F226" s="10" t="n"/>
      <c r="G226" s="10" t="n"/>
      <c r="H226" s="10" t="n"/>
      <c r="I226" s="10" t="n"/>
      <c r="J226" s="10" t="n"/>
      <c r="K226" s="10" t="n"/>
      <c r="L226" s="56" t="n"/>
      <c r="M226" s="10" t="n"/>
      <c r="N226" s="12" t="n"/>
      <c r="O226" s="10" t="n"/>
      <c r="P226" s="10" t="n"/>
      <c r="Q226" s="61">
        <f>IF(V226="","",IF(T226="","Covered by "&amp;INDEX('Form Calc'!$B:$B,V226)&amp;"'s reply (same party)","Replied "&amp;TEXT(INDEX('Form Calc'!$A:$A,T226),"mm/dd")&amp;" · "&amp;INDEX('Form Calc'!$H:$H,T226)&amp;" adult(s), "&amp;INDEX('Form Calc'!$I:$I,T226)&amp;" child(ren)"&amp;IF(INDEX('Form Calc'!$K:$K,T226)&lt;&gt;""," · "&amp;INDEX('Form Calc'!$K:$K,T226),"")&amp;IF(INDEX('Form Calc'!$M:$M,T226)&lt;&gt;""," · “"&amp;INDEX('Form Calc'!$M:$M,T226)&amp;"”","")))</f>
        <v/>
      </c>
      <c r="R226" s="32">
        <f>SUBSTITUTE(SUBSTITUTE(SUBSTITUTE(SUBSTITUTE(SUBSTITUTE(SUBSTITUTE(SUBSTITUTE(SUBSTITUTE(D226&amp;""," ",""),"-",""),"(",""),")",""),".",""),"+",""),"/",""),CHAR(160),"")</f>
        <v/>
      </c>
      <c r="S226" s="32">
        <f>IF(LEN(R226)&gt;=10,RIGHT(R226,10),R226)</f>
        <v/>
      </c>
      <c r="T226" s="32">
        <f>IF(TRIM(A226&amp;"")="","",IF(S226&lt;&gt;"",IFERROR(MATCH(S226,'Form Calc'!$P:$P,0),IFERROR(MATCH(TRIM(A226&amp;""),'Form Calc'!$Q:$Q,0),"")),IFERROR(MATCH(TRIM(A226&amp;""),'Form Calc'!$Q:$Q,0),"")))</f>
        <v/>
      </c>
      <c r="U226" s="32">
        <f>IF(AND(T226&lt;&gt;"",TRIM(E226&amp;"")&lt;&gt;""),TRIM(E226&amp;""),"")</f>
        <v/>
      </c>
      <c r="V226" s="32">
        <f>IF(TRIM(A226&amp;"")="","",IF(T226&lt;&gt;"",T226,IF(TRIM(E226&amp;"")="","",IFERROR(INDEX($T$6:$T$505,MATCH(TRIM(E226&amp;""),$U$6:$U$505,0)),""))))</f>
        <v/>
      </c>
      <c r="W226" s="32">
        <f>IF(V226="","",INDEX('Form Calc'!$G:$G,V226))</f>
        <v/>
      </c>
      <c r="X226" s="32">
        <f>IF(TRIM(A226&amp;"")="","",IF(T226&lt;&gt;"",IF(INDEX('Form Calc'!$K:$K,T226)&lt;&gt;"",INDEX('Form Calc'!$K:$K,T226),J226&amp;""),J226&amp;""))</f>
        <v/>
      </c>
      <c r="Y226" s="32">
        <f>IF(TRIM(A226&amp;"")="","",IF(TRIM(D226&amp;"")&lt;&gt;"",TRIM(D226&amp;""),IF(T226&lt;&gt;"",INDEX('Form Calc'!$C:$C,T226)&amp;"","")))</f>
        <v/>
      </c>
      <c r="Z226" s="32">
        <f>SUBSTITUTE(SUBSTITUTE(SUBSTITUTE(SUBSTITUTE(SUBSTITUTE(SUBSTITUTE(SUBSTITUTE(SUBSTITUTE(Y226," ",""),"-",""),"(",""),")",""),".",""),"+",""),"/",""),CHAR(160),"")</f>
        <v/>
      </c>
      <c r="AA226" s="32">
        <f>IF(Z226="","",IF(LEN(Z226)=10,"+1"&amp;Z226,IF(AND(LEN(Z226)=11,LEFT(Z226,1)="1"),"+"&amp;Z226,IF(LEFT(Y226,1)="+","+"&amp;Z226,Z226))))</f>
        <v/>
      </c>
      <c r="AB226" s="32">
        <f>IF(TRIM(A226&amp;"")="","",IF(TRIM(M226&amp;"")&lt;&gt;"",TRIM(M226&amp;""),IFERROR(LEFT(TRIM(A226&amp;""),FIND(" ",TRIM(A226&amp;""))-1),TRIM(A226&amp;""))))</f>
        <v/>
      </c>
      <c r="AC226" s="32">
        <f>SUBSTITUTE(SUBSTITUTE(SUBSTITUTE(SUBSTITUTE(SUBSTITUTE(SUBSTITUTE(SUBSTITUTE(SUBSTITUTE(SUBSTITUTE(SUBSTITUTE(AB226,"%","%25"),"&amp;","%26"),"#","%23"),"+","%2B"),"=","%3D"),"?","%3F"),CHAR(34),"%22"),CHAR(10),"%0A"),CHAR(13),"")," ","+")</f>
        <v/>
      </c>
      <c r="AD226" s="32">
        <f>IF(OR(AA226="",AB226=""),"",'Start Here'!$B$20&amp;"#p="&amp;SUBSTITUTE(AA226,"+","%2B")&amp;"&amp;n="&amp;AC226&amp;"&amp;m="&amp;SUBSTITUTE('Start Here'!$B$24,"{name}",AC226))</f>
        <v/>
      </c>
      <c r="AE226" s="32">
        <f>LEN(AD226)</f>
        <v/>
      </c>
      <c r="AF226" s="32">
        <f>IF(AND(TRIM(A226&amp;"")&lt;&gt;"",OR(B226="Awaiting",B226="Not sure yet")),1,0)</f>
        <v/>
      </c>
      <c r="AG226" s="32">
        <f>N(AG225)+AF226</f>
        <v/>
      </c>
      <c r="AH226" s="32">
        <f>IF(AF226=1,AG226,"")</f>
        <v/>
      </c>
      <c r="AI226" s="32">
        <f>IF(AND(TRIM(A226&amp;"")&lt;&gt;"",L226&amp;""&lt;&gt;"",L226&amp;""=Seating!$I$3&amp;"",B226&lt;&gt;"Declined"),1,0)</f>
        <v/>
      </c>
      <c r="AJ226" s="32">
        <f>N(AJ225)+AI226</f>
        <v/>
      </c>
      <c r="AK226" s="32">
        <f>IF(AI226=1,AJ226,"")</f>
        <v/>
      </c>
    </row>
    <row r="227">
      <c r="A227" s="10" t="n"/>
      <c r="B227" s="47">
        <f>IF(TRIM(A227&amp;"")="","",IF(W227&lt;&gt;"",W227,IF(I227="","Awaiting",I227)))</f>
        <v/>
      </c>
      <c r="C227" s="60">
        <f>IF(OR(B227="Awaiting",B227="Not sure yet"),IF(AD227&lt;&gt;"",HYPERLINK(AD227,"💬 Remind"),"add mobile"),"")</f>
        <v/>
      </c>
      <c r="D227" s="58" t="n"/>
      <c r="E227" s="10" t="n"/>
      <c r="F227" s="10" t="n"/>
      <c r="G227" s="10" t="n"/>
      <c r="H227" s="10" t="n"/>
      <c r="I227" s="10" t="n"/>
      <c r="J227" s="10" t="n"/>
      <c r="K227" s="10" t="n"/>
      <c r="L227" s="56" t="n"/>
      <c r="M227" s="10" t="n"/>
      <c r="N227" s="12" t="n"/>
      <c r="O227" s="10" t="n"/>
      <c r="P227" s="10" t="n"/>
      <c r="Q227" s="61">
        <f>IF(V227="","",IF(T227="","Covered by "&amp;INDEX('Form Calc'!$B:$B,V227)&amp;"'s reply (same party)","Replied "&amp;TEXT(INDEX('Form Calc'!$A:$A,T227),"mm/dd")&amp;" · "&amp;INDEX('Form Calc'!$H:$H,T227)&amp;" adult(s), "&amp;INDEX('Form Calc'!$I:$I,T227)&amp;" child(ren)"&amp;IF(INDEX('Form Calc'!$K:$K,T227)&lt;&gt;""," · "&amp;INDEX('Form Calc'!$K:$K,T227),"")&amp;IF(INDEX('Form Calc'!$M:$M,T227)&lt;&gt;""," · “"&amp;INDEX('Form Calc'!$M:$M,T227)&amp;"”","")))</f>
        <v/>
      </c>
      <c r="R227" s="32">
        <f>SUBSTITUTE(SUBSTITUTE(SUBSTITUTE(SUBSTITUTE(SUBSTITUTE(SUBSTITUTE(SUBSTITUTE(SUBSTITUTE(D227&amp;""," ",""),"-",""),"(",""),")",""),".",""),"+",""),"/",""),CHAR(160),"")</f>
        <v/>
      </c>
      <c r="S227" s="32">
        <f>IF(LEN(R227)&gt;=10,RIGHT(R227,10),R227)</f>
        <v/>
      </c>
      <c r="T227" s="32">
        <f>IF(TRIM(A227&amp;"")="","",IF(S227&lt;&gt;"",IFERROR(MATCH(S227,'Form Calc'!$P:$P,0),IFERROR(MATCH(TRIM(A227&amp;""),'Form Calc'!$Q:$Q,0),"")),IFERROR(MATCH(TRIM(A227&amp;""),'Form Calc'!$Q:$Q,0),"")))</f>
        <v/>
      </c>
      <c r="U227" s="32">
        <f>IF(AND(T227&lt;&gt;"",TRIM(E227&amp;"")&lt;&gt;""),TRIM(E227&amp;""),"")</f>
        <v/>
      </c>
      <c r="V227" s="32">
        <f>IF(TRIM(A227&amp;"")="","",IF(T227&lt;&gt;"",T227,IF(TRIM(E227&amp;"")="","",IFERROR(INDEX($T$6:$T$505,MATCH(TRIM(E227&amp;""),$U$6:$U$505,0)),""))))</f>
        <v/>
      </c>
      <c r="W227" s="32">
        <f>IF(V227="","",INDEX('Form Calc'!$G:$G,V227))</f>
        <v/>
      </c>
      <c r="X227" s="32">
        <f>IF(TRIM(A227&amp;"")="","",IF(T227&lt;&gt;"",IF(INDEX('Form Calc'!$K:$K,T227)&lt;&gt;"",INDEX('Form Calc'!$K:$K,T227),J227&amp;""),J227&amp;""))</f>
        <v/>
      </c>
      <c r="Y227" s="32">
        <f>IF(TRIM(A227&amp;"")="","",IF(TRIM(D227&amp;"")&lt;&gt;"",TRIM(D227&amp;""),IF(T227&lt;&gt;"",INDEX('Form Calc'!$C:$C,T227)&amp;"","")))</f>
        <v/>
      </c>
      <c r="Z227" s="32">
        <f>SUBSTITUTE(SUBSTITUTE(SUBSTITUTE(SUBSTITUTE(SUBSTITUTE(SUBSTITUTE(SUBSTITUTE(SUBSTITUTE(Y227," ",""),"-",""),"(",""),")",""),".",""),"+",""),"/",""),CHAR(160),"")</f>
        <v/>
      </c>
      <c r="AA227" s="32">
        <f>IF(Z227="","",IF(LEN(Z227)=10,"+1"&amp;Z227,IF(AND(LEN(Z227)=11,LEFT(Z227,1)="1"),"+"&amp;Z227,IF(LEFT(Y227,1)="+","+"&amp;Z227,Z227))))</f>
        <v/>
      </c>
      <c r="AB227" s="32">
        <f>IF(TRIM(A227&amp;"")="","",IF(TRIM(M227&amp;"")&lt;&gt;"",TRIM(M227&amp;""),IFERROR(LEFT(TRIM(A227&amp;""),FIND(" ",TRIM(A227&amp;""))-1),TRIM(A227&amp;""))))</f>
        <v/>
      </c>
      <c r="AC227" s="32">
        <f>SUBSTITUTE(SUBSTITUTE(SUBSTITUTE(SUBSTITUTE(SUBSTITUTE(SUBSTITUTE(SUBSTITUTE(SUBSTITUTE(SUBSTITUTE(SUBSTITUTE(AB227,"%","%25"),"&amp;","%26"),"#","%23"),"+","%2B"),"=","%3D"),"?","%3F"),CHAR(34),"%22"),CHAR(10),"%0A"),CHAR(13),"")," ","+")</f>
        <v/>
      </c>
      <c r="AD227" s="32">
        <f>IF(OR(AA227="",AB227=""),"",'Start Here'!$B$20&amp;"#p="&amp;SUBSTITUTE(AA227,"+","%2B")&amp;"&amp;n="&amp;AC227&amp;"&amp;m="&amp;SUBSTITUTE('Start Here'!$B$24,"{name}",AC227))</f>
        <v/>
      </c>
      <c r="AE227" s="32">
        <f>LEN(AD227)</f>
        <v/>
      </c>
      <c r="AF227" s="32">
        <f>IF(AND(TRIM(A227&amp;"")&lt;&gt;"",OR(B227="Awaiting",B227="Not sure yet")),1,0)</f>
        <v/>
      </c>
      <c r="AG227" s="32">
        <f>N(AG226)+AF227</f>
        <v/>
      </c>
      <c r="AH227" s="32">
        <f>IF(AF227=1,AG227,"")</f>
        <v/>
      </c>
      <c r="AI227" s="32">
        <f>IF(AND(TRIM(A227&amp;"")&lt;&gt;"",L227&amp;""&lt;&gt;"",L227&amp;""=Seating!$I$3&amp;"",B227&lt;&gt;"Declined"),1,0)</f>
        <v/>
      </c>
      <c r="AJ227" s="32">
        <f>N(AJ226)+AI227</f>
        <v/>
      </c>
      <c r="AK227" s="32">
        <f>IF(AI227=1,AJ227,"")</f>
        <v/>
      </c>
    </row>
    <row r="228">
      <c r="A228" s="10" t="n"/>
      <c r="B228" s="47">
        <f>IF(TRIM(A228&amp;"")="","",IF(W228&lt;&gt;"",W228,IF(I228="","Awaiting",I228)))</f>
        <v/>
      </c>
      <c r="C228" s="60">
        <f>IF(OR(B228="Awaiting",B228="Not sure yet"),IF(AD228&lt;&gt;"",HYPERLINK(AD228,"💬 Remind"),"add mobile"),"")</f>
        <v/>
      </c>
      <c r="D228" s="58" t="n"/>
      <c r="E228" s="10" t="n"/>
      <c r="F228" s="10" t="n"/>
      <c r="G228" s="10" t="n"/>
      <c r="H228" s="10" t="n"/>
      <c r="I228" s="10" t="n"/>
      <c r="J228" s="10" t="n"/>
      <c r="K228" s="10" t="n"/>
      <c r="L228" s="56" t="n"/>
      <c r="M228" s="10" t="n"/>
      <c r="N228" s="12" t="n"/>
      <c r="O228" s="10" t="n"/>
      <c r="P228" s="10" t="n"/>
      <c r="Q228" s="61">
        <f>IF(V228="","",IF(T228="","Covered by "&amp;INDEX('Form Calc'!$B:$B,V228)&amp;"'s reply (same party)","Replied "&amp;TEXT(INDEX('Form Calc'!$A:$A,T228),"mm/dd")&amp;" · "&amp;INDEX('Form Calc'!$H:$H,T228)&amp;" adult(s), "&amp;INDEX('Form Calc'!$I:$I,T228)&amp;" child(ren)"&amp;IF(INDEX('Form Calc'!$K:$K,T228)&lt;&gt;""," · "&amp;INDEX('Form Calc'!$K:$K,T228),"")&amp;IF(INDEX('Form Calc'!$M:$M,T228)&lt;&gt;""," · “"&amp;INDEX('Form Calc'!$M:$M,T228)&amp;"”","")))</f>
        <v/>
      </c>
      <c r="R228" s="32">
        <f>SUBSTITUTE(SUBSTITUTE(SUBSTITUTE(SUBSTITUTE(SUBSTITUTE(SUBSTITUTE(SUBSTITUTE(SUBSTITUTE(D228&amp;""," ",""),"-",""),"(",""),")",""),".",""),"+",""),"/",""),CHAR(160),"")</f>
        <v/>
      </c>
      <c r="S228" s="32">
        <f>IF(LEN(R228)&gt;=10,RIGHT(R228,10),R228)</f>
        <v/>
      </c>
      <c r="T228" s="32">
        <f>IF(TRIM(A228&amp;"")="","",IF(S228&lt;&gt;"",IFERROR(MATCH(S228,'Form Calc'!$P:$P,0),IFERROR(MATCH(TRIM(A228&amp;""),'Form Calc'!$Q:$Q,0),"")),IFERROR(MATCH(TRIM(A228&amp;""),'Form Calc'!$Q:$Q,0),"")))</f>
        <v/>
      </c>
      <c r="U228" s="32">
        <f>IF(AND(T228&lt;&gt;"",TRIM(E228&amp;"")&lt;&gt;""),TRIM(E228&amp;""),"")</f>
        <v/>
      </c>
      <c r="V228" s="32">
        <f>IF(TRIM(A228&amp;"")="","",IF(T228&lt;&gt;"",T228,IF(TRIM(E228&amp;"")="","",IFERROR(INDEX($T$6:$T$505,MATCH(TRIM(E228&amp;""),$U$6:$U$505,0)),""))))</f>
        <v/>
      </c>
      <c r="W228" s="32">
        <f>IF(V228="","",INDEX('Form Calc'!$G:$G,V228))</f>
        <v/>
      </c>
      <c r="X228" s="32">
        <f>IF(TRIM(A228&amp;"")="","",IF(T228&lt;&gt;"",IF(INDEX('Form Calc'!$K:$K,T228)&lt;&gt;"",INDEX('Form Calc'!$K:$K,T228),J228&amp;""),J228&amp;""))</f>
        <v/>
      </c>
      <c r="Y228" s="32">
        <f>IF(TRIM(A228&amp;"")="","",IF(TRIM(D228&amp;"")&lt;&gt;"",TRIM(D228&amp;""),IF(T228&lt;&gt;"",INDEX('Form Calc'!$C:$C,T228)&amp;"","")))</f>
        <v/>
      </c>
      <c r="Z228" s="32">
        <f>SUBSTITUTE(SUBSTITUTE(SUBSTITUTE(SUBSTITUTE(SUBSTITUTE(SUBSTITUTE(SUBSTITUTE(SUBSTITUTE(Y228," ",""),"-",""),"(",""),")",""),".",""),"+",""),"/",""),CHAR(160),"")</f>
        <v/>
      </c>
      <c r="AA228" s="32">
        <f>IF(Z228="","",IF(LEN(Z228)=10,"+1"&amp;Z228,IF(AND(LEN(Z228)=11,LEFT(Z228,1)="1"),"+"&amp;Z228,IF(LEFT(Y228,1)="+","+"&amp;Z228,Z228))))</f>
        <v/>
      </c>
      <c r="AB228" s="32">
        <f>IF(TRIM(A228&amp;"")="","",IF(TRIM(M228&amp;"")&lt;&gt;"",TRIM(M228&amp;""),IFERROR(LEFT(TRIM(A228&amp;""),FIND(" ",TRIM(A228&amp;""))-1),TRIM(A228&amp;""))))</f>
        <v/>
      </c>
      <c r="AC228" s="32">
        <f>SUBSTITUTE(SUBSTITUTE(SUBSTITUTE(SUBSTITUTE(SUBSTITUTE(SUBSTITUTE(SUBSTITUTE(SUBSTITUTE(SUBSTITUTE(SUBSTITUTE(AB228,"%","%25"),"&amp;","%26"),"#","%23"),"+","%2B"),"=","%3D"),"?","%3F"),CHAR(34),"%22"),CHAR(10),"%0A"),CHAR(13),"")," ","+")</f>
        <v/>
      </c>
      <c r="AD228" s="32">
        <f>IF(OR(AA228="",AB228=""),"",'Start Here'!$B$20&amp;"#p="&amp;SUBSTITUTE(AA228,"+","%2B")&amp;"&amp;n="&amp;AC228&amp;"&amp;m="&amp;SUBSTITUTE('Start Here'!$B$24,"{name}",AC228))</f>
        <v/>
      </c>
      <c r="AE228" s="32">
        <f>LEN(AD228)</f>
        <v/>
      </c>
      <c r="AF228" s="32">
        <f>IF(AND(TRIM(A228&amp;"")&lt;&gt;"",OR(B228="Awaiting",B228="Not sure yet")),1,0)</f>
        <v/>
      </c>
      <c r="AG228" s="32">
        <f>N(AG227)+AF228</f>
        <v/>
      </c>
      <c r="AH228" s="32">
        <f>IF(AF228=1,AG228,"")</f>
        <v/>
      </c>
      <c r="AI228" s="32">
        <f>IF(AND(TRIM(A228&amp;"")&lt;&gt;"",L228&amp;""&lt;&gt;"",L228&amp;""=Seating!$I$3&amp;"",B228&lt;&gt;"Declined"),1,0)</f>
        <v/>
      </c>
      <c r="AJ228" s="32">
        <f>N(AJ227)+AI228</f>
        <v/>
      </c>
      <c r="AK228" s="32">
        <f>IF(AI228=1,AJ228,"")</f>
        <v/>
      </c>
    </row>
    <row r="229">
      <c r="A229" s="10" t="n"/>
      <c r="B229" s="47">
        <f>IF(TRIM(A229&amp;"")="","",IF(W229&lt;&gt;"",W229,IF(I229="","Awaiting",I229)))</f>
        <v/>
      </c>
      <c r="C229" s="60">
        <f>IF(OR(B229="Awaiting",B229="Not sure yet"),IF(AD229&lt;&gt;"",HYPERLINK(AD229,"💬 Remind"),"add mobile"),"")</f>
        <v/>
      </c>
      <c r="D229" s="58" t="n"/>
      <c r="E229" s="10" t="n"/>
      <c r="F229" s="10" t="n"/>
      <c r="G229" s="10" t="n"/>
      <c r="H229" s="10" t="n"/>
      <c r="I229" s="10" t="n"/>
      <c r="J229" s="10" t="n"/>
      <c r="K229" s="10" t="n"/>
      <c r="L229" s="56" t="n"/>
      <c r="M229" s="10" t="n"/>
      <c r="N229" s="12" t="n"/>
      <c r="O229" s="10" t="n"/>
      <c r="P229" s="10" t="n"/>
      <c r="Q229" s="61">
        <f>IF(V229="","",IF(T229="","Covered by "&amp;INDEX('Form Calc'!$B:$B,V229)&amp;"'s reply (same party)","Replied "&amp;TEXT(INDEX('Form Calc'!$A:$A,T229),"mm/dd")&amp;" · "&amp;INDEX('Form Calc'!$H:$H,T229)&amp;" adult(s), "&amp;INDEX('Form Calc'!$I:$I,T229)&amp;" child(ren)"&amp;IF(INDEX('Form Calc'!$K:$K,T229)&lt;&gt;""," · "&amp;INDEX('Form Calc'!$K:$K,T229),"")&amp;IF(INDEX('Form Calc'!$M:$M,T229)&lt;&gt;""," · “"&amp;INDEX('Form Calc'!$M:$M,T229)&amp;"”","")))</f>
        <v/>
      </c>
      <c r="R229" s="32">
        <f>SUBSTITUTE(SUBSTITUTE(SUBSTITUTE(SUBSTITUTE(SUBSTITUTE(SUBSTITUTE(SUBSTITUTE(SUBSTITUTE(D229&amp;""," ",""),"-",""),"(",""),")",""),".",""),"+",""),"/",""),CHAR(160),"")</f>
        <v/>
      </c>
      <c r="S229" s="32">
        <f>IF(LEN(R229)&gt;=10,RIGHT(R229,10),R229)</f>
        <v/>
      </c>
      <c r="T229" s="32">
        <f>IF(TRIM(A229&amp;"")="","",IF(S229&lt;&gt;"",IFERROR(MATCH(S229,'Form Calc'!$P:$P,0),IFERROR(MATCH(TRIM(A229&amp;""),'Form Calc'!$Q:$Q,0),"")),IFERROR(MATCH(TRIM(A229&amp;""),'Form Calc'!$Q:$Q,0),"")))</f>
        <v/>
      </c>
      <c r="U229" s="32">
        <f>IF(AND(T229&lt;&gt;"",TRIM(E229&amp;"")&lt;&gt;""),TRIM(E229&amp;""),"")</f>
        <v/>
      </c>
      <c r="V229" s="32">
        <f>IF(TRIM(A229&amp;"")="","",IF(T229&lt;&gt;"",T229,IF(TRIM(E229&amp;"")="","",IFERROR(INDEX($T$6:$T$505,MATCH(TRIM(E229&amp;""),$U$6:$U$505,0)),""))))</f>
        <v/>
      </c>
      <c r="W229" s="32">
        <f>IF(V229="","",INDEX('Form Calc'!$G:$G,V229))</f>
        <v/>
      </c>
      <c r="X229" s="32">
        <f>IF(TRIM(A229&amp;"")="","",IF(T229&lt;&gt;"",IF(INDEX('Form Calc'!$K:$K,T229)&lt;&gt;"",INDEX('Form Calc'!$K:$K,T229),J229&amp;""),J229&amp;""))</f>
        <v/>
      </c>
      <c r="Y229" s="32">
        <f>IF(TRIM(A229&amp;"")="","",IF(TRIM(D229&amp;"")&lt;&gt;"",TRIM(D229&amp;""),IF(T229&lt;&gt;"",INDEX('Form Calc'!$C:$C,T229)&amp;"","")))</f>
        <v/>
      </c>
      <c r="Z229" s="32">
        <f>SUBSTITUTE(SUBSTITUTE(SUBSTITUTE(SUBSTITUTE(SUBSTITUTE(SUBSTITUTE(SUBSTITUTE(SUBSTITUTE(Y229," ",""),"-",""),"(",""),")",""),".",""),"+",""),"/",""),CHAR(160),"")</f>
        <v/>
      </c>
      <c r="AA229" s="32">
        <f>IF(Z229="","",IF(LEN(Z229)=10,"+1"&amp;Z229,IF(AND(LEN(Z229)=11,LEFT(Z229,1)="1"),"+"&amp;Z229,IF(LEFT(Y229,1)="+","+"&amp;Z229,Z229))))</f>
        <v/>
      </c>
      <c r="AB229" s="32">
        <f>IF(TRIM(A229&amp;"")="","",IF(TRIM(M229&amp;"")&lt;&gt;"",TRIM(M229&amp;""),IFERROR(LEFT(TRIM(A229&amp;""),FIND(" ",TRIM(A229&amp;""))-1),TRIM(A229&amp;""))))</f>
        <v/>
      </c>
      <c r="AC229" s="32">
        <f>SUBSTITUTE(SUBSTITUTE(SUBSTITUTE(SUBSTITUTE(SUBSTITUTE(SUBSTITUTE(SUBSTITUTE(SUBSTITUTE(SUBSTITUTE(SUBSTITUTE(AB229,"%","%25"),"&amp;","%26"),"#","%23"),"+","%2B"),"=","%3D"),"?","%3F"),CHAR(34),"%22"),CHAR(10),"%0A"),CHAR(13),"")," ","+")</f>
        <v/>
      </c>
      <c r="AD229" s="32">
        <f>IF(OR(AA229="",AB229=""),"",'Start Here'!$B$20&amp;"#p="&amp;SUBSTITUTE(AA229,"+","%2B")&amp;"&amp;n="&amp;AC229&amp;"&amp;m="&amp;SUBSTITUTE('Start Here'!$B$24,"{name}",AC229))</f>
        <v/>
      </c>
      <c r="AE229" s="32">
        <f>LEN(AD229)</f>
        <v/>
      </c>
      <c r="AF229" s="32">
        <f>IF(AND(TRIM(A229&amp;"")&lt;&gt;"",OR(B229="Awaiting",B229="Not sure yet")),1,0)</f>
        <v/>
      </c>
      <c r="AG229" s="32">
        <f>N(AG228)+AF229</f>
        <v/>
      </c>
      <c r="AH229" s="32">
        <f>IF(AF229=1,AG229,"")</f>
        <v/>
      </c>
      <c r="AI229" s="32">
        <f>IF(AND(TRIM(A229&amp;"")&lt;&gt;"",L229&amp;""&lt;&gt;"",L229&amp;""=Seating!$I$3&amp;"",B229&lt;&gt;"Declined"),1,0)</f>
        <v/>
      </c>
      <c r="AJ229" s="32">
        <f>N(AJ228)+AI229</f>
        <v/>
      </c>
      <c r="AK229" s="32">
        <f>IF(AI229=1,AJ229,"")</f>
        <v/>
      </c>
    </row>
    <row r="230">
      <c r="A230" s="10" t="n"/>
      <c r="B230" s="47">
        <f>IF(TRIM(A230&amp;"")="","",IF(W230&lt;&gt;"",W230,IF(I230="","Awaiting",I230)))</f>
        <v/>
      </c>
      <c r="C230" s="60">
        <f>IF(OR(B230="Awaiting",B230="Not sure yet"),IF(AD230&lt;&gt;"",HYPERLINK(AD230,"💬 Remind"),"add mobile"),"")</f>
        <v/>
      </c>
      <c r="D230" s="58" t="n"/>
      <c r="E230" s="10" t="n"/>
      <c r="F230" s="10" t="n"/>
      <c r="G230" s="10" t="n"/>
      <c r="H230" s="10" t="n"/>
      <c r="I230" s="10" t="n"/>
      <c r="J230" s="10" t="n"/>
      <c r="K230" s="10" t="n"/>
      <c r="L230" s="56" t="n"/>
      <c r="M230" s="10" t="n"/>
      <c r="N230" s="12" t="n"/>
      <c r="O230" s="10" t="n"/>
      <c r="P230" s="10" t="n"/>
      <c r="Q230" s="61">
        <f>IF(V230="","",IF(T230="","Covered by "&amp;INDEX('Form Calc'!$B:$B,V230)&amp;"'s reply (same party)","Replied "&amp;TEXT(INDEX('Form Calc'!$A:$A,T230),"mm/dd")&amp;" · "&amp;INDEX('Form Calc'!$H:$H,T230)&amp;" adult(s), "&amp;INDEX('Form Calc'!$I:$I,T230)&amp;" child(ren)"&amp;IF(INDEX('Form Calc'!$K:$K,T230)&lt;&gt;""," · "&amp;INDEX('Form Calc'!$K:$K,T230),"")&amp;IF(INDEX('Form Calc'!$M:$M,T230)&lt;&gt;""," · “"&amp;INDEX('Form Calc'!$M:$M,T230)&amp;"”","")))</f>
        <v/>
      </c>
      <c r="R230" s="32">
        <f>SUBSTITUTE(SUBSTITUTE(SUBSTITUTE(SUBSTITUTE(SUBSTITUTE(SUBSTITUTE(SUBSTITUTE(SUBSTITUTE(D230&amp;""," ",""),"-",""),"(",""),")",""),".",""),"+",""),"/",""),CHAR(160),"")</f>
        <v/>
      </c>
      <c r="S230" s="32">
        <f>IF(LEN(R230)&gt;=10,RIGHT(R230,10),R230)</f>
        <v/>
      </c>
      <c r="T230" s="32">
        <f>IF(TRIM(A230&amp;"")="","",IF(S230&lt;&gt;"",IFERROR(MATCH(S230,'Form Calc'!$P:$P,0),IFERROR(MATCH(TRIM(A230&amp;""),'Form Calc'!$Q:$Q,0),"")),IFERROR(MATCH(TRIM(A230&amp;""),'Form Calc'!$Q:$Q,0),"")))</f>
        <v/>
      </c>
      <c r="U230" s="32">
        <f>IF(AND(T230&lt;&gt;"",TRIM(E230&amp;"")&lt;&gt;""),TRIM(E230&amp;""),"")</f>
        <v/>
      </c>
      <c r="V230" s="32">
        <f>IF(TRIM(A230&amp;"")="","",IF(T230&lt;&gt;"",T230,IF(TRIM(E230&amp;"")="","",IFERROR(INDEX($T$6:$T$505,MATCH(TRIM(E230&amp;""),$U$6:$U$505,0)),""))))</f>
        <v/>
      </c>
      <c r="W230" s="32">
        <f>IF(V230="","",INDEX('Form Calc'!$G:$G,V230))</f>
        <v/>
      </c>
      <c r="X230" s="32">
        <f>IF(TRIM(A230&amp;"")="","",IF(T230&lt;&gt;"",IF(INDEX('Form Calc'!$K:$K,T230)&lt;&gt;"",INDEX('Form Calc'!$K:$K,T230),J230&amp;""),J230&amp;""))</f>
        <v/>
      </c>
      <c r="Y230" s="32">
        <f>IF(TRIM(A230&amp;"")="","",IF(TRIM(D230&amp;"")&lt;&gt;"",TRIM(D230&amp;""),IF(T230&lt;&gt;"",INDEX('Form Calc'!$C:$C,T230)&amp;"","")))</f>
        <v/>
      </c>
      <c r="Z230" s="32">
        <f>SUBSTITUTE(SUBSTITUTE(SUBSTITUTE(SUBSTITUTE(SUBSTITUTE(SUBSTITUTE(SUBSTITUTE(SUBSTITUTE(Y230," ",""),"-",""),"(",""),")",""),".",""),"+",""),"/",""),CHAR(160),"")</f>
        <v/>
      </c>
      <c r="AA230" s="32">
        <f>IF(Z230="","",IF(LEN(Z230)=10,"+1"&amp;Z230,IF(AND(LEN(Z230)=11,LEFT(Z230,1)="1"),"+"&amp;Z230,IF(LEFT(Y230,1)="+","+"&amp;Z230,Z230))))</f>
        <v/>
      </c>
      <c r="AB230" s="32">
        <f>IF(TRIM(A230&amp;"")="","",IF(TRIM(M230&amp;"")&lt;&gt;"",TRIM(M230&amp;""),IFERROR(LEFT(TRIM(A230&amp;""),FIND(" ",TRIM(A230&amp;""))-1),TRIM(A230&amp;""))))</f>
        <v/>
      </c>
      <c r="AC230" s="32">
        <f>SUBSTITUTE(SUBSTITUTE(SUBSTITUTE(SUBSTITUTE(SUBSTITUTE(SUBSTITUTE(SUBSTITUTE(SUBSTITUTE(SUBSTITUTE(SUBSTITUTE(AB230,"%","%25"),"&amp;","%26"),"#","%23"),"+","%2B"),"=","%3D"),"?","%3F"),CHAR(34),"%22"),CHAR(10),"%0A"),CHAR(13),"")," ","+")</f>
        <v/>
      </c>
      <c r="AD230" s="32">
        <f>IF(OR(AA230="",AB230=""),"",'Start Here'!$B$20&amp;"#p="&amp;SUBSTITUTE(AA230,"+","%2B")&amp;"&amp;n="&amp;AC230&amp;"&amp;m="&amp;SUBSTITUTE('Start Here'!$B$24,"{name}",AC230))</f>
        <v/>
      </c>
      <c r="AE230" s="32">
        <f>LEN(AD230)</f>
        <v/>
      </c>
      <c r="AF230" s="32">
        <f>IF(AND(TRIM(A230&amp;"")&lt;&gt;"",OR(B230="Awaiting",B230="Not sure yet")),1,0)</f>
        <v/>
      </c>
      <c r="AG230" s="32">
        <f>N(AG229)+AF230</f>
        <v/>
      </c>
      <c r="AH230" s="32">
        <f>IF(AF230=1,AG230,"")</f>
        <v/>
      </c>
      <c r="AI230" s="32">
        <f>IF(AND(TRIM(A230&amp;"")&lt;&gt;"",L230&amp;""&lt;&gt;"",L230&amp;""=Seating!$I$3&amp;"",B230&lt;&gt;"Declined"),1,0)</f>
        <v/>
      </c>
      <c r="AJ230" s="32">
        <f>N(AJ229)+AI230</f>
        <v/>
      </c>
      <c r="AK230" s="32">
        <f>IF(AI230=1,AJ230,"")</f>
        <v/>
      </c>
    </row>
    <row r="231">
      <c r="A231" s="10" t="n"/>
      <c r="B231" s="47">
        <f>IF(TRIM(A231&amp;"")="","",IF(W231&lt;&gt;"",W231,IF(I231="","Awaiting",I231)))</f>
        <v/>
      </c>
      <c r="C231" s="60">
        <f>IF(OR(B231="Awaiting",B231="Not sure yet"),IF(AD231&lt;&gt;"",HYPERLINK(AD231,"💬 Remind"),"add mobile"),"")</f>
        <v/>
      </c>
      <c r="D231" s="58" t="n"/>
      <c r="E231" s="10" t="n"/>
      <c r="F231" s="10" t="n"/>
      <c r="G231" s="10" t="n"/>
      <c r="H231" s="10" t="n"/>
      <c r="I231" s="10" t="n"/>
      <c r="J231" s="10" t="n"/>
      <c r="K231" s="10" t="n"/>
      <c r="L231" s="56" t="n"/>
      <c r="M231" s="10" t="n"/>
      <c r="N231" s="12" t="n"/>
      <c r="O231" s="10" t="n"/>
      <c r="P231" s="10" t="n"/>
      <c r="Q231" s="61">
        <f>IF(V231="","",IF(T231="","Covered by "&amp;INDEX('Form Calc'!$B:$B,V231)&amp;"'s reply (same party)","Replied "&amp;TEXT(INDEX('Form Calc'!$A:$A,T231),"mm/dd")&amp;" · "&amp;INDEX('Form Calc'!$H:$H,T231)&amp;" adult(s), "&amp;INDEX('Form Calc'!$I:$I,T231)&amp;" child(ren)"&amp;IF(INDEX('Form Calc'!$K:$K,T231)&lt;&gt;""," · "&amp;INDEX('Form Calc'!$K:$K,T231),"")&amp;IF(INDEX('Form Calc'!$M:$M,T231)&lt;&gt;""," · “"&amp;INDEX('Form Calc'!$M:$M,T231)&amp;"”","")))</f>
        <v/>
      </c>
      <c r="R231" s="32">
        <f>SUBSTITUTE(SUBSTITUTE(SUBSTITUTE(SUBSTITUTE(SUBSTITUTE(SUBSTITUTE(SUBSTITUTE(SUBSTITUTE(D231&amp;""," ",""),"-",""),"(",""),")",""),".",""),"+",""),"/",""),CHAR(160),"")</f>
        <v/>
      </c>
      <c r="S231" s="32">
        <f>IF(LEN(R231)&gt;=10,RIGHT(R231,10),R231)</f>
        <v/>
      </c>
      <c r="T231" s="32">
        <f>IF(TRIM(A231&amp;"")="","",IF(S231&lt;&gt;"",IFERROR(MATCH(S231,'Form Calc'!$P:$P,0),IFERROR(MATCH(TRIM(A231&amp;""),'Form Calc'!$Q:$Q,0),"")),IFERROR(MATCH(TRIM(A231&amp;""),'Form Calc'!$Q:$Q,0),"")))</f>
        <v/>
      </c>
      <c r="U231" s="32">
        <f>IF(AND(T231&lt;&gt;"",TRIM(E231&amp;"")&lt;&gt;""),TRIM(E231&amp;""),"")</f>
        <v/>
      </c>
      <c r="V231" s="32">
        <f>IF(TRIM(A231&amp;"")="","",IF(T231&lt;&gt;"",T231,IF(TRIM(E231&amp;"")="","",IFERROR(INDEX($T$6:$T$505,MATCH(TRIM(E231&amp;""),$U$6:$U$505,0)),""))))</f>
        <v/>
      </c>
      <c r="W231" s="32">
        <f>IF(V231="","",INDEX('Form Calc'!$G:$G,V231))</f>
        <v/>
      </c>
      <c r="X231" s="32">
        <f>IF(TRIM(A231&amp;"")="","",IF(T231&lt;&gt;"",IF(INDEX('Form Calc'!$K:$K,T231)&lt;&gt;"",INDEX('Form Calc'!$K:$K,T231),J231&amp;""),J231&amp;""))</f>
        <v/>
      </c>
      <c r="Y231" s="32">
        <f>IF(TRIM(A231&amp;"")="","",IF(TRIM(D231&amp;"")&lt;&gt;"",TRIM(D231&amp;""),IF(T231&lt;&gt;"",INDEX('Form Calc'!$C:$C,T231)&amp;"","")))</f>
        <v/>
      </c>
      <c r="Z231" s="32">
        <f>SUBSTITUTE(SUBSTITUTE(SUBSTITUTE(SUBSTITUTE(SUBSTITUTE(SUBSTITUTE(SUBSTITUTE(SUBSTITUTE(Y231," ",""),"-",""),"(",""),")",""),".",""),"+",""),"/",""),CHAR(160),"")</f>
        <v/>
      </c>
      <c r="AA231" s="32">
        <f>IF(Z231="","",IF(LEN(Z231)=10,"+1"&amp;Z231,IF(AND(LEN(Z231)=11,LEFT(Z231,1)="1"),"+"&amp;Z231,IF(LEFT(Y231,1)="+","+"&amp;Z231,Z231))))</f>
        <v/>
      </c>
      <c r="AB231" s="32">
        <f>IF(TRIM(A231&amp;"")="","",IF(TRIM(M231&amp;"")&lt;&gt;"",TRIM(M231&amp;""),IFERROR(LEFT(TRIM(A231&amp;""),FIND(" ",TRIM(A231&amp;""))-1),TRIM(A231&amp;""))))</f>
        <v/>
      </c>
      <c r="AC231" s="32">
        <f>SUBSTITUTE(SUBSTITUTE(SUBSTITUTE(SUBSTITUTE(SUBSTITUTE(SUBSTITUTE(SUBSTITUTE(SUBSTITUTE(SUBSTITUTE(SUBSTITUTE(AB231,"%","%25"),"&amp;","%26"),"#","%23"),"+","%2B"),"=","%3D"),"?","%3F"),CHAR(34),"%22"),CHAR(10),"%0A"),CHAR(13),"")," ","+")</f>
        <v/>
      </c>
      <c r="AD231" s="32">
        <f>IF(OR(AA231="",AB231=""),"",'Start Here'!$B$20&amp;"#p="&amp;SUBSTITUTE(AA231,"+","%2B")&amp;"&amp;n="&amp;AC231&amp;"&amp;m="&amp;SUBSTITUTE('Start Here'!$B$24,"{name}",AC231))</f>
        <v/>
      </c>
      <c r="AE231" s="32">
        <f>LEN(AD231)</f>
        <v/>
      </c>
      <c r="AF231" s="32">
        <f>IF(AND(TRIM(A231&amp;"")&lt;&gt;"",OR(B231="Awaiting",B231="Not sure yet")),1,0)</f>
        <v/>
      </c>
      <c r="AG231" s="32">
        <f>N(AG230)+AF231</f>
        <v/>
      </c>
      <c r="AH231" s="32">
        <f>IF(AF231=1,AG231,"")</f>
        <v/>
      </c>
      <c r="AI231" s="32">
        <f>IF(AND(TRIM(A231&amp;"")&lt;&gt;"",L231&amp;""&lt;&gt;"",L231&amp;""=Seating!$I$3&amp;"",B231&lt;&gt;"Declined"),1,0)</f>
        <v/>
      </c>
      <c r="AJ231" s="32">
        <f>N(AJ230)+AI231</f>
        <v/>
      </c>
      <c r="AK231" s="32">
        <f>IF(AI231=1,AJ231,"")</f>
        <v/>
      </c>
    </row>
    <row r="232">
      <c r="A232" s="10" t="n"/>
      <c r="B232" s="47">
        <f>IF(TRIM(A232&amp;"")="","",IF(W232&lt;&gt;"",W232,IF(I232="","Awaiting",I232)))</f>
        <v/>
      </c>
      <c r="C232" s="60">
        <f>IF(OR(B232="Awaiting",B232="Not sure yet"),IF(AD232&lt;&gt;"",HYPERLINK(AD232,"💬 Remind"),"add mobile"),"")</f>
        <v/>
      </c>
      <c r="D232" s="58" t="n"/>
      <c r="E232" s="10" t="n"/>
      <c r="F232" s="10" t="n"/>
      <c r="G232" s="10" t="n"/>
      <c r="H232" s="10" t="n"/>
      <c r="I232" s="10" t="n"/>
      <c r="J232" s="10" t="n"/>
      <c r="K232" s="10" t="n"/>
      <c r="L232" s="56" t="n"/>
      <c r="M232" s="10" t="n"/>
      <c r="N232" s="12" t="n"/>
      <c r="O232" s="10" t="n"/>
      <c r="P232" s="10" t="n"/>
      <c r="Q232" s="61">
        <f>IF(V232="","",IF(T232="","Covered by "&amp;INDEX('Form Calc'!$B:$B,V232)&amp;"'s reply (same party)","Replied "&amp;TEXT(INDEX('Form Calc'!$A:$A,T232),"mm/dd")&amp;" · "&amp;INDEX('Form Calc'!$H:$H,T232)&amp;" adult(s), "&amp;INDEX('Form Calc'!$I:$I,T232)&amp;" child(ren)"&amp;IF(INDEX('Form Calc'!$K:$K,T232)&lt;&gt;""," · "&amp;INDEX('Form Calc'!$K:$K,T232),"")&amp;IF(INDEX('Form Calc'!$M:$M,T232)&lt;&gt;""," · “"&amp;INDEX('Form Calc'!$M:$M,T232)&amp;"”","")))</f>
        <v/>
      </c>
      <c r="R232" s="32">
        <f>SUBSTITUTE(SUBSTITUTE(SUBSTITUTE(SUBSTITUTE(SUBSTITUTE(SUBSTITUTE(SUBSTITUTE(SUBSTITUTE(D232&amp;""," ",""),"-",""),"(",""),")",""),".",""),"+",""),"/",""),CHAR(160),"")</f>
        <v/>
      </c>
      <c r="S232" s="32">
        <f>IF(LEN(R232)&gt;=10,RIGHT(R232,10),R232)</f>
        <v/>
      </c>
      <c r="T232" s="32">
        <f>IF(TRIM(A232&amp;"")="","",IF(S232&lt;&gt;"",IFERROR(MATCH(S232,'Form Calc'!$P:$P,0),IFERROR(MATCH(TRIM(A232&amp;""),'Form Calc'!$Q:$Q,0),"")),IFERROR(MATCH(TRIM(A232&amp;""),'Form Calc'!$Q:$Q,0),"")))</f>
        <v/>
      </c>
      <c r="U232" s="32">
        <f>IF(AND(T232&lt;&gt;"",TRIM(E232&amp;"")&lt;&gt;""),TRIM(E232&amp;""),"")</f>
        <v/>
      </c>
      <c r="V232" s="32">
        <f>IF(TRIM(A232&amp;"")="","",IF(T232&lt;&gt;"",T232,IF(TRIM(E232&amp;"")="","",IFERROR(INDEX($T$6:$T$505,MATCH(TRIM(E232&amp;""),$U$6:$U$505,0)),""))))</f>
        <v/>
      </c>
      <c r="W232" s="32">
        <f>IF(V232="","",INDEX('Form Calc'!$G:$G,V232))</f>
        <v/>
      </c>
      <c r="X232" s="32">
        <f>IF(TRIM(A232&amp;"")="","",IF(T232&lt;&gt;"",IF(INDEX('Form Calc'!$K:$K,T232)&lt;&gt;"",INDEX('Form Calc'!$K:$K,T232),J232&amp;""),J232&amp;""))</f>
        <v/>
      </c>
      <c r="Y232" s="32">
        <f>IF(TRIM(A232&amp;"")="","",IF(TRIM(D232&amp;"")&lt;&gt;"",TRIM(D232&amp;""),IF(T232&lt;&gt;"",INDEX('Form Calc'!$C:$C,T232)&amp;"","")))</f>
        <v/>
      </c>
      <c r="Z232" s="32">
        <f>SUBSTITUTE(SUBSTITUTE(SUBSTITUTE(SUBSTITUTE(SUBSTITUTE(SUBSTITUTE(SUBSTITUTE(SUBSTITUTE(Y232," ",""),"-",""),"(",""),")",""),".",""),"+",""),"/",""),CHAR(160),"")</f>
        <v/>
      </c>
      <c r="AA232" s="32">
        <f>IF(Z232="","",IF(LEN(Z232)=10,"+1"&amp;Z232,IF(AND(LEN(Z232)=11,LEFT(Z232,1)="1"),"+"&amp;Z232,IF(LEFT(Y232,1)="+","+"&amp;Z232,Z232))))</f>
        <v/>
      </c>
      <c r="AB232" s="32">
        <f>IF(TRIM(A232&amp;"")="","",IF(TRIM(M232&amp;"")&lt;&gt;"",TRIM(M232&amp;""),IFERROR(LEFT(TRIM(A232&amp;""),FIND(" ",TRIM(A232&amp;""))-1),TRIM(A232&amp;""))))</f>
        <v/>
      </c>
      <c r="AC232" s="32">
        <f>SUBSTITUTE(SUBSTITUTE(SUBSTITUTE(SUBSTITUTE(SUBSTITUTE(SUBSTITUTE(SUBSTITUTE(SUBSTITUTE(SUBSTITUTE(SUBSTITUTE(AB232,"%","%25"),"&amp;","%26"),"#","%23"),"+","%2B"),"=","%3D"),"?","%3F"),CHAR(34),"%22"),CHAR(10),"%0A"),CHAR(13),"")," ","+")</f>
        <v/>
      </c>
      <c r="AD232" s="32">
        <f>IF(OR(AA232="",AB232=""),"",'Start Here'!$B$20&amp;"#p="&amp;SUBSTITUTE(AA232,"+","%2B")&amp;"&amp;n="&amp;AC232&amp;"&amp;m="&amp;SUBSTITUTE('Start Here'!$B$24,"{name}",AC232))</f>
        <v/>
      </c>
      <c r="AE232" s="32">
        <f>LEN(AD232)</f>
        <v/>
      </c>
      <c r="AF232" s="32">
        <f>IF(AND(TRIM(A232&amp;"")&lt;&gt;"",OR(B232="Awaiting",B232="Not sure yet")),1,0)</f>
        <v/>
      </c>
      <c r="AG232" s="32">
        <f>N(AG231)+AF232</f>
        <v/>
      </c>
      <c r="AH232" s="32">
        <f>IF(AF232=1,AG232,"")</f>
        <v/>
      </c>
      <c r="AI232" s="32">
        <f>IF(AND(TRIM(A232&amp;"")&lt;&gt;"",L232&amp;""&lt;&gt;"",L232&amp;""=Seating!$I$3&amp;"",B232&lt;&gt;"Declined"),1,0)</f>
        <v/>
      </c>
      <c r="AJ232" s="32">
        <f>N(AJ231)+AI232</f>
        <v/>
      </c>
      <c r="AK232" s="32">
        <f>IF(AI232=1,AJ232,"")</f>
        <v/>
      </c>
    </row>
    <row r="233">
      <c r="A233" s="10" t="n"/>
      <c r="B233" s="47">
        <f>IF(TRIM(A233&amp;"")="","",IF(W233&lt;&gt;"",W233,IF(I233="","Awaiting",I233)))</f>
        <v/>
      </c>
      <c r="C233" s="60">
        <f>IF(OR(B233="Awaiting",B233="Not sure yet"),IF(AD233&lt;&gt;"",HYPERLINK(AD233,"💬 Remind"),"add mobile"),"")</f>
        <v/>
      </c>
      <c r="D233" s="58" t="n"/>
      <c r="E233" s="10" t="n"/>
      <c r="F233" s="10" t="n"/>
      <c r="G233" s="10" t="n"/>
      <c r="H233" s="10" t="n"/>
      <c r="I233" s="10" t="n"/>
      <c r="J233" s="10" t="n"/>
      <c r="K233" s="10" t="n"/>
      <c r="L233" s="56" t="n"/>
      <c r="M233" s="10" t="n"/>
      <c r="N233" s="12" t="n"/>
      <c r="O233" s="10" t="n"/>
      <c r="P233" s="10" t="n"/>
      <c r="Q233" s="61">
        <f>IF(V233="","",IF(T233="","Covered by "&amp;INDEX('Form Calc'!$B:$B,V233)&amp;"'s reply (same party)","Replied "&amp;TEXT(INDEX('Form Calc'!$A:$A,T233),"mm/dd")&amp;" · "&amp;INDEX('Form Calc'!$H:$H,T233)&amp;" adult(s), "&amp;INDEX('Form Calc'!$I:$I,T233)&amp;" child(ren)"&amp;IF(INDEX('Form Calc'!$K:$K,T233)&lt;&gt;""," · "&amp;INDEX('Form Calc'!$K:$K,T233),"")&amp;IF(INDEX('Form Calc'!$M:$M,T233)&lt;&gt;""," · “"&amp;INDEX('Form Calc'!$M:$M,T233)&amp;"”","")))</f>
        <v/>
      </c>
      <c r="R233" s="32">
        <f>SUBSTITUTE(SUBSTITUTE(SUBSTITUTE(SUBSTITUTE(SUBSTITUTE(SUBSTITUTE(SUBSTITUTE(SUBSTITUTE(D233&amp;""," ",""),"-",""),"(",""),")",""),".",""),"+",""),"/",""),CHAR(160),"")</f>
        <v/>
      </c>
      <c r="S233" s="32">
        <f>IF(LEN(R233)&gt;=10,RIGHT(R233,10),R233)</f>
        <v/>
      </c>
      <c r="T233" s="32">
        <f>IF(TRIM(A233&amp;"")="","",IF(S233&lt;&gt;"",IFERROR(MATCH(S233,'Form Calc'!$P:$P,0),IFERROR(MATCH(TRIM(A233&amp;""),'Form Calc'!$Q:$Q,0),"")),IFERROR(MATCH(TRIM(A233&amp;""),'Form Calc'!$Q:$Q,0),"")))</f>
        <v/>
      </c>
      <c r="U233" s="32">
        <f>IF(AND(T233&lt;&gt;"",TRIM(E233&amp;"")&lt;&gt;""),TRIM(E233&amp;""),"")</f>
        <v/>
      </c>
      <c r="V233" s="32">
        <f>IF(TRIM(A233&amp;"")="","",IF(T233&lt;&gt;"",T233,IF(TRIM(E233&amp;"")="","",IFERROR(INDEX($T$6:$T$505,MATCH(TRIM(E233&amp;""),$U$6:$U$505,0)),""))))</f>
        <v/>
      </c>
      <c r="W233" s="32">
        <f>IF(V233="","",INDEX('Form Calc'!$G:$G,V233))</f>
        <v/>
      </c>
      <c r="X233" s="32">
        <f>IF(TRIM(A233&amp;"")="","",IF(T233&lt;&gt;"",IF(INDEX('Form Calc'!$K:$K,T233)&lt;&gt;"",INDEX('Form Calc'!$K:$K,T233),J233&amp;""),J233&amp;""))</f>
        <v/>
      </c>
      <c r="Y233" s="32">
        <f>IF(TRIM(A233&amp;"")="","",IF(TRIM(D233&amp;"")&lt;&gt;"",TRIM(D233&amp;""),IF(T233&lt;&gt;"",INDEX('Form Calc'!$C:$C,T233)&amp;"","")))</f>
        <v/>
      </c>
      <c r="Z233" s="32">
        <f>SUBSTITUTE(SUBSTITUTE(SUBSTITUTE(SUBSTITUTE(SUBSTITUTE(SUBSTITUTE(SUBSTITUTE(SUBSTITUTE(Y233," ",""),"-",""),"(",""),")",""),".",""),"+",""),"/",""),CHAR(160),"")</f>
        <v/>
      </c>
      <c r="AA233" s="32">
        <f>IF(Z233="","",IF(LEN(Z233)=10,"+1"&amp;Z233,IF(AND(LEN(Z233)=11,LEFT(Z233,1)="1"),"+"&amp;Z233,IF(LEFT(Y233,1)="+","+"&amp;Z233,Z233))))</f>
        <v/>
      </c>
      <c r="AB233" s="32">
        <f>IF(TRIM(A233&amp;"")="","",IF(TRIM(M233&amp;"")&lt;&gt;"",TRIM(M233&amp;""),IFERROR(LEFT(TRIM(A233&amp;""),FIND(" ",TRIM(A233&amp;""))-1),TRIM(A233&amp;""))))</f>
        <v/>
      </c>
      <c r="AC233" s="32">
        <f>SUBSTITUTE(SUBSTITUTE(SUBSTITUTE(SUBSTITUTE(SUBSTITUTE(SUBSTITUTE(SUBSTITUTE(SUBSTITUTE(SUBSTITUTE(SUBSTITUTE(AB233,"%","%25"),"&amp;","%26"),"#","%23"),"+","%2B"),"=","%3D"),"?","%3F"),CHAR(34),"%22"),CHAR(10),"%0A"),CHAR(13),"")," ","+")</f>
        <v/>
      </c>
      <c r="AD233" s="32">
        <f>IF(OR(AA233="",AB233=""),"",'Start Here'!$B$20&amp;"#p="&amp;SUBSTITUTE(AA233,"+","%2B")&amp;"&amp;n="&amp;AC233&amp;"&amp;m="&amp;SUBSTITUTE('Start Here'!$B$24,"{name}",AC233))</f>
        <v/>
      </c>
      <c r="AE233" s="32">
        <f>LEN(AD233)</f>
        <v/>
      </c>
      <c r="AF233" s="32">
        <f>IF(AND(TRIM(A233&amp;"")&lt;&gt;"",OR(B233="Awaiting",B233="Not sure yet")),1,0)</f>
        <v/>
      </c>
      <c r="AG233" s="32">
        <f>N(AG232)+AF233</f>
        <v/>
      </c>
      <c r="AH233" s="32">
        <f>IF(AF233=1,AG233,"")</f>
        <v/>
      </c>
      <c r="AI233" s="32">
        <f>IF(AND(TRIM(A233&amp;"")&lt;&gt;"",L233&amp;""&lt;&gt;"",L233&amp;""=Seating!$I$3&amp;"",B233&lt;&gt;"Declined"),1,0)</f>
        <v/>
      </c>
      <c r="AJ233" s="32">
        <f>N(AJ232)+AI233</f>
        <v/>
      </c>
      <c r="AK233" s="32">
        <f>IF(AI233=1,AJ233,"")</f>
        <v/>
      </c>
    </row>
    <row r="234">
      <c r="A234" s="10" t="n"/>
      <c r="B234" s="47">
        <f>IF(TRIM(A234&amp;"")="","",IF(W234&lt;&gt;"",W234,IF(I234="","Awaiting",I234)))</f>
        <v/>
      </c>
      <c r="C234" s="60">
        <f>IF(OR(B234="Awaiting",B234="Not sure yet"),IF(AD234&lt;&gt;"",HYPERLINK(AD234,"💬 Remind"),"add mobile"),"")</f>
        <v/>
      </c>
      <c r="D234" s="58" t="n"/>
      <c r="E234" s="10" t="n"/>
      <c r="F234" s="10" t="n"/>
      <c r="G234" s="10" t="n"/>
      <c r="H234" s="10" t="n"/>
      <c r="I234" s="10" t="n"/>
      <c r="J234" s="10" t="n"/>
      <c r="K234" s="10" t="n"/>
      <c r="L234" s="56" t="n"/>
      <c r="M234" s="10" t="n"/>
      <c r="N234" s="12" t="n"/>
      <c r="O234" s="10" t="n"/>
      <c r="P234" s="10" t="n"/>
      <c r="Q234" s="61">
        <f>IF(V234="","",IF(T234="","Covered by "&amp;INDEX('Form Calc'!$B:$B,V234)&amp;"'s reply (same party)","Replied "&amp;TEXT(INDEX('Form Calc'!$A:$A,T234),"mm/dd")&amp;" · "&amp;INDEX('Form Calc'!$H:$H,T234)&amp;" adult(s), "&amp;INDEX('Form Calc'!$I:$I,T234)&amp;" child(ren)"&amp;IF(INDEX('Form Calc'!$K:$K,T234)&lt;&gt;""," · "&amp;INDEX('Form Calc'!$K:$K,T234),"")&amp;IF(INDEX('Form Calc'!$M:$M,T234)&lt;&gt;""," · “"&amp;INDEX('Form Calc'!$M:$M,T234)&amp;"”","")))</f>
        <v/>
      </c>
      <c r="R234" s="32">
        <f>SUBSTITUTE(SUBSTITUTE(SUBSTITUTE(SUBSTITUTE(SUBSTITUTE(SUBSTITUTE(SUBSTITUTE(SUBSTITUTE(D234&amp;""," ",""),"-",""),"(",""),")",""),".",""),"+",""),"/",""),CHAR(160),"")</f>
        <v/>
      </c>
      <c r="S234" s="32">
        <f>IF(LEN(R234)&gt;=10,RIGHT(R234,10),R234)</f>
        <v/>
      </c>
      <c r="T234" s="32">
        <f>IF(TRIM(A234&amp;"")="","",IF(S234&lt;&gt;"",IFERROR(MATCH(S234,'Form Calc'!$P:$P,0),IFERROR(MATCH(TRIM(A234&amp;""),'Form Calc'!$Q:$Q,0),"")),IFERROR(MATCH(TRIM(A234&amp;""),'Form Calc'!$Q:$Q,0),"")))</f>
        <v/>
      </c>
      <c r="U234" s="32">
        <f>IF(AND(T234&lt;&gt;"",TRIM(E234&amp;"")&lt;&gt;""),TRIM(E234&amp;""),"")</f>
        <v/>
      </c>
      <c r="V234" s="32">
        <f>IF(TRIM(A234&amp;"")="","",IF(T234&lt;&gt;"",T234,IF(TRIM(E234&amp;"")="","",IFERROR(INDEX($T$6:$T$505,MATCH(TRIM(E234&amp;""),$U$6:$U$505,0)),""))))</f>
        <v/>
      </c>
      <c r="W234" s="32">
        <f>IF(V234="","",INDEX('Form Calc'!$G:$G,V234))</f>
        <v/>
      </c>
      <c r="X234" s="32">
        <f>IF(TRIM(A234&amp;"")="","",IF(T234&lt;&gt;"",IF(INDEX('Form Calc'!$K:$K,T234)&lt;&gt;"",INDEX('Form Calc'!$K:$K,T234),J234&amp;""),J234&amp;""))</f>
        <v/>
      </c>
      <c r="Y234" s="32">
        <f>IF(TRIM(A234&amp;"")="","",IF(TRIM(D234&amp;"")&lt;&gt;"",TRIM(D234&amp;""),IF(T234&lt;&gt;"",INDEX('Form Calc'!$C:$C,T234)&amp;"","")))</f>
        <v/>
      </c>
      <c r="Z234" s="32">
        <f>SUBSTITUTE(SUBSTITUTE(SUBSTITUTE(SUBSTITUTE(SUBSTITUTE(SUBSTITUTE(SUBSTITUTE(SUBSTITUTE(Y234," ",""),"-",""),"(",""),")",""),".",""),"+",""),"/",""),CHAR(160),"")</f>
        <v/>
      </c>
      <c r="AA234" s="32">
        <f>IF(Z234="","",IF(LEN(Z234)=10,"+1"&amp;Z234,IF(AND(LEN(Z234)=11,LEFT(Z234,1)="1"),"+"&amp;Z234,IF(LEFT(Y234,1)="+","+"&amp;Z234,Z234))))</f>
        <v/>
      </c>
      <c r="AB234" s="32">
        <f>IF(TRIM(A234&amp;"")="","",IF(TRIM(M234&amp;"")&lt;&gt;"",TRIM(M234&amp;""),IFERROR(LEFT(TRIM(A234&amp;""),FIND(" ",TRIM(A234&amp;""))-1),TRIM(A234&amp;""))))</f>
        <v/>
      </c>
      <c r="AC234" s="32">
        <f>SUBSTITUTE(SUBSTITUTE(SUBSTITUTE(SUBSTITUTE(SUBSTITUTE(SUBSTITUTE(SUBSTITUTE(SUBSTITUTE(SUBSTITUTE(SUBSTITUTE(AB234,"%","%25"),"&amp;","%26"),"#","%23"),"+","%2B"),"=","%3D"),"?","%3F"),CHAR(34),"%22"),CHAR(10),"%0A"),CHAR(13),"")," ","+")</f>
        <v/>
      </c>
      <c r="AD234" s="32">
        <f>IF(OR(AA234="",AB234=""),"",'Start Here'!$B$20&amp;"#p="&amp;SUBSTITUTE(AA234,"+","%2B")&amp;"&amp;n="&amp;AC234&amp;"&amp;m="&amp;SUBSTITUTE('Start Here'!$B$24,"{name}",AC234))</f>
        <v/>
      </c>
      <c r="AE234" s="32">
        <f>LEN(AD234)</f>
        <v/>
      </c>
      <c r="AF234" s="32">
        <f>IF(AND(TRIM(A234&amp;"")&lt;&gt;"",OR(B234="Awaiting",B234="Not sure yet")),1,0)</f>
        <v/>
      </c>
      <c r="AG234" s="32">
        <f>N(AG233)+AF234</f>
        <v/>
      </c>
      <c r="AH234" s="32">
        <f>IF(AF234=1,AG234,"")</f>
        <v/>
      </c>
      <c r="AI234" s="32">
        <f>IF(AND(TRIM(A234&amp;"")&lt;&gt;"",L234&amp;""&lt;&gt;"",L234&amp;""=Seating!$I$3&amp;"",B234&lt;&gt;"Declined"),1,0)</f>
        <v/>
      </c>
      <c r="AJ234" s="32">
        <f>N(AJ233)+AI234</f>
        <v/>
      </c>
      <c r="AK234" s="32">
        <f>IF(AI234=1,AJ234,"")</f>
        <v/>
      </c>
    </row>
    <row r="235">
      <c r="A235" s="10" t="n"/>
      <c r="B235" s="47">
        <f>IF(TRIM(A235&amp;"")="","",IF(W235&lt;&gt;"",W235,IF(I235="","Awaiting",I235)))</f>
        <v/>
      </c>
      <c r="C235" s="60">
        <f>IF(OR(B235="Awaiting",B235="Not sure yet"),IF(AD235&lt;&gt;"",HYPERLINK(AD235,"💬 Remind"),"add mobile"),"")</f>
        <v/>
      </c>
      <c r="D235" s="58" t="n"/>
      <c r="E235" s="10" t="n"/>
      <c r="F235" s="10" t="n"/>
      <c r="G235" s="10" t="n"/>
      <c r="H235" s="10" t="n"/>
      <c r="I235" s="10" t="n"/>
      <c r="J235" s="10" t="n"/>
      <c r="K235" s="10" t="n"/>
      <c r="L235" s="56" t="n"/>
      <c r="M235" s="10" t="n"/>
      <c r="N235" s="12" t="n"/>
      <c r="O235" s="10" t="n"/>
      <c r="P235" s="10" t="n"/>
      <c r="Q235" s="61">
        <f>IF(V235="","",IF(T235="","Covered by "&amp;INDEX('Form Calc'!$B:$B,V235)&amp;"'s reply (same party)","Replied "&amp;TEXT(INDEX('Form Calc'!$A:$A,T235),"mm/dd")&amp;" · "&amp;INDEX('Form Calc'!$H:$H,T235)&amp;" adult(s), "&amp;INDEX('Form Calc'!$I:$I,T235)&amp;" child(ren)"&amp;IF(INDEX('Form Calc'!$K:$K,T235)&lt;&gt;""," · "&amp;INDEX('Form Calc'!$K:$K,T235),"")&amp;IF(INDEX('Form Calc'!$M:$M,T235)&lt;&gt;""," · “"&amp;INDEX('Form Calc'!$M:$M,T235)&amp;"”","")))</f>
        <v/>
      </c>
      <c r="R235" s="32">
        <f>SUBSTITUTE(SUBSTITUTE(SUBSTITUTE(SUBSTITUTE(SUBSTITUTE(SUBSTITUTE(SUBSTITUTE(SUBSTITUTE(D235&amp;""," ",""),"-",""),"(",""),")",""),".",""),"+",""),"/",""),CHAR(160),"")</f>
        <v/>
      </c>
      <c r="S235" s="32">
        <f>IF(LEN(R235)&gt;=10,RIGHT(R235,10),R235)</f>
        <v/>
      </c>
      <c r="T235" s="32">
        <f>IF(TRIM(A235&amp;"")="","",IF(S235&lt;&gt;"",IFERROR(MATCH(S235,'Form Calc'!$P:$P,0),IFERROR(MATCH(TRIM(A235&amp;""),'Form Calc'!$Q:$Q,0),"")),IFERROR(MATCH(TRIM(A235&amp;""),'Form Calc'!$Q:$Q,0),"")))</f>
        <v/>
      </c>
      <c r="U235" s="32">
        <f>IF(AND(T235&lt;&gt;"",TRIM(E235&amp;"")&lt;&gt;""),TRIM(E235&amp;""),"")</f>
        <v/>
      </c>
      <c r="V235" s="32">
        <f>IF(TRIM(A235&amp;"")="","",IF(T235&lt;&gt;"",T235,IF(TRIM(E235&amp;"")="","",IFERROR(INDEX($T$6:$T$505,MATCH(TRIM(E235&amp;""),$U$6:$U$505,0)),""))))</f>
        <v/>
      </c>
      <c r="W235" s="32">
        <f>IF(V235="","",INDEX('Form Calc'!$G:$G,V235))</f>
        <v/>
      </c>
      <c r="X235" s="32">
        <f>IF(TRIM(A235&amp;"")="","",IF(T235&lt;&gt;"",IF(INDEX('Form Calc'!$K:$K,T235)&lt;&gt;"",INDEX('Form Calc'!$K:$K,T235),J235&amp;""),J235&amp;""))</f>
        <v/>
      </c>
      <c r="Y235" s="32">
        <f>IF(TRIM(A235&amp;"")="","",IF(TRIM(D235&amp;"")&lt;&gt;"",TRIM(D235&amp;""),IF(T235&lt;&gt;"",INDEX('Form Calc'!$C:$C,T235)&amp;"","")))</f>
        <v/>
      </c>
      <c r="Z235" s="32">
        <f>SUBSTITUTE(SUBSTITUTE(SUBSTITUTE(SUBSTITUTE(SUBSTITUTE(SUBSTITUTE(SUBSTITUTE(SUBSTITUTE(Y235," ",""),"-",""),"(",""),")",""),".",""),"+",""),"/",""),CHAR(160),"")</f>
        <v/>
      </c>
      <c r="AA235" s="32">
        <f>IF(Z235="","",IF(LEN(Z235)=10,"+1"&amp;Z235,IF(AND(LEN(Z235)=11,LEFT(Z235,1)="1"),"+"&amp;Z235,IF(LEFT(Y235,1)="+","+"&amp;Z235,Z235))))</f>
        <v/>
      </c>
      <c r="AB235" s="32">
        <f>IF(TRIM(A235&amp;"")="","",IF(TRIM(M235&amp;"")&lt;&gt;"",TRIM(M235&amp;""),IFERROR(LEFT(TRIM(A235&amp;""),FIND(" ",TRIM(A235&amp;""))-1),TRIM(A235&amp;""))))</f>
        <v/>
      </c>
      <c r="AC235" s="32">
        <f>SUBSTITUTE(SUBSTITUTE(SUBSTITUTE(SUBSTITUTE(SUBSTITUTE(SUBSTITUTE(SUBSTITUTE(SUBSTITUTE(SUBSTITUTE(SUBSTITUTE(AB235,"%","%25"),"&amp;","%26"),"#","%23"),"+","%2B"),"=","%3D"),"?","%3F"),CHAR(34),"%22"),CHAR(10),"%0A"),CHAR(13),"")," ","+")</f>
        <v/>
      </c>
      <c r="AD235" s="32">
        <f>IF(OR(AA235="",AB235=""),"",'Start Here'!$B$20&amp;"#p="&amp;SUBSTITUTE(AA235,"+","%2B")&amp;"&amp;n="&amp;AC235&amp;"&amp;m="&amp;SUBSTITUTE('Start Here'!$B$24,"{name}",AC235))</f>
        <v/>
      </c>
      <c r="AE235" s="32">
        <f>LEN(AD235)</f>
        <v/>
      </c>
      <c r="AF235" s="32">
        <f>IF(AND(TRIM(A235&amp;"")&lt;&gt;"",OR(B235="Awaiting",B235="Not sure yet")),1,0)</f>
        <v/>
      </c>
      <c r="AG235" s="32">
        <f>N(AG234)+AF235</f>
        <v/>
      </c>
      <c r="AH235" s="32">
        <f>IF(AF235=1,AG235,"")</f>
        <v/>
      </c>
      <c r="AI235" s="32">
        <f>IF(AND(TRIM(A235&amp;"")&lt;&gt;"",L235&amp;""&lt;&gt;"",L235&amp;""=Seating!$I$3&amp;"",B235&lt;&gt;"Declined"),1,0)</f>
        <v/>
      </c>
      <c r="AJ235" s="32">
        <f>N(AJ234)+AI235</f>
        <v/>
      </c>
      <c r="AK235" s="32">
        <f>IF(AI235=1,AJ235,"")</f>
        <v/>
      </c>
    </row>
    <row r="236">
      <c r="A236" s="10" t="n"/>
      <c r="B236" s="47">
        <f>IF(TRIM(A236&amp;"")="","",IF(W236&lt;&gt;"",W236,IF(I236="","Awaiting",I236)))</f>
        <v/>
      </c>
      <c r="C236" s="60">
        <f>IF(OR(B236="Awaiting",B236="Not sure yet"),IF(AD236&lt;&gt;"",HYPERLINK(AD236,"💬 Remind"),"add mobile"),"")</f>
        <v/>
      </c>
      <c r="D236" s="58" t="n"/>
      <c r="E236" s="10" t="n"/>
      <c r="F236" s="10" t="n"/>
      <c r="G236" s="10" t="n"/>
      <c r="H236" s="10" t="n"/>
      <c r="I236" s="10" t="n"/>
      <c r="J236" s="10" t="n"/>
      <c r="K236" s="10" t="n"/>
      <c r="L236" s="56" t="n"/>
      <c r="M236" s="10" t="n"/>
      <c r="N236" s="12" t="n"/>
      <c r="O236" s="10" t="n"/>
      <c r="P236" s="10" t="n"/>
      <c r="Q236" s="61">
        <f>IF(V236="","",IF(T236="","Covered by "&amp;INDEX('Form Calc'!$B:$B,V236)&amp;"'s reply (same party)","Replied "&amp;TEXT(INDEX('Form Calc'!$A:$A,T236),"mm/dd")&amp;" · "&amp;INDEX('Form Calc'!$H:$H,T236)&amp;" adult(s), "&amp;INDEX('Form Calc'!$I:$I,T236)&amp;" child(ren)"&amp;IF(INDEX('Form Calc'!$K:$K,T236)&lt;&gt;""," · "&amp;INDEX('Form Calc'!$K:$K,T236),"")&amp;IF(INDEX('Form Calc'!$M:$M,T236)&lt;&gt;""," · “"&amp;INDEX('Form Calc'!$M:$M,T236)&amp;"”","")))</f>
        <v/>
      </c>
      <c r="R236" s="32">
        <f>SUBSTITUTE(SUBSTITUTE(SUBSTITUTE(SUBSTITUTE(SUBSTITUTE(SUBSTITUTE(SUBSTITUTE(SUBSTITUTE(D236&amp;""," ",""),"-",""),"(",""),")",""),".",""),"+",""),"/",""),CHAR(160),"")</f>
        <v/>
      </c>
      <c r="S236" s="32">
        <f>IF(LEN(R236)&gt;=10,RIGHT(R236,10),R236)</f>
        <v/>
      </c>
      <c r="T236" s="32">
        <f>IF(TRIM(A236&amp;"")="","",IF(S236&lt;&gt;"",IFERROR(MATCH(S236,'Form Calc'!$P:$P,0),IFERROR(MATCH(TRIM(A236&amp;""),'Form Calc'!$Q:$Q,0),"")),IFERROR(MATCH(TRIM(A236&amp;""),'Form Calc'!$Q:$Q,0),"")))</f>
        <v/>
      </c>
      <c r="U236" s="32">
        <f>IF(AND(T236&lt;&gt;"",TRIM(E236&amp;"")&lt;&gt;""),TRIM(E236&amp;""),"")</f>
        <v/>
      </c>
      <c r="V236" s="32">
        <f>IF(TRIM(A236&amp;"")="","",IF(T236&lt;&gt;"",T236,IF(TRIM(E236&amp;"")="","",IFERROR(INDEX($T$6:$T$505,MATCH(TRIM(E236&amp;""),$U$6:$U$505,0)),""))))</f>
        <v/>
      </c>
      <c r="W236" s="32">
        <f>IF(V236="","",INDEX('Form Calc'!$G:$G,V236))</f>
        <v/>
      </c>
      <c r="X236" s="32">
        <f>IF(TRIM(A236&amp;"")="","",IF(T236&lt;&gt;"",IF(INDEX('Form Calc'!$K:$K,T236)&lt;&gt;"",INDEX('Form Calc'!$K:$K,T236),J236&amp;""),J236&amp;""))</f>
        <v/>
      </c>
      <c r="Y236" s="32">
        <f>IF(TRIM(A236&amp;"")="","",IF(TRIM(D236&amp;"")&lt;&gt;"",TRIM(D236&amp;""),IF(T236&lt;&gt;"",INDEX('Form Calc'!$C:$C,T236)&amp;"","")))</f>
        <v/>
      </c>
      <c r="Z236" s="32">
        <f>SUBSTITUTE(SUBSTITUTE(SUBSTITUTE(SUBSTITUTE(SUBSTITUTE(SUBSTITUTE(SUBSTITUTE(SUBSTITUTE(Y236," ",""),"-",""),"(",""),")",""),".",""),"+",""),"/",""),CHAR(160),"")</f>
        <v/>
      </c>
      <c r="AA236" s="32">
        <f>IF(Z236="","",IF(LEN(Z236)=10,"+1"&amp;Z236,IF(AND(LEN(Z236)=11,LEFT(Z236,1)="1"),"+"&amp;Z236,IF(LEFT(Y236,1)="+","+"&amp;Z236,Z236))))</f>
        <v/>
      </c>
      <c r="AB236" s="32">
        <f>IF(TRIM(A236&amp;"")="","",IF(TRIM(M236&amp;"")&lt;&gt;"",TRIM(M236&amp;""),IFERROR(LEFT(TRIM(A236&amp;""),FIND(" ",TRIM(A236&amp;""))-1),TRIM(A236&amp;""))))</f>
        <v/>
      </c>
      <c r="AC236" s="32">
        <f>SUBSTITUTE(SUBSTITUTE(SUBSTITUTE(SUBSTITUTE(SUBSTITUTE(SUBSTITUTE(SUBSTITUTE(SUBSTITUTE(SUBSTITUTE(SUBSTITUTE(AB236,"%","%25"),"&amp;","%26"),"#","%23"),"+","%2B"),"=","%3D"),"?","%3F"),CHAR(34),"%22"),CHAR(10),"%0A"),CHAR(13),"")," ","+")</f>
        <v/>
      </c>
      <c r="AD236" s="32">
        <f>IF(OR(AA236="",AB236=""),"",'Start Here'!$B$20&amp;"#p="&amp;SUBSTITUTE(AA236,"+","%2B")&amp;"&amp;n="&amp;AC236&amp;"&amp;m="&amp;SUBSTITUTE('Start Here'!$B$24,"{name}",AC236))</f>
        <v/>
      </c>
      <c r="AE236" s="32">
        <f>LEN(AD236)</f>
        <v/>
      </c>
      <c r="AF236" s="32">
        <f>IF(AND(TRIM(A236&amp;"")&lt;&gt;"",OR(B236="Awaiting",B236="Not sure yet")),1,0)</f>
        <v/>
      </c>
      <c r="AG236" s="32">
        <f>N(AG235)+AF236</f>
        <v/>
      </c>
      <c r="AH236" s="32">
        <f>IF(AF236=1,AG236,"")</f>
        <v/>
      </c>
      <c r="AI236" s="32">
        <f>IF(AND(TRIM(A236&amp;"")&lt;&gt;"",L236&amp;""&lt;&gt;"",L236&amp;""=Seating!$I$3&amp;"",B236&lt;&gt;"Declined"),1,0)</f>
        <v/>
      </c>
      <c r="AJ236" s="32">
        <f>N(AJ235)+AI236</f>
        <v/>
      </c>
      <c r="AK236" s="32">
        <f>IF(AI236=1,AJ236,"")</f>
        <v/>
      </c>
    </row>
    <row r="237">
      <c r="A237" s="10" t="n"/>
      <c r="B237" s="47">
        <f>IF(TRIM(A237&amp;"")="","",IF(W237&lt;&gt;"",W237,IF(I237="","Awaiting",I237)))</f>
        <v/>
      </c>
      <c r="C237" s="60">
        <f>IF(OR(B237="Awaiting",B237="Not sure yet"),IF(AD237&lt;&gt;"",HYPERLINK(AD237,"💬 Remind"),"add mobile"),"")</f>
        <v/>
      </c>
      <c r="D237" s="58" t="n"/>
      <c r="E237" s="10" t="n"/>
      <c r="F237" s="10" t="n"/>
      <c r="G237" s="10" t="n"/>
      <c r="H237" s="10" t="n"/>
      <c r="I237" s="10" t="n"/>
      <c r="J237" s="10" t="n"/>
      <c r="K237" s="10" t="n"/>
      <c r="L237" s="56" t="n"/>
      <c r="M237" s="10" t="n"/>
      <c r="N237" s="12" t="n"/>
      <c r="O237" s="10" t="n"/>
      <c r="P237" s="10" t="n"/>
      <c r="Q237" s="61">
        <f>IF(V237="","",IF(T237="","Covered by "&amp;INDEX('Form Calc'!$B:$B,V237)&amp;"'s reply (same party)","Replied "&amp;TEXT(INDEX('Form Calc'!$A:$A,T237),"mm/dd")&amp;" · "&amp;INDEX('Form Calc'!$H:$H,T237)&amp;" adult(s), "&amp;INDEX('Form Calc'!$I:$I,T237)&amp;" child(ren)"&amp;IF(INDEX('Form Calc'!$K:$K,T237)&lt;&gt;""," · "&amp;INDEX('Form Calc'!$K:$K,T237),"")&amp;IF(INDEX('Form Calc'!$M:$M,T237)&lt;&gt;""," · “"&amp;INDEX('Form Calc'!$M:$M,T237)&amp;"”","")))</f>
        <v/>
      </c>
      <c r="R237" s="32">
        <f>SUBSTITUTE(SUBSTITUTE(SUBSTITUTE(SUBSTITUTE(SUBSTITUTE(SUBSTITUTE(SUBSTITUTE(SUBSTITUTE(D237&amp;""," ",""),"-",""),"(",""),")",""),".",""),"+",""),"/",""),CHAR(160),"")</f>
        <v/>
      </c>
      <c r="S237" s="32">
        <f>IF(LEN(R237)&gt;=10,RIGHT(R237,10),R237)</f>
        <v/>
      </c>
      <c r="T237" s="32">
        <f>IF(TRIM(A237&amp;"")="","",IF(S237&lt;&gt;"",IFERROR(MATCH(S237,'Form Calc'!$P:$P,0),IFERROR(MATCH(TRIM(A237&amp;""),'Form Calc'!$Q:$Q,0),"")),IFERROR(MATCH(TRIM(A237&amp;""),'Form Calc'!$Q:$Q,0),"")))</f>
        <v/>
      </c>
      <c r="U237" s="32">
        <f>IF(AND(T237&lt;&gt;"",TRIM(E237&amp;"")&lt;&gt;""),TRIM(E237&amp;""),"")</f>
        <v/>
      </c>
      <c r="V237" s="32">
        <f>IF(TRIM(A237&amp;"")="","",IF(T237&lt;&gt;"",T237,IF(TRIM(E237&amp;"")="","",IFERROR(INDEX($T$6:$T$505,MATCH(TRIM(E237&amp;""),$U$6:$U$505,0)),""))))</f>
        <v/>
      </c>
      <c r="W237" s="32">
        <f>IF(V237="","",INDEX('Form Calc'!$G:$G,V237))</f>
        <v/>
      </c>
      <c r="X237" s="32">
        <f>IF(TRIM(A237&amp;"")="","",IF(T237&lt;&gt;"",IF(INDEX('Form Calc'!$K:$K,T237)&lt;&gt;"",INDEX('Form Calc'!$K:$K,T237),J237&amp;""),J237&amp;""))</f>
        <v/>
      </c>
      <c r="Y237" s="32">
        <f>IF(TRIM(A237&amp;"")="","",IF(TRIM(D237&amp;"")&lt;&gt;"",TRIM(D237&amp;""),IF(T237&lt;&gt;"",INDEX('Form Calc'!$C:$C,T237)&amp;"","")))</f>
        <v/>
      </c>
      <c r="Z237" s="32">
        <f>SUBSTITUTE(SUBSTITUTE(SUBSTITUTE(SUBSTITUTE(SUBSTITUTE(SUBSTITUTE(SUBSTITUTE(SUBSTITUTE(Y237," ",""),"-",""),"(",""),")",""),".",""),"+",""),"/",""),CHAR(160),"")</f>
        <v/>
      </c>
      <c r="AA237" s="32">
        <f>IF(Z237="","",IF(LEN(Z237)=10,"+1"&amp;Z237,IF(AND(LEN(Z237)=11,LEFT(Z237,1)="1"),"+"&amp;Z237,IF(LEFT(Y237,1)="+","+"&amp;Z237,Z237))))</f>
        <v/>
      </c>
      <c r="AB237" s="32">
        <f>IF(TRIM(A237&amp;"")="","",IF(TRIM(M237&amp;"")&lt;&gt;"",TRIM(M237&amp;""),IFERROR(LEFT(TRIM(A237&amp;""),FIND(" ",TRIM(A237&amp;""))-1),TRIM(A237&amp;""))))</f>
        <v/>
      </c>
      <c r="AC237" s="32">
        <f>SUBSTITUTE(SUBSTITUTE(SUBSTITUTE(SUBSTITUTE(SUBSTITUTE(SUBSTITUTE(SUBSTITUTE(SUBSTITUTE(SUBSTITUTE(SUBSTITUTE(AB237,"%","%25"),"&amp;","%26"),"#","%23"),"+","%2B"),"=","%3D"),"?","%3F"),CHAR(34),"%22"),CHAR(10),"%0A"),CHAR(13),"")," ","+")</f>
        <v/>
      </c>
      <c r="AD237" s="32">
        <f>IF(OR(AA237="",AB237=""),"",'Start Here'!$B$20&amp;"#p="&amp;SUBSTITUTE(AA237,"+","%2B")&amp;"&amp;n="&amp;AC237&amp;"&amp;m="&amp;SUBSTITUTE('Start Here'!$B$24,"{name}",AC237))</f>
        <v/>
      </c>
      <c r="AE237" s="32">
        <f>LEN(AD237)</f>
        <v/>
      </c>
      <c r="AF237" s="32">
        <f>IF(AND(TRIM(A237&amp;"")&lt;&gt;"",OR(B237="Awaiting",B237="Not sure yet")),1,0)</f>
        <v/>
      </c>
      <c r="AG237" s="32">
        <f>N(AG236)+AF237</f>
        <v/>
      </c>
      <c r="AH237" s="32">
        <f>IF(AF237=1,AG237,"")</f>
        <v/>
      </c>
      <c r="AI237" s="32">
        <f>IF(AND(TRIM(A237&amp;"")&lt;&gt;"",L237&amp;""&lt;&gt;"",L237&amp;""=Seating!$I$3&amp;"",B237&lt;&gt;"Declined"),1,0)</f>
        <v/>
      </c>
      <c r="AJ237" s="32">
        <f>N(AJ236)+AI237</f>
        <v/>
      </c>
      <c r="AK237" s="32">
        <f>IF(AI237=1,AJ237,"")</f>
        <v/>
      </c>
    </row>
    <row r="238">
      <c r="A238" s="10" t="n"/>
      <c r="B238" s="47">
        <f>IF(TRIM(A238&amp;"")="","",IF(W238&lt;&gt;"",W238,IF(I238="","Awaiting",I238)))</f>
        <v/>
      </c>
      <c r="C238" s="60">
        <f>IF(OR(B238="Awaiting",B238="Not sure yet"),IF(AD238&lt;&gt;"",HYPERLINK(AD238,"💬 Remind"),"add mobile"),"")</f>
        <v/>
      </c>
      <c r="D238" s="58" t="n"/>
      <c r="E238" s="10" t="n"/>
      <c r="F238" s="10" t="n"/>
      <c r="G238" s="10" t="n"/>
      <c r="H238" s="10" t="n"/>
      <c r="I238" s="10" t="n"/>
      <c r="J238" s="10" t="n"/>
      <c r="K238" s="10" t="n"/>
      <c r="L238" s="56" t="n"/>
      <c r="M238" s="10" t="n"/>
      <c r="N238" s="12" t="n"/>
      <c r="O238" s="10" t="n"/>
      <c r="P238" s="10" t="n"/>
      <c r="Q238" s="61">
        <f>IF(V238="","",IF(T238="","Covered by "&amp;INDEX('Form Calc'!$B:$B,V238)&amp;"'s reply (same party)","Replied "&amp;TEXT(INDEX('Form Calc'!$A:$A,T238),"mm/dd")&amp;" · "&amp;INDEX('Form Calc'!$H:$H,T238)&amp;" adult(s), "&amp;INDEX('Form Calc'!$I:$I,T238)&amp;" child(ren)"&amp;IF(INDEX('Form Calc'!$K:$K,T238)&lt;&gt;""," · "&amp;INDEX('Form Calc'!$K:$K,T238),"")&amp;IF(INDEX('Form Calc'!$M:$M,T238)&lt;&gt;""," · “"&amp;INDEX('Form Calc'!$M:$M,T238)&amp;"”","")))</f>
        <v/>
      </c>
      <c r="R238" s="32">
        <f>SUBSTITUTE(SUBSTITUTE(SUBSTITUTE(SUBSTITUTE(SUBSTITUTE(SUBSTITUTE(SUBSTITUTE(SUBSTITUTE(D238&amp;""," ",""),"-",""),"(",""),")",""),".",""),"+",""),"/",""),CHAR(160),"")</f>
        <v/>
      </c>
      <c r="S238" s="32">
        <f>IF(LEN(R238)&gt;=10,RIGHT(R238,10),R238)</f>
        <v/>
      </c>
      <c r="T238" s="32">
        <f>IF(TRIM(A238&amp;"")="","",IF(S238&lt;&gt;"",IFERROR(MATCH(S238,'Form Calc'!$P:$P,0),IFERROR(MATCH(TRIM(A238&amp;""),'Form Calc'!$Q:$Q,0),"")),IFERROR(MATCH(TRIM(A238&amp;""),'Form Calc'!$Q:$Q,0),"")))</f>
        <v/>
      </c>
      <c r="U238" s="32">
        <f>IF(AND(T238&lt;&gt;"",TRIM(E238&amp;"")&lt;&gt;""),TRIM(E238&amp;""),"")</f>
        <v/>
      </c>
      <c r="V238" s="32">
        <f>IF(TRIM(A238&amp;"")="","",IF(T238&lt;&gt;"",T238,IF(TRIM(E238&amp;"")="","",IFERROR(INDEX($T$6:$T$505,MATCH(TRIM(E238&amp;""),$U$6:$U$505,0)),""))))</f>
        <v/>
      </c>
      <c r="W238" s="32">
        <f>IF(V238="","",INDEX('Form Calc'!$G:$G,V238))</f>
        <v/>
      </c>
      <c r="X238" s="32">
        <f>IF(TRIM(A238&amp;"")="","",IF(T238&lt;&gt;"",IF(INDEX('Form Calc'!$K:$K,T238)&lt;&gt;"",INDEX('Form Calc'!$K:$K,T238),J238&amp;""),J238&amp;""))</f>
        <v/>
      </c>
      <c r="Y238" s="32">
        <f>IF(TRIM(A238&amp;"")="","",IF(TRIM(D238&amp;"")&lt;&gt;"",TRIM(D238&amp;""),IF(T238&lt;&gt;"",INDEX('Form Calc'!$C:$C,T238)&amp;"","")))</f>
        <v/>
      </c>
      <c r="Z238" s="32">
        <f>SUBSTITUTE(SUBSTITUTE(SUBSTITUTE(SUBSTITUTE(SUBSTITUTE(SUBSTITUTE(SUBSTITUTE(SUBSTITUTE(Y238," ",""),"-",""),"(",""),")",""),".",""),"+",""),"/",""),CHAR(160),"")</f>
        <v/>
      </c>
      <c r="AA238" s="32">
        <f>IF(Z238="","",IF(LEN(Z238)=10,"+1"&amp;Z238,IF(AND(LEN(Z238)=11,LEFT(Z238,1)="1"),"+"&amp;Z238,IF(LEFT(Y238,1)="+","+"&amp;Z238,Z238))))</f>
        <v/>
      </c>
      <c r="AB238" s="32">
        <f>IF(TRIM(A238&amp;"")="","",IF(TRIM(M238&amp;"")&lt;&gt;"",TRIM(M238&amp;""),IFERROR(LEFT(TRIM(A238&amp;""),FIND(" ",TRIM(A238&amp;""))-1),TRIM(A238&amp;""))))</f>
        <v/>
      </c>
      <c r="AC238" s="32">
        <f>SUBSTITUTE(SUBSTITUTE(SUBSTITUTE(SUBSTITUTE(SUBSTITUTE(SUBSTITUTE(SUBSTITUTE(SUBSTITUTE(SUBSTITUTE(SUBSTITUTE(AB238,"%","%25"),"&amp;","%26"),"#","%23"),"+","%2B"),"=","%3D"),"?","%3F"),CHAR(34),"%22"),CHAR(10),"%0A"),CHAR(13),"")," ","+")</f>
        <v/>
      </c>
      <c r="AD238" s="32">
        <f>IF(OR(AA238="",AB238=""),"",'Start Here'!$B$20&amp;"#p="&amp;SUBSTITUTE(AA238,"+","%2B")&amp;"&amp;n="&amp;AC238&amp;"&amp;m="&amp;SUBSTITUTE('Start Here'!$B$24,"{name}",AC238))</f>
        <v/>
      </c>
      <c r="AE238" s="32">
        <f>LEN(AD238)</f>
        <v/>
      </c>
      <c r="AF238" s="32">
        <f>IF(AND(TRIM(A238&amp;"")&lt;&gt;"",OR(B238="Awaiting",B238="Not sure yet")),1,0)</f>
        <v/>
      </c>
      <c r="AG238" s="32">
        <f>N(AG237)+AF238</f>
        <v/>
      </c>
      <c r="AH238" s="32">
        <f>IF(AF238=1,AG238,"")</f>
        <v/>
      </c>
      <c r="AI238" s="32">
        <f>IF(AND(TRIM(A238&amp;"")&lt;&gt;"",L238&amp;""&lt;&gt;"",L238&amp;""=Seating!$I$3&amp;"",B238&lt;&gt;"Declined"),1,0)</f>
        <v/>
      </c>
      <c r="AJ238" s="32">
        <f>N(AJ237)+AI238</f>
        <v/>
      </c>
      <c r="AK238" s="32">
        <f>IF(AI238=1,AJ238,"")</f>
        <v/>
      </c>
    </row>
    <row r="239">
      <c r="A239" s="10" t="n"/>
      <c r="B239" s="47">
        <f>IF(TRIM(A239&amp;"")="","",IF(W239&lt;&gt;"",W239,IF(I239="","Awaiting",I239)))</f>
        <v/>
      </c>
      <c r="C239" s="60">
        <f>IF(OR(B239="Awaiting",B239="Not sure yet"),IF(AD239&lt;&gt;"",HYPERLINK(AD239,"💬 Remind"),"add mobile"),"")</f>
        <v/>
      </c>
      <c r="D239" s="58" t="n"/>
      <c r="E239" s="10" t="n"/>
      <c r="F239" s="10" t="n"/>
      <c r="G239" s="10" t="n"/>
      <c r="H239" s="10" t="n"/>
      <c r="I239" s="10" t="n"/>
      <c r="J239" s="10" t="n"/>
      <c r="K239" s="10" t="n"/>
      <c r="L239" s="56" t="n"/>
      <c r="M239" s="10" t="n"/>
      <c r="N239" s="12" t="n"/>
      <c r="O239" s="10" t="n"/>
      <c r="P239" s="10" t="n"/>
      <c r="Q239" s="61">
        <f>IF(V239="","",IF(T239="","Covered by "&amp;INDEX('Form Calc'!$B:$B,V239)&amp;"'s reply (same party)","Replied "&amp;TEXT(INDEX('Form Calc'!$A:$A,T239),"mm/dd")&amp;" · "&amp;INDEX('Form Calc'!$H:$H,T239)&amp;" adult(s), "&amp;INDEX('Form Calc'!$I:$I,T239)&amp;" child(ren)"&amp;IF(INDEX('Form Calc'!$K:$K,T239)&lt;&gt;""," · "&amp;INDEX('Form Calc'!$K:$K,T239),"")&amp;IF(INDEX('Form Calc'!$M:$M,T239)&lt;&gt;""," · “"&amp;INDEX('Form Calc'!$M:$M,T239)&amp;"”","")))</f>
        <v/>
      </c>
      <c r="R239" s="32">
        <f>SUBSTITUTE(SUBSTITUTE(SUBSTITUTE(SUBSTITUTE(SUBSTITUTE(SUBSTITUTE(SUBSTITUTE(SUBSTITUTE(D239&amp;""," ",""),"-",""),"(",""),")",""),".",""),"+",""),"/",""),CHAR(160),"")</f>
        <v/>
      </c>
      <c r="S239" s="32">
        <f>IF(LEN(R239)&gt;=10,RIGHT(R239,10),R239)</f>
        <v/>
      </c>
      <c r="T239" s="32">
        <f>IF(TRIM(A239&amp;"")="","",IF(S239&lt;&gt;"",IFERROR(MATCH(S239,'Form Calc'!$P:$P,0),IFERROR(MATCH(TRIM(A239&amp;""),'Form Calc'!$Q:$Q,0),"")),IFERROR(MATCH(TRIM(A239&amp;""),'Form Calc'!$Q:$Q,0),"")))</f>
        <v/>
      </c>
      <c r="U239" s="32">
        <f>IF(AND(T239&lt;&gt;"",TRIM(E239&amp;"")&lt;&gt;""),TRIM(E239&amp;""),"")</f>
        <v/>
      </c>
      <c r="V239" s="32">
        <f>IF(TRIM(A239&amp;"")="","",IF(T239&lt;&gt;"",T239,IF(TRIM(E239&amp;"")="","",IFERROR(INDEX($T$6:$T$505,MATCH(TRIM(E239&amp;""),$U$6:$U$505,0)),""))))</f>
        <v/>
      </c>
      <c r="W239" s="32">
        <f>IF(V239="","",INDEX('Form Calc'!$G:$G,V239))</f>
        <v/>
      </c>
      <c r="X239" s="32">
        <f>IF(TRIM(A239&amp;"")="","",IF(T239&lt;&gt;"",IF(INDEX('Form Calc'!$K:$K,T239)&lt;&gt;"",INDEX('Form Calc'!$K:$K,T239),J239&amp;""),J239&amp;""))</f>
        <v/>
      </c>
      <c r="Y239" s="32">
        <f>IF(TRIM(A239&amp;"")="","",IF(TRIM(D239&amp;"")&lt;&gt;"",TRIM(D239&amp;""),IF(T239&lt;&gt;"",INDEX('Form Calc'!$C:$C,T239)&amp;"","")))</f>
        <v/>
      </c>
      <c r="Z239" s="32">
        <f>SUBSTITUTE(SUBSTITUTE(SUBSTITUTE(SUBSTITUTE(SUBSTITUTE(SUBSTITUTE(SUBSTITUTE(SUBSTITUTE(Y239," ",""),"-",""),"(",""),")",""),".",""),"+",""),"/",""),CHAR(160),"")</f>
        <v/>
      </c>
      <c r="AA239" s="32">
        <f>IF(Z239="","",IF(LEN(Z239)=10,"+1"&amp;Z239,IF(AND(LEN(Z239)=11,LEFT(Z239,1)="1"),"+"&amp;Z239,IF(LEFT(Y239,1)="+","+"&amp;Z239,Z239))))</f>
        <v/>
      </c>
      <c r="AB239" s="32">
        <f>IF(TRIM(A239&amp;"")="","",IF(TRIM(M239&amp;"")&lt;&gt;"",TRIM(M239&amp;""),IFERROR(LEFT(TRIM(A239&amp;""),FIND(" ",TRIM(A239&amp;""))-1),TRIM(A239&amp;""))))</f>
        <v/>
      </c>
      <c r="AC239" s="32">
        <f>SUBSTITUTE(SUBSTITUTE(SUBSTITUTE(SUBSTITUTE(SUBSTITUTE(SUBSTITUTE(SUBSTITUTE(SUBSTITUTE(SUBSTITUTE(SUBSTITUTE(AB239,"%","%25"),"&amp;","%26"),"#","%23"),"+","%2B"),"=","%3D"),"?","%3F"),CHAR(34),"%22"),CHAR(10),"%0A"),CHAR(13),"")," ","+")</f>
        <v/>
      </c>
      <c r="AD239" s="32">
        <f>IF(OR(AA239="",AB239=""),"",'Start Here'!$B$20&amp;"#p="&amp;SUBSTITUTE(AA239,"+","%2B")&amp;"&amp;n="&amp;AC239&amp;"&amp;m="&amp;SUBSTITUTE('Start Here'!$B$24,"{name}",AC239))</f>
        <v/>
      </c>
      <c r="AE239" s="32">
        <f>LEN(AD239)</f>
        <v/>
      </c>
      <c r="AF239" s="32">
        <f>IF(AND(TRIM(A239&amp;"")&lt;&gt;"",OR(B239="Awaiting",B239="Not sure yet")),1,0)</f>
        <v/>
      </c>
      <c r="AG239" s="32">
        <f>N(AG238)+AF239</f>
        <v/>
      </c>
      <c r="AH239" s="32">
        <f>IF(AF239=1,AG239,"")</f>
        <v/>
      </c>
      <c r="AI239" s="32">
        <f>IF(AND(TRIM(A239&amp;"")&lt;&gt;"",L239&amp;""&lt;&gt;"",L239&amp;""=Seating!$I$3&amp;"",B239&lt;&gt;"Declined"),1,0)</f>
        <v/>
      </c>
      <c r="AJ239" s="32">
        <f>N(AJ238)+AI239</f>
        <v/>
      </c>
      <c r="AK239" s="32">
        <f>IF(AI239=1,AJ239,"")</f>
        <v/>
      </c>
    </row>
    <row r="240">
      <c r="A240" s="10" t="n"/>
      <c r="B240" s="47">
        <f>IF(TRIM(A240&amp;"")="","",IF(W240&lt;&gt;"",W240,IF(I240="","Awaiting",I240)))</f>
        <v/>
      </c>
      <c r="C240" s="60">
        <f>IF(OR(B240="Awaiting",B240="Not sure yet"),IF(AD240&lt;&gt;"",HYPERLINK(AD240,"💬 Remind"),"add mobile"),"")</f>
        <v/>
      </c>
      <c r="D240" s="58" t="n"/>
      <c r="E240" s="10" t="n"/>
      <c r="F240" s="10" t="n"/>
      <c r="G240" s="10" t="n"/>
      <c r="H240" s="10" t="n"/>
      <c r="I240" s="10" t="n"/>
      <c r="J240" s="10" t="n"/>
      <c r="K240" s="10" t="n"/>
      <c r="L240" s="56" t="n"/>
      <c r="M240" s="10" t="n"/>
      <c r="N240" s="12" t="n"/>
      <c r="O240" s="10" t="n"/>
      <c r="P240" s="10" t="n"/>
      <c r="Q240" s="61">
        <f>IF(V240="","",IF(T240="","Covered by "&amp;INDEX('Form Calc'!$B:$B,V240)&amp;"'s reply (same party)","Replied "&amp;TEXT(INDEX('Form Calc'!$A:$A,T240),"mm/dd")&amp;" · "&amp;INDEX('Form Calc'!$H:$H,T240)&amp;" adult(s), "&amp;INDEX('Form Calc'!$I:$I,T240)&amp;" child(ren)"&amp;IF(INDEX('Form Calc'!$K:$K,T240)&lt;&gt;""," · "&amp;INDEX('Form Calc'!$K:$K,T240),"")&amp;IF(INDEX('Form Calc'!$M:$M,T240)&lt;&gt;""," · “"&amp;INDEX('Form Calc'!$M:$M,T240)&amp;"”","")))</f>
        <v/>
      </c>
      <c r="R240" s="32">
        <f>SUBSTITUTE(SUBSTITUTE(SUBSTITUTE(SUBSTITUTE(SUBSTITUTE(SUBSTITUTE(SUBSTITUTE(SUBSTITUTE(D240&amp;""," ",""),"-",""),"(",""),")",""),".",""),"+",""),"/",""),CHAR(160),"")</f>
        <v/>
      </c>
      <c r="S240" s="32">
        <f>IF(LEN(R240)&gt;=10,RIGHT(R240,10),R240)</f>
        <v/>
      </c>
      <c r="T240" s="32">
        <f>IF(TRIM(A240&amp;"")="","",IF(S240&lt;&gt;"",IFERROR(MATCH(S240,'Form Calc'!$P:$P,0),IFERROR(MATCH(TRIM(A240&amp;""),'Form Calc'!$Q:$Q,0),"")),IFERROR(MATCH(TRIM(A240&amp;""),'Form Calc'!$Q:$Q,0),"")))</f>
        <v/>
      </c>
      <c r="U240" s="32">
        <f>IF(AND(T240&lt;&gt;"",TRIM(E240&amp;"")&lt;&gt;""),TRIM(E240&amp;""),"")</f>
        <v/>
      </c>
      <c r="V240" s="32">
        <f>IF(TRIM(A240&amp;"")="","",IF(T240&lt;&gt;"",T240,IF(TRIM(E240&amp;"")="","",IFERROR(INDEX($T$6:$T$505,MATCH(TRIM(E240&amp;""),$U$6:$U$505,0)),""))))</f>
        <v/>
      </c>
      <c r="W240" s="32">
        <f>IF(V240="","",INDEX('Form Calc'!$G:$G,V240))</f>
        <v/>
      </c>
      <c r="X240" s="32">
        <f>IF(TRIM(A240&amp;"")="","",IF(T240&lt;&gt;"",IF(INDEX('Form Calc'!$K:$K,T240)&lt;&gt;"",INDEX('Form Calc'!$K:$K,T240),J240&amp;""),J240&amp;""))</f>
        <v/>
      </c>
      <c r="Y240" s="32">
        <f>IF(TRIM(A240&amp;"")="","",IF(TRIM(D240&amp;"")&lt;&gt;"",TRIM(D240&amp;""),IF(T240&lt;&gt;"",INDEX('Form Calc'!$C:$C,T240)&amp;"","")))</f>
        <v/>
      </c>
      <c r="Z240" s="32">
        <f>SUBSTITUTE(SUBSTITUTE(SUBSTITUTE(SUBSTITUTE(SUBSTITUTE(SUBSTITUTE(SUBSTITUTE(SUBSTITUTE(Y240," ",""),"-",""),"(",""),")",""),".",""),"+",""),"/",""),CHAR(160),"")</f>
        <v/>
      </c>
      <c r="AA240" s="32">
        <f>IF(Z240="","",IF(LEN(Z240)=10,"+1"&amp;Z240,IF(AND(LEN(Z240)=11,LEFT(Z240,1)="1"),"+"&amp;Z240,IF(LEFT(Y240,1)="+","+"&amp;Z240,Z240))))</f>
        <v/>
      </c>
      <c r="AB240" s="32">
        <f>IF(TRIM(A240&amp;"")="","",IF(TRIM(M240&amp;"")&lt;&gt;"",TRIM(M240&amp;""),IFERROR(LEFT(TRIM(A240&amp;""),FIND(" ",TRIM(A240&amp;""))-1),TRIM(A240&amp;""))))</f>
        <v/>
      </c>
      <c r="AC240" s="32">
        <f>SUBSTITUTE(SUBSTITUTE(SUBSTITUTE(SUBSTITUTE(SUBSTITUTE(SUBSTITUTE(SUBSTITUTE(SUBSTITUTE(SUBSTITUTE(SUBSTITUTE(AB240,"%","%25"),"&amp;","%26"),"#","%23"),"+","%2B"),"=","%3D"),"?","%3F"),CHAR(34),"%22"),CHAR(10),"%0A"),CHAR(13),"")," ","+")</f>
        <v/>
      </c>
      <c r="AD240" s="32">
        <f>IF(OR(AA240="",AB240=""),"",'Start Here'!$B$20&amp;"#p="&amp;SUBSTITUTE(AA240,"+","%2B")&amp;"&amp;n="&amp;AC240&amp;"&amp;m="&amp;SUBSTITUTE('Start Here'!$B$24,"{name}",AC240))</f>
        <v/>
      </c>
      <c r="AE240" s="32">
        <f>LEN(AD240)</f>
        <v/>
      </c>
      <c r="AF240" s="32">
        <f>IF(AND(TRIM(A240&amp;"")&lt;&gt;"",OR(B240="Awaiting",B240="Not sure yet")),1,0)</f>
        <v/>
      </c>
      <c r="AG240" s="32">
        <f>N(AG239)+AF240</f>
        <v/>
      </c>
      <c r="AH240" s="32">
        <f>IF(AF240=1,AG240,"")</f>
        <v/>
      </c>
      <c r="AI240" s="32">
        <f>IF(AND(TRIM(A240&amp;"")&lt;&gt;"",L240&amp;""&lt;&gt;"",L240&amp;""=Seating!$I$3&amp;"",B240&lt;&gt;"Declined"),1,0)</f>
        <v/>
      </c>
      <c r="AJ240" s="32">
        <f>N(AJ239)+AI240</f>
        <v/>
      </c>
      <c r="AK240" s="32">
        <f>IF(AI240=1,AJ240,"")</f>
        <v/>
      </c>
    </row>
    <row r="241">
      <c r="A241" s="10" t="n"/>
      <c r="B241" s="47">
        <f>IF(TRIM(A241&amp;"")="","",IF(W241&lt;&gt;"",W241,IF(I241="","Awaiting",I241)))</f>
        <v/>
      </c>
      <c r="C241" s="60">
        <f>IF(OR(B241="Awaiting",B241="Not sure yet"),IF(AD241&lt;&gt;"",HYPERLINK(AD241,"💬 Remind"),"add mobile"),"")</f>
        <v/>
      </c>
      <c r="D241" s="58" t="n"/>
      <c r="E241" s="10" t="n"/>
      <c r="F241" s="10" t="n"/>
      <c r="G241" s="10" t="n"/>
      <c r="H241" s="10" t="n"/>
      <c r="I241" s="10" t="n"/>
      <c r="J241" s="10" t="n"/>
      <c r="K241" s="10" t="n"/>
      <c r="L241" s="56" t="n"/>
      <c r="M241" s="10" t="n"/>
      <c r="N241" s="12" t="n"/>
      <c r="O241" s="10" t="n"/>
      <c r="P241" s="10" t="n"/>
      <c r="Q241" s="61">
        <f>IF(V241="","",IF(T241="","Covered by "&amp;INDEX('Form Calc'!$B:$B,V241)&amp;"'s reply (same party)","Replied "&amp;TEXT(INDEX('Form Calc'!$A:$A,T241),"mm/dd")&amp;" · "&amp;INDEX('Form Calc'!$H:$H,T241)&amp;" adult(s), "&amp;INDEX('Form Calc'!$I:$I,T241)&amp;" child(ren)"&amp;IF(INDEX('Form Calc'!$K:$K,T241)&lt;&gt;""," · "&amp;INDEX('Form Calc'!$K:$K,T241),"")&amp;IF(INDEX('Form Calc'!$M:$M,T241)&lt;&gt;""," · “"&amp;INDEX('Form Calc'!$M:$M,T241)&amp;"”","")))</f>
        <v/>
      </c>
      <c r="R241" s="32">
        <f>SUBSTITUTE(SUBSTITUTE(SUBSTITUTE(SUBSTITUTE(SUBSTITUTE(SUBSTITUTE(SUBSTITUTE(SUBSTITUTE(D241&amp;""," ",""),"-",""),"(",""),")",""),".",""),"+",""),"/",""),CHAR(160),"")</f>
        <v/>
      </c>
      <c r="S241" s="32">
        <f>IF(LEN(R241)&gt;=10,RIGHT(R241,10),R241)</f>
        <v/>
      </c>
      <c r="T241" s="32">
        <f>IF(TRIM(A241&amp;"")="","",IF(S241&lt;&gt;"",IFERROR(MATCH(S241,'Form Calc'!$P:$P,0),IFERROR(MATCH(TRIM(A241&amp;""),'Form Calc'!$Q:$Q,0),"")),IFERROR(MATCH(TRIM(A241&amp;""),'Form Calc'!$Q:$Q,0),"")))</f>
        <v/>
      </c>
      <c r="U241" s="32">
        <f>IF(AND(T241&lt;&gt;"",TRIM(E241&amp;"")&lt;&gt;""),TRIM(E241&amp;""),"")</f>
        <v/>
      </c>
      <c r="V241" s="32">
        <f>IF(TRIM(A241&amp;"")="","",IF(T241&lt;&gt;"",T241,IF(TRIM(E241&amp;"")="","",IFERROR(INDEX($T$6:$T$505,MATCH(TRIM(E241&amp;""),$U$6:$U$505,0)),""))))</f>
        <v/>
      </c>
      <c r="W241" s="32">
        <f>IF(V241="","",INDEX('Form Calc'!$G:$G,V241))</f>
        <v/>
      </c>
      <c r="X241" s="32">
        <f>IF(TRIM(A241&amp;"")="","",IF(T241&lt;&gt;"",IF(INDEX('Form Calc'!$K:$K,T241)&lt;&gt;"",INDEX('Form Calc'!$K:$K,T241),J241&amp;""),J241&amp;""))</f>
        <v/>
      </c>
      <c r="Y241" s="32">
        <f>IF(TRIM(A241&amp;"")="","",IF(TRIM(D241&amp;"")&lt;&gt;"",TRIM(D241&amp;""),IF(T241&lt;&gt;"",INDEX('Form Calc'!$C:$C,T241)&amp;"","")))</f>
        <v/>
      </c>
      <c r="Z241" s="32">
        <f>SUBSTITUTE(SUBSTITUTE(SUBSTITUTE(SUBSTITUTE(SUBSTITUTE(SUBSTITUTE(SUBSTITUTE(SUBSTITUTE(Y241," ",""),"-",""),"(",""),")",""),".",""),"+",""),"/",""),CHAR(160),"")</f>
        <v/>
      </c>
      <c r="AA241" s="32">
        <f>IF(Z241="","",IF(LEN(Z241)=10,"+1"&amp;Z241,IF(AND(LEN(Z241)=11,LEFT(Z241,1)="1"),"+"&amp;Z241,IF(LEFT(Y241,1)="+","+"&amp;Z241,Z241))))</f>
        <v/>
      </c>
      <c r="AB241" s="32">
        <f>IF(TRIM(A241&amp;"")="","",IF(TRIM(M241&amp;"")&lt;&gt;"",TRIM(M241&amp;""),IFERROR(LEFT(TRIM(A241&amp;""),FIND(" ",TRIM(A241&amp;""))-1),TRIM(A241&amp;""))))</f>
        <v/>
      </c>
      <c r="AC241" s="32">
        <f>SUBSTITUTE(SUBSTITUTE(SUBSTITUTE(SUBSTITUTE(SUBSTITUTE(SUBSTITUTE(SUBSTITUTE(SUBSTITUTE(SUBSTITUTE(SUBSTITUTE(AB241,"%","%25"),"&amp;","%26"),"#","%23"),"+","%2B"),"=","%3D"),"?","%3F"),CHAR(34),"%22"),CHAR(10),"%0A"),CHAR(13),"")," ","+")</f>
        <v/>
      </c>
      <c r="AD241" s="32">
        <f>IF(OR(AA241="",AB241=""),"",'Start Here'!$B$20&amp;"#p="&amp;SUBSTITUTE(AA241,"+","%2B")&amp;"&amp;n="&amp;AC241&amp;"&amp;m="&amp;SUBSTITUTE('Start Here'!$B$24,"{name}",AC241))</f>
        <v/>
      </c>
      <c r="AE241" s="32">
        <f>LEN(AD241)</f>
        <v/>
      </c>
      <c r="AF241" s="32">
        <f>IF(AND(TRIM(A241&amp;"")&lt;&gt;"",OR(B241="Awaiting",B241="Not sure yet")),1,0)</f>
        <v/>
      </c>
      <c r="AG241" s="32">
        <f>N(AG240)+AF241</f>
        <v/>
      </c>
      <c r="AH241" s="32">
        <f>IF(AF241=1,AG241,"")</f>
        <v/>
      </c>
      <c r="AI241" s="32">
        <f>IF(AND(TRIM(A241&amp;"")&lt;&gt;"",L241&amp;""&lt;&gt;"",L241&amp;""=Seating!$I$3&amp;"",B241&lt;&gt;"Declined"),1,0)</f>
        <v/>
      </c>
      <c r="AJ241" s="32">
        <f>N(AJ240)+AI241</f>
        <v/>
      </c>
      <c r="AK241" s="32">
        <f>IF(AI241=1,AJ241,"")</f>
        <v/>
      </c>
    </row>
    <row r="242">
      <c r="A242" s="10" t="n"/>
      <c r="B242" s="47">
        <f>IF(TRIM(A242&amp;"")="","",IF(W242&lt;&gt;"",W242,IF(I242="","Awaiting",I242)))</f>
        <v/>
      </c>
      <c r="C242" s="60">
        <f>IF(OR(B242="Awaiting",B242="Not sure yet"),IF(AD242&lt;&gt;"",HYPERLINK(AD242,"💬 Remind"),"add mobile"),"")</f>
        <v/>
      </c>
      <c r="D242" s="58" t="n"/>
      <c r="E242" s="10" t="n"/>
      <c r="F242" s="10" t="n"/>
      <c r="G242" s="10" t="n"/>
      <c r="H242" s="10" t="n"/>
      <c r="I242" s="10" t="n"/>
      <c r="J242" s="10" t="n"/>
      <c r="K242" s="10" t="n"/>
      <c r="L242" s="56" t="n"/>
      <c r="M242" s="10" t="n"/>
      <c r="N242" s="12" t="n"/>
      <c r="O242" s="10" t="n"/>
      <c r="P242" s="10" t="n"/>
      <c r="Q242" s="61">
        <f>IF(V242="","",IF(T242="","Covered by "&amp;INDEX('Form Calc'!$B:$B,V242)&amp;"'s reply (same party)","Replied "&amp;TEXT(INDEX('Form Calc'!$A:$A,T242),"mm/dd")&amp;" · "&amp;INDEX('Form Calc'!$H:$H,T242)&amp;" adult(s), "&amp;INDEX('Form Calc'!$I:$I,T242)&amp;" child(ren)"&amp;IF(INDEX('Form Calc'!$K:$K,T242)&lt;&gt;""," · "&amp;INDEX('Form Calc'!$K:$K,T242),"")&amp;IF(INDEX('Form Calc'!$M:$M,T242)&lt;&gt;""," · “"&amp;INDEX('Form Calc'!$M:$M,T242)&amp;"”","")))</f>
        <v/>
      </c>
      <c r="R242" s="32">
        <f>SUBSTITUTE(SUBSTITUTE(SUBSTITUTE(SUBSTITUTE(SUBSTITUTE(SUBSTITUTE(SUBSTITUTE(SUBSTITUTE(D242&amp;""," ",""),"-",""),"(",""),")",""),".",""),"+",""),"/",""),CHAR(160),"")</f>
        <v/>
      </c>
      <c r="S242" s="32">
        <f>IF(LEN(R242)&gt;=10,RIGHT(R242,10),R242)</f>
        <v/>
      </c>
      <c r="T242" s="32">
        <f>IF(TRIM(A242&amp;"")="","",IF(S242&lt;&gt;"",IFERROR(MATCH(S242,'Form Calc'!$P:$P,0),IFERROR(MATCH(TRIM(A242&amp;""),'Form Calc'!$Q:$Q,0),"")),IFERROR(MATCH(TRIM(A242&amp;""),'Form Calc'!$Q:$Q,0),"")))</f>
        <v/>
      </c>
      <c r="U242" s="32">
        <f>IF(AND(T242&lt;&gt;"",TRIM(E242&amp;"")&lt;&gt;""),TRIM(E242&amp;""),"")</f>
        <v/>
      </c>
      <c r="V242" s="32">
        <f>IF(TRIM(A242&amp;"")="","",IF(T242&lt;&gt;"",T242,IF(TRIM(E242&amp;"")="","",IFERROR(INDEX($T$6:$T$505,MATCH(TRIM(E242&amp;""),$U$6:$U$505,0)),""))))</f>
        <v/>
      </c>
      <c r="W242" s="32">
        <f>IF(V242="","",INDEX('Form Calc'!$G:$G,V242))</f>
        <v/>
      </c>
      <c r="X242" s="32">
        <f>IF(TRIM(A242&amp;"")="","",IF(T242&lt;&gt;"",IF(INDEX('Form Calc'!$K:$K,T242)&lt;&gt;"",INDEX('Form Calc'!$K:$K,T242),J242&amp;""),J242&amp;""))</f>
        <v/>
      </c>
      <c r="Y242" s="32">
        <f>IF(TRIM(A242&amp;"")="","",IF(TRIM(D242&amp;"")&lt;&gt;"",TRIM(D242&amp;""),IF(T242&lt;&gt;"",INDEX('Form Calc'!$C:$C,T242)&amp;"","")))</f>
        <v/>
      </c>
      <c r="Z242" s="32">
        <f>SUBSTITUTE(SUBSTITUTE(SUBSTITUTE(SUBSTITUTE(SUBSTITUTE(SUBSTITUTE(SUBSTITUTE(SUBSTITUTE(Y242," ",""),"-",""),"(",""),")",""),".",""),"+",""),"/",""),CHAR(160),"")</f>
        <v/>
      </c>
      <c r="AA242" s="32">
        <f>IF(Z242="","",IF(LEN(Z242)=10,"+1"&amp;Z242,IF(AND(LEN(Z242)=11,LEFT(Z242,1)="1"),"+"&amp;Z242,IF(LEFT(Y242,1)="+","+"&amp;Z242,Z242))))</f>
        <v/>
      </c>
      <c r="AB242" s="32">
        <f>IF(TRIM(A242&amp;"")="","",IF(TRIM(M242&amp;"")&lt;&gt;"",TRIM(M242&amp;""),IFERROR(LEFT(TRIM(A242&amp;""),FIND(" ",TRIM(A242&amp;""))-1),TRIM(A242&amp;""))))</f>
        <v/>
      </c>
      <c r="AC242" s="32">
        <f>SUBSTITUTE(SUBSTITUTE(SUBSTITUTE(SUBSTITUTE(SUBSTITUTE(SUBSTITUTE(SUBSTITUTE(SUBSTITUTE(SUBSTITUTE(SUBSTITUTE(AB242,"%","%25"),"&amp;","%26"),"#","%23"),"+","%2B"),"=","%3D"),"?","%3F"),CHAR(34),"%22"),CHAR(10),"%0A"),CHAR(13),"")," ","+")</f>
        <v/>
      </c>
      <c r="AD242" s="32">
        <f>IF(OR(AA242="",AB242=""),"",'Start Here'!$B$20&amp;"#p="&amp;SUBSTITUTE(AA242,"+","%2B")&amp;"&amp;n="&amp;AC242&amp;"&amp;m="&amp;SUBSTITUTE('Start Here'!$B$24,"{name}",AC242))</f>
        <v/>
      </c>
      <c r="AE242" s="32">
        <f>LEN(AD242)</f>
        <v/>
      </c>
      <c r="AF242" s="32">
        <f>IF(AND(TRIM(A242&amp;"")&lt;&gt;"",OR(B242="Awaiting",B242="Not sure yet")),1,0)</f>
        <v/>
      </c>
      <c r="AG242" s="32">
        <f>N(AG241)+AF242</f>
        <v/>
      </c>
      <c r="AH242" s="32">
        <f>IF(AF242=1,AG242,"")</f>
        <v/>
      </c>
      <c r="AI242" s="32">
        <f>IF(AND(TRIM(A242&amp;"")&lt;&gt;"",L242&amp;""&lt;&gt;"",L242&amp;""=Seating!$I$3&amp;"",B242&lt;&gt;"Declined"),1,0)</f>
        <v/>
      </c>
      <c r="AJ242" s="32">
        <f>N(AJ241)+AI242</f>
        <v/>
      </c>
      <c r="AK242" s="32">
        <f>IF(AI242=1,AJ242,"")</f>
        <v/>
      </c>
    </row>
    <row r="243">
      <c r="A243" s="10" t="n"/>
      <c r="B243" s="47">
        <f>IF(TRIM(A243&amp;"")="","",IF(W243&lt;&gt;"",W243,IF(I243="","Awaiting",I243)))</f>
        <v/>
      </c>
      <c r="C243" s="60">
        <f>IF(OR(B243="Awaiting",B243="Not sure yet"),IF(AD243&lt;&gt;"",HYPERLINK(AD243,"💬 Remind"),"add mobile"),"")</f>
        <v/>
      </c>
      <c r="D243" s="58" t="n"/>
      <c r="E243" s="10" t="n"/>
      <c r="F243" s="10" t="n"/>
      <c r="G243" s="10" t="n"/>
      <c r="H243" s="10" t="n"/>
      <c r="I243" s="10" t="n"/>
      <c r="J243" s="10" t="n"/>
      <c r="K243" s="10" t="n"/>
      <c r="L243" s="56" t="n"/>
      <c r="M243" s="10" t="n"/>
      <c r="N243" s="12" t="n"/>
      <c r="O243" s="10" t="n"/>
      <c r="P243" s="10" t="n"/>
      <c r="Q243" s="61">
        <f>IF(V243="","",IF(T243="","Covered by "&amp;INDEX('Form Calc'!$B:$B,V243)&amp;"'s reply (same party)","Replied "&amp;TEXT(INDEX('Form Calc'!$A:$A,T243),"mm/dd")&amp;" · "&amp;INDEX('Form Calc'!$H:$H,T243)&amp;" adult(s), "&amp;INDEX('Form Calc'!$I:$I,T243)&amp;" child(ren)"&amp;IF(INDEX('Form Calc'!$K:$K,T243)&lt;&gt;""," · "&amp;INDEX('Form Calc'!$K:$K,T243),"")&amp;IF(INDEX('Form Calc'!$M:$M,T243)&lt;&gt;""," · “"&amp;INDEX('Form Calc'!$M:$M,T243)&amp;"”","")))</f>
        <v/>
      </c>
      <c r="R243" s="32">
        <f>SUBSTITUTE(SUBSTITUTE(SUBSTITUTE(SUBSTITUTE(SUBSTITUTE(SUBSTITUTE(SUBSTITUTE(SUBSTITUTE(D243&amp;""," ",""),"-",""),"(",""),")",""),".",""),"+",""),"/",""),CHAR(160),"")</f>
        <v/>
      </c>
      <c r="S243" s="32">
        <f>IF(LEN(R243)&gt;=10,RIGHT(R243,10),R243)</f>
        <v/>
      </c>
      <c r="T243" s="32">
        <f>IF(TRIM(A243&amp;"")="","",IF(S243&lt;&gt;"",IFERROR(MATCH(S243,'Form Calc'!$P:$P,0),IFERROR(MATCH(TRIM(A243&amp;""),'Form Calc'!$Q:$Q,0),"")),IFERROR(MATCH(TRIM(A243&amp;""),'Form Calc'!$Q:$Q,0),"")))</f>
        <v/>
      </c>
      <c r="U243" s="32">
        <f>IF(AND(T243&lt;&gt;"",TRIM(E243&amp;"")&lt;&gt;""),TRIM(E243&amp;""),"")</f>
        <v/>
      </c>
      <c r="V243" s="32">
        <f>IF(TRIM(A243&amp;"")="","",IF(T243&lt;&gt;"",T243,IF(TRIM(E243&amp;"")="","",IFERROR(INDEX($T$6:$T$505,MATCH(TRIM(E243&amp;""),$U$6:$U$505,0)),""))))</f>
        <v/>
      </c>
      <c r="W243" s="32">
        <f>IF(V243="","",INDEX('Form Calc'!$G:$G,V243))</f>
        <v/>
      </c>
      <c r="X243" s="32">
        <f>IF(TRIM(A243&amp;"")="","",IF(T243&lt;&gt;"",IF(INDEX('Form Calc'!$K:$K,T243)&lt;&gt;"",INDEX('Form Calc'!$K:$K,T243),J243&amp;""),J243&amp;""))</f>
        <v/>
      </c>
      <c r="Y243" s="32">
        <f>IF(TRIM(A243&amp;"")="","",IF(TRIM(D243&amp;"")&lt;&gt;"",TRIM(D243&amp;""),IF(T243&lt;&gt;"",INDEX('Form Calc'!$C:$C,T243)&amp;"","")))</f>
        <v/>
      </c>
      <c r="Z243" s="32">
        <f>SUBSTITUTE(SUBSTITUTE(SUBSTITUTE(SUBSTITUTE(SUBSTITUTE(SUBSTITUTE(SUBSTITUTE(SUBSTITUTE(Y243," ",""),"-",""),"(",""),")",""),".",""),"+",""),"/",""),CHAR(160),"")</f>
        <v/>
      </c>
      <c r="AA243" s="32">
        <f>IF(Z243="","",IF(LEN(Z243)=10,"+1"&amp;Z243,IF(AND(LEN(Z243)=11,LEFT(Z243,1)="1"),"+"&amp;Z243,IF(LEFT(Y243,1)="+","+"&amp;Z243,Z243))))</f>
        <v/>
      </c>
      <c r="AB243" s="32">
        <f>IF(TRIM(A243&amp;"")="","",IF(TRIM(M243&amp;"")&lt;&gt;"",TRIM(M243&amp;""),IFERROR(LEFT(TRIM(A243&amp;""),FIND(" ",TRIM(A243&amp;""))-1),TRIM(A243&amp;""))))</f>
        <v/>
      </c>
      <c r="AC243" s="32">
        <f>SUBSTITUTE(SUBSTITUTE(SUBSTITUTE(SUBSTITUTE(SUBSTITUTE(SUBSTITUTE(SUBSTITUTE(SUBSTITUTE(SUBSTITUTE(SUBSTITUTE(AB243,"%","%25"),"&amp;","%26"),"#","%23"),"+","%2B"),"=","%3D"),"?","%3F"),CHAR(34),"%22"),CHAR(10),"%0A"),CHAR(13),"")," ","+")</f>
        <v/>
      </c>
      <c r="AD243" s="32">
        <f>IF(OR(AA243="",AB243=""),"",'Start Here'!$B$20&amp;"#p="&amp;SUBSTITUTE(AA243,"+","%2B")&amp;"&amp;n="&amp;AC243&amp;"&amp;m="&amp;SUBSTITUTE('Start Here'!$B$24,"{name}",AC243))</f>
        <v/>
      </c>
      <c r="AE243" s="32">
        <f>LEN(AD243)</f>
        <v/>
      </c>
      <c r="AF243" s="32">
        <f>IF(AND(TRIM(A243&amp;"")&lt;&gt;"",OR(B243="Awaiting",B243="Not sure yet")),1,0)</f>
        <v/>
      </c>
      <c r="AG243" s="32">
        <f>N(AG242)+AF243</f>
        <v/>
      </c>
      <c r="AH243" s="32">
        <f>IF(AF243=1,AG243,"")</f>
        <v/>
      </c>
      <c r="AI243" s="32">
        <f>IF(AND(TRIM(A243&amp;"")&lt;&gt;"",L243&amp;""&lt;&gt;"",L243&amp;""=Seating!$I$3&amp;"",B243&lt;&gt;"Declined"),1,0)</f>
        <v/>
      </c>
      <c r="AJ243" s="32">
        <f>N(AJ242)+AI243</f>
        <v/>
      </c>
      <c r="AK243" s="32">
        <f>IF(AI243=1,AJ243,"")</f>
        <v/>
      </c>
    </row>
    <row r="244">
      <c r="A244" s="10" t="n"/>
      <c r="B244" s="47">
        <f>IF(TRIM(A244&amp;"")="","",IF(W244&lt;&gt;"",W244,IF(I244="","Awaiting",I244)))</f>
        <v/>
      </c>
      <c r="C244" s="60">
        <f>IF(OR(B244="Awaiting",B244="Not sure yet"),IF(AD244&lt;&gt;"",HYPERLINK(AD244,"💬 Remind"),"add mobile"),"")</f>
        <v/>
      </c>
      <c r="D244" s="58" t="n"/>
      <c r="E244" s="10" t="n"/>
      <c r="F244" s="10" t="n"/>
      <c r="G244" s="10" t="n"/>
      <c r="H244" s="10" t="n"/>
      <c r="I244" s="10" t="n"/>
      <c r="J244" s="10" t="n"/>
      <c r="K244" s="10" t="n"/>
      <c r="L244" s="56" t="n"/>
      <c r="M244" s="10" t="n"/>
      <c r="N244" s="12" t="n"/>
      <c r="O244" s="10" t="n"/>
      <c r="P244" s="10" t="n"/>
      <c r="Q244" s="61">
        <f>IF(V244="","",IF(T244="","Covered by "&amp;INDEX('Form Calc'!$B:$B,V244)&amp;"'s reply (same party)","Replied "&amp;TEXT(INDEX('Form Calc'!$A:$A,T244),"mm/dd")&amp;" · "&amp;INDEX('Form Calc'!$H:$H,T244)&amp;" adult(s), "&amp;INDEX('Form Calc'!$I:$I,T244)&amp;" child(ren)"&amp;IF(INDEX('Form Calc'!$K:$K,T244)&lt;&gt;""," · "&amp;INDEX('Form Calc'!$K:$K,T244),"")&amp;IF(INDEX('Form Calc'!$M:$M,T244)&lt;&gt;""," · “"&amp;INDEX('Form Calc'!$M:$M,T244)&amp;"”","")))</f>
        <v/>
      </c>
      <c r="R244" s="32">
        <f>SUBSTITUTE(SUBSTITUTE(SUBSTITUTE(SUBSTITUTE(SUBSTITUTE(SUBSTITUTE(SUBSTITUTE(SUBSTITUTE(D244&amp;""," ",""),"-",""),"(",""),")",""),".",""),"+",""),"/",""),CHAR(160),"")</f>
        <v/>
      </c>
      <c r="S244" s="32">
        <f>IF(LEN(R244)&gt;=10,RIGHT(R244,10),R244)</f>
        <v/>
      </c>
      <c r="T244" s="32">
        <f>IF(TRIM(A244&amp;"")="","",IF(S244&lt;&gt;"",IFERROR(MATCH(S244,'Form Calc'!$P:$P,0),IFERROR(MATCH(TRIM(A244&amp;""),'Form Calc'!$Q:$Q,0),"")),IFERROR(MATCH(TRIM(A244&amp;""),'Form Calc'!$Q:$Q,0),"")))</f>
        <v/>
      </c>
      <c r="U244" s="32">
        <f>IF(AND(T244&lt;&gt;"",TRIM(E244&amp;"")&lt;&gt;""),TRIM(E244&amp;""),"")</f>
        <v/>
      </c>
      <c r="V244" s="32">
        <f>IF(TRIM(A244&amp;"")="","",IF(T244&lt;&gt;"",T244,IF(TRIM(E244&amp;"")="","",IFERROR(INDEX($T$6:$T$505,MATCH(TRIM(E244&amp;""),$U$6:$U$505,0)),""))))</f>
        <v/>
      </c>
      <c r="W244" s="32">
        <f>IF(V244="","",INDEX('Form Calc'!$G:$G,V244))</f>
        <v/>
      </c>
      <c r="X244" s="32">
        <f>IF(TRIM(A244&amp;"")="","",IF(T244&lt;&gt;"",IF(INDEX('Form Calc'!$K:$K,T244)&lt;&gt;"",INDEX('Form Calc'!$K:$K,T244),J244&amp;""),J244&amp;""))</f>
        <v/>
      </c>
      <c r="Y244" s="32">
        <f>IF(TRIM(A244&amp;"")="","",IF(TRIM(D244&amp;"")&lt;&gt;"",TRIM(D244&amp;""),IF(T244&lt;&gt;"",INDEX('Form Calc'!$C:$C,T244)&amp;"","")))</f>
        <v/>
      </c>
      <c r="Z244" s="32">
        <f>SUBSTITUTE(SUBSTITUTE(SUBSTITUTE(SUBSTITUTE(SUBSTITUTE(SUBSTITUTE(SUBSTITUTE(SUBSTITUTE(Y244," ",""),"-",""),"(",""),")",""),".",""),"+",""),"/",""),CHAR(160),"")</f>
        <v/>
      </c>
      <c r="AA244" s="32">
        <f>IF(Z244="","",IF(LEN(Z244)=10,"+1"&amp;Z244,IF(AND(LEN(Z244)=11,LEFT(Z244,1)="1"),"+"&amp;Z244,IF(LEFT(Y244,1)="+","+"&amp;Z244,Z244))))</f>
        <v/>
      </c>
      <c r="AB244" s="32">
        <f>IF(TRIM(A244&amp;"")="","",IF(TRIM(M244&amp;"")&lt;&gt;"",TRIM(M244&amp;""),IFERROR(LEFT(TRIM(A244&amp;""),FIND(" ",TRIM(A244&amp;""))-1),TRIM(A244&amp;""))))</f>
        <v/>
      </c>
      <c r="AC244" s="32">
        <f>SUBSTITUTE(SUBSTITUTE(SUBSTITUTE(SUBSTITUTE(SUBSTITUTE(SUBSTITUTE(SUBSTITUTE(SUBSTITUTE(SUBSTITUTE(SUBSTITUTE(AB244,"%","%25"),"&amp;","%26"),"#","%23"),"+","%2B"),"=","%3D"),"?","%3F"),CHAR(34),"%22"),CHAR(10),"%0A"),CHAR(13),"")," ","+")</f>
        <v/>
      </c>
      <c r="AD244" s="32">
        <f>IF(OR(AA244="",AB244=""),"",'Start Here'!$B$20&amp;"#p="&amp;SUBSTITUTE(AA244,"+","%2B")&amp;"&amp;n="&amp;AC244&amp;"&amp;m="&amp;SUBSTITUTE('Start Here'!$B$24,"{name}",AC244))</f>
        <v/>
      </c>
      <c r="AE244" s="32">
        <f>LEN(AD244)</f>
        <v/>
      </c>
      <c r="AF244" s="32">
        <f>IF(AND(TRIM(A244&amp;"")&lt;&gt;"",OR(B244="Awaiting",B244="Not sure yet")),1,0)</f>
        <v/>
      </c>
      <c r="AG244" s="32">
        <f>N(AG243)+AF244</f>
        <v/>
      </c>
      <c r="AH244" s="32">
        <f>IF(AF244=1,AG244,"")</f>
        <v/>
      </c>
      <c r="AI244" s="32">
        <f>IF(AND(TRIM(A244&amp;"")&lt;&gt;"",L244&amp;""&lt;&gt;"",L244&amp;""=Seating!$I$3&amp;"",B244&lt;&gt;"Declined"),1,0)</f>
        <v/>
      </c>
      <c r="AJ244" s="32">
        <f>N(AJ243)+AI244</f>
        <v/>
      </c>
      <c r="AK244" s="32">
        <f>IF(AI244=1,AJ244,"")</f>
        <v/>
      </c>
    </row>
    <row r="245">
      <c r="A245" s="10" t="n"/>
      <c r="B245" s="47">
        <f>IF(TRIM(A245&amp;"")="","",IF(W245&lt;&gt;"",W245,IF(I245="","Awaiting",I245)))</f>
        <v/>
      </c>
      <c r="C245" s="60">
        <f>IF(OR(B245="Awaiting",B245="Not sure yet"),IF(AD245&lt;&gt;"",HYPERLINK(AD245,"💬 Remind"),"add mobile"),"")</f>
        <v/>
      </c>
      <c r="D245" s="58" t="n"/>
      <c r="E245" s="10" t="n"/>
      <c r="F245" s="10" t="n"/>
      <c r="G245" s="10" t="n"/>
      <c r="H245" s="10" t="n"/>
      <c r="I245" s="10" t="n"/>
      <c r="J245" s="10" t="n"/>
      <c r="K245" s="10" t="n"/>
      <c r="L245" s="56" t="n"/>
      <c r="M245" s="10" t="n"/>
      <c r="N245" s="12" t="n"/>
      <c r="O245" s="10" t="n"/>
      <c r="P245" s="10" t="n"/>
      <c r="Q245" s="61">
        <f>IF(V245="","",IF(T245="","Covered by "&amp;INDEX('Form Calc'!$B:$B,V245)&amp;"'s reply (same party)","Replied "&amp;TEXT(INDEX('Form Calc'!$A:$A,T245),"mm/dd")&amp;" · "&amp;INDEX('Form Calc'!$H:$H,T245)&amp;" adult(s), "&amp;INDEX('Form Calc'!$I:$I,T245)&amp;" child(ren)"&amp;IF(INDEX('Form Calc'!$K:$K,T245)&lt;&gt;""," · "&amp;INDEX('Form Calc'!$K:$K,T245),"")&amp;IF(INDEX('Form Calc'!$M:$M,T245)&lt;&gt;""," · “"&amp;INDEX('Form Calc'!$M:$M,T245)&amp;"”","")))</f>
        <v/>
      </c>
      <c r="R245" s="32">
        <f>SUBSTITUTE(SUBSTITUTE(SUBSTITUTE(SUBSTITUTE(SUBSTITUTE(SUBSTITUTE(SUBSTITUTE(SUBSTITUTE(D245&amp;""," ",""),"-",""),"(",""),")",""),".",""),"+",""),"/",""),CHAR(160),"")</f>
        <v/>
      </c>
      <c r="S245" s="32">
        <f>IF(LEN(R245)&gt;=10,RIGHT(R245,10),R245)</f>
        <v/>
      </c>
      <c r="T245" s="32">
        <f>IF(TRIM(A245&amp;"")="","",IF(S245&lt;&gt;"",IFERROR(MATCH(S245,'Form Calc'!$P:$P,0),IFERROR(MATCH(TRIM(A245&amp;""),'Form Calc'!$Q:$Q,0),"")),IFERROR(MATCH(TRIM(A245&amp;""),'Form Calc'!$Q:$Q,0),"")))</f>
        <v/>
      </c>
      <c r="U245" s="32">
        <f>IF(AND(T245&lt;&gt;"",TRIM(E245&amp;"")&lt;&gt;""),TRIM(E245&amp;""),"")</f>
        <v/>
      </c>
      <c r="V245" s="32">
        <f>IF(TRIM(A245&amp;"")="","",IF(T245&lt;&gt;"",T245,IF(TRIM(E245&amp;"")="","",IFERROR(INDEX($T$6:$T$505,MATCH(TRIM(E245&amp;""),$U$6:$U$505,0)),""))))</f>
        <v/>
      </c>
      <c r="W245" s="32">
        <f>IF(V245="","",INDEX('Form Calc'!$G:$G,V245))</f>
        <v/>
      </c>
      <c r="X245" s="32">
        <f>IF(TRIM(A245&amp;"")="","",IF(T245&lt;&gt;"",IF(INDEX('Form Calc'!$K:$K,T245)&lt;&gt;"",INDEX('Form Calc'!$K:$K,T245),J245&amp;""),J245&amp;""))</f>
        <v/>
      </c>
      <c r="Y245" s="32">
        <f>IF(TRIM(A245&amp;"")="","",IF(TRIM(D245&amp;"")&lt;&gt;"",TRIM(D245&amp;""),IF(T245&lt;&gt;"",INDEX('Form Calc'!$C:$C,T245)&amp;"","")))</f>
        <v/>
      </c>
      <c r="Z245" s="32">
        <f>SUBSTITUTE(SUBSTITUTE(SUBSTITUTE(SUBSTITUTE(SUBSTITUTE(SUBSTITUTE(SUBSTITUTE(SUBSTITUTE(Y245," ",""),"-",""),"(",""),")",""),".",""),"+",""),"/",""),CHAR(160),"")</f>
        <v/>
      </c>
      <c r="AA245" s="32">
        <f>IF(Z245="","",IF(LEN(Z245)=10,"+1"&amp;Z245,IF(AND(LEN(Z245)=11,LEFT(Z245,1)="1"),"+"&amp;Z245,IF(LEFT(Y245,1)="+","+"&amp;Z245,Z245))))</f>
        <v/>
      </c>
      <c r="AB245" s="32">
        <f>IF(TRIM(A245&amp;"")="","",IF(TRIM(M245&amp;"")&lt;&gt;"",TRIM(M245&amp;""),IFERROR(LEFT(TRIM(A245&amp;""),FIND(" ",TRIM(A245&amp;""))-1),TRIM(A245&amp;""))))</f>
        <v/>
      </c>
      <c r="AC245" s="32">
        <f>SUBSTITUTE(SUBSTITUTE(SUBSTITUTE(SUBSTITUTE(SUBSTITUTE(SUBSTITUTE(SUBSTITUTE(SUBSTITUTE(SUBSTITUTE(SUBSTITUTE(AB245,"%","%25"),"&amp;","%26"),"#","%23"),"+","%2B"),"=","%3D"),"?","%3F"),CHAR(34),"%22"),CHAR(10),"%0A"),CHAR(13),"")," ","+")</f>
        <v/>
      </c>
      <c r="AD245" s="32">
        <f>IF(OR(AA245="",AB245=""),"",'Start Here'!$B$20&amp;"#p="&amp;SUBSTITUTE(AA245,"+","%2B")&amp;"&amp;n="&amp;AC245&amp;"&amp;m="&amp;SUBSTITUTE('Start Here'!$B$24,"{name}",AC245))</f>
        <v/>
      </c>
      <c r="AE245" s="32">
        <f>LEN(AD245)</f>
        <v/>
      </c>
      <c r="AF245" s="32">
        <f>IF(AND(TRIM(A245&amp;"")&lt;&gt;"",OR(B245="Awaiting",B245="Not sure yet")),1,0)</f>
        <v/>
      </c>
      <c r="AG245" s="32">
        <f>N(AG244)+AF245</f>
        <v/>
      </c>
      <c r="AH245" s="32">
        <f>IF(AF245=1,AG245,"")</f>
        <v/>
      </c>
      <c r="AI245" s="32">
        <f>IF(AND(TRIM(A245&amp;"")&lt;&gt;"",L245&amp;""&lt;&gt;"",L245&amp;""=Seating!$I$3&amp;"",B245&lt;&gt;"Declined"),1,0)</f>
        <v/>
      </c>
      <c r="AJ245" s="32">
        <f>N(AJ244)+AI245</f>
        <v/>
      </c>
      <c r="AK245" s="32">
        <f>IF(AI245=1,AJ245,"")</f>
        <v/>
      </c>
    </row>
    <row r="246">
      <c r="A246" s="10" t="n"/>
      <c r="B246" s="47">
        <f>IF(TRIM(A246&amp;"")="","",IF(W246&lt;&gt;"",W246,IF(I246="","Awaiting",I246)))</f>
        <v/>
      </c>
      <c r="C246" s="60">
        <f>IF(OR(B246="Awaiting",B246="Not sure yet"),IF(AD246&lt;&gt;"",HYPERLINK(AD246,"💬 Remind"),"add mobile"),"")</f>
        <v/>
      </c>
      <c r="D246" s="58" t="n"/>
      <c r="E246" s="10" t="n"/>
      <c r="F246" s="10" t="n"/>
      <c r="G246" s="10" t="n"/>
      <c r="H246" s="10" t="n"/>
      <c r="I246" s="10" t="n"/>
      <c r="J246" s="10" t="n"/>
      <c r="K246" s="10" t="n"/>
      <c r="L246" s="56" t="n"/>
      <c r="M246" s="10" t="n"/>
      <c r="N246" s="12" t="n"/>
      <c r="O246" s="10" t="n"/>
      <c r="P246" s="10" t="n"/>
      <c r="Q246" s="61">
        <f>IF(V246="","",IF(T246="","Covered by "&amp;INDEX('Form Calc'!$B:$B,V246)&amp;"'s reply (same party)","Replied "&amp;TEXT(INDEX('Form Calc'!$A:$A,T246),"mm/dd")&amp;" · "&amp;INDEX('Form Calc'!$H:$H,T246)&amp;" adult(s), "&amp;INDEX('Form Calc'!$I:$I,T246)&amp;" child(ren)"&amp;IF(INDEX('Form Calc'!$K:$K,T246)&lt;&gt;""," · "&amp;INDEX('Form Calc'!$K:$K,T246),"")&amp;IF(INDEX('Form Calc'!$M:$M,T246)&lt;&gt;""," · “"&amp;INDEX('Form Calc'!$M:$M,T246)&amp;"”","")))</f>
        <v/>
      </c>
      <c r="R246" s="32">
        <f>SUBSTITUTE(SUBSTITUTE(SUBSTITUTE(SUBSTITUTE(SUBSTITUTE(SUBSTITUTE(SUBSTITUTE(SUBSTITUTE(D246&amp;""," ",""),"-",""),"(",""),")",""),".",""),"+",""),"/",""),CHAR(160),"")</f>
        <v/>
      </c>
      <c r="S246" s="32">
        <f>IF(LEN(R246)&gt;=10,RIGHT(R246,10),R246)</f>
        <v/>
      </c>
      <c r="T246" s="32">
        <f>IF(TRIM(A246&amp;"")="","",IF(S246&lt;&gt;"",IFERROR(MATCH(S246,'Form Calc'!$P:$P,0),IFERROR(MATCH(TRIM(A246&amp;""),'Form Calc'!$Q:$Q,0),"")),IFERROR(MATCH(TRIM(A246&amp;""),'Form Calc'!$Q:$Q,0),"")))</f>
        <v/>
      </c>
      <c r="U246" s="32">
        <f>IF(AND(T246&lt;&gt;"",TRIM(E246&amp;"")&lt;&gt;""),TRIM(E246&amp;""),"")</f>
        <v/>
      </c>
      <c r="V246" s="32">
        <f>IF(TRIM(A246&amp;"")="","",IF(T246&lt;&gt;"",T246,IF(TRIM(E246&amp;"")="","",IFERROR(INDEX($T$6:$T$505,MATCH(TRIM(E246&amp;""),$U$6:$U$505,0)),""))))</f>
        <v/>
      </c>
      <c r="W246" s="32">
        <f>IF(V246="","",INDEX('Form Calc'!$G:$G,V246))</f>
        <v/>
      </c>
      <c r="X246" s="32">
        <f>IF(TRIM(A246&amp;"")="","",IF(T246&lt;&gt;"",IF(INDEX('Form Calc'!$K:$K,T246)&lt;&gt;"",INDEX('Form Calc'!$K:$K,T246),J246&amp;""),J246&amp;""))</f>
        <v/>
      </c>
      <c r="Y246" s="32">
        <f>IF(TRIM(A246&amp;"")="","",IF(TRIM(D246&amp;"")&lt;&gt;"",TRIM(D246&amp;""),IF(T246&lt;&gt;"",INDEX('Form Calc'!$C:$C,T246)&amp;"","")))</f>
        <v/>
      </c>
      <c r="Z246" s="32">
        <f>SUBSTITUTE(SUBSTITUTE(SUBSTITUTE(SUBSTITUTE(SUBSTITUTE(SUBSTITUTE(SUBSTITUTE(SUBSTITUTE(Y246," ",""),"-",""),"(",""),")",""),".",""),"+",""),"/",""),CHAR(160),"")</f>
        <v/>
      </c>
      <c r="AA246" s="32">
        <f>IF(Z246="","",IF(LEN(Z246)=10,"+1"&amp;Z246,IF(AND(LEN(Z246)=11,LEFT(Z246,1)="1"),"+"&amp;Z246,IF(LEFT(Y246,1)="+","+"&amp;Z246,Z246))))</f>
        <v/>
      </c>
      <c r="AB246" s="32">
        <f>IF(TRIM(A246&amp;"")="","",IF(TRIM(M246&amp;"")&lt;&gt;"",TRIM(M246&amp;""),IFERROR(LEFT(TRIM(A246&amp;""),FIND(" ",TRIM(A246&amp;""))-1),TRIM(A246&amp;""))))</f>
        <v/>
      </c>
      <c r="AC246" s="32">
        <f>SUBSTITUTE(SUBSTITUTE(SUBSTITUTE(SUBSTITUTE(SUBSTITUTE(SUBSTITUTE(SUBSTITUTE(SUBSTITUTE(SUBSTITUTE(SUBSTITUTE(AB246,"%","%25"),"&amp;","%26"),"#","%23"),"+","%2B"),"=","%3D"),"?","%3F"),CHAR(34),"%22"),CHAR(10),"%0A"),CHAR(13),"")," ","+")</f>
        <v/>
      </c>
      <c r="AD246" s="32">
        <f>IF(OR(AA246="",AB246=""),"",'Start Here'!$B$20&amp;"#p="&amp;SUBSTITUTE(AA246,"+","%2B")&amp;"&amp;n="&amp;AC246&amp;"&amp;m="&amp;SUBSTITUTE('Start Here'!$B$24,"{name}",AC246))</f>
        <v/>
      </c>
      <c r="AE246" s="32">
        <f>LEN(AD246)</f>
        <v/>
      </c>
      <c r="AF246" s="32">
        <f>IF(AND(TRIM(A246&amp;"")&lt;&gt;"",OR(B246="Awaiting",B246="Not sure yet")),1,0)</f>
        <v/>
      </c>
      <c r="AG246" s="32">
        <f>N(AG245)+AF246</f>
        <v/>
      </c>
      <c r="AH246" s="32">
        <f>IF(AF246=1,AG246,"")</f>
        <v/>
      </c>
      <c r="AI246" s="32">
        <f>IF(AND(TRIM(A246&amp;"")&lt;&gt;"",L246&amp;""&lt;&gt;"",L246&amp;""=Seating!$I$3&amp;"",B246&lt;&gt;"Declined"),1,0)</f>
        <v/>
      </c>
      <c r="AJ246" s="32">
        <f>N(AJ245)+AI246</f>
        <v/>
      </c>
      <c r="AK246" s="32">
        <f>IF(AI246=1,AJ246,"")</f>
        <v/>
      </c>
    </row>
    <row r="247">
      <c r="A247" s="10" t="n"/>
      <c r="B247" s="47">
        <f>IF(TRIM(A247&amp;"")="","",IF(W247&lt;&gt;"",W247,IF(I247="","Awaiting",I247)))</f>
        <v/>
      </c>
      <c r="C247" s="60">
        <f>IF(OR(B247="Awaiting",B247="Not sure yet"),IF(AD247&lt;&gt;"",HYPERLINK(AD247,"💬 Remind"),"add mobile"),"")</f>
        <v/>
      </c>
      <c r="D247" s="58" t="n"/>
      <c r="E247" s="10" t="n"/>
      <c r="F247" s="10" t="n"/>
      <c r="G247" s="10" t="n"/>
      <c r="H247" s="10" t="n"/>
      <c r="I247" s="10" t="n"/>
      <c r="J247" s="10" t="n"/>
      <c r="K247" s="10" t="n"/>
      <c r="L247" s="56" t="n"/>
      <c r="M247" s="10" t="n"/>
      <c r="N247" s="12" t="n"/>
      <c r="O247" s="10" t="n"/>
      <c r="P247" s="10" t="n"/>
      <c r="Q247" s="61">
        <f>IF(V247="","",IF(T247="","Covered by "&amp;INDEX('Form Calc'!$B:$B,V247)&amp;"'s reply (same party)","Replied "&amp;TEXT(INDEX('Form Calc'!$A:$A,T247),"mm/dd")&amp;" · "&amp;INDEX('Form Calc'!$H:$H,T247)&amp;" adult(s), "&amp;INDEX('Form Calc'!$I:$I,T247)&amp;" child(ren)"&amp;IF(INDEX('Form Calc'!$K:$K,T247)&lt;&gt;""," · "&amp;INDEX('Form Calc'!$K:$K,T247),"")&amp;IF(INDEX('Form Calc'!$M:$M,T247)&lt;&gt;""," · “"&amp;INDEX('Form Calc'!$M:$M,T247)&amp;"”","")))</f>
        <v/>
      </c>
      <c r="R247" s="32">
        <f>SUBSTITUTE(SUBSTITUTE(SUBSTITUTE(SUBSTITUTE(SUBSTITUTE(SUBSTITUTE(SUBSTITUTE(SUBSTITUTE(D247&amp;""," ",""),"-",""),"(",""),")",""),".",""),"+",""),"/",""),CHAR(160),"")</f>
        <v/>
      </c>
      <c r="S247" s="32">
        <f>IF(LEN(R247)&gt;=10,RIGHT(R247,10),R247)</f>
        <v/>
      </c>
      <c r="T247" s="32">
        <f>IF(TRIM(A247&amp;"")="","",IF(S247&lt;&gt;"",IFERROR(MATCH(S247,'Form Calc'!$P:$P,0),IFERROR(MATCH(TRIM(A247&amp;""),'Form Calc'!$Q:$Q,0),"")),IFERROR(MATCH(TRIM(A247&amp;""),'Form Calc'!$Q:$Q,0),"")))</f>
        <v/>
      </c>
      <c r="U247" s="32">
        <f>IF(AND(T247&lt;&gt;"",TRIM(E247&amp;"")&lt;&gt;""),TRIM(E247&amp;""),"")</f>
        <v/>
      </c>
      <c r="V247" s="32">
        <f>IF(TRIM(A247&amp;"")="","",IF(T247&lt;&gt;"",T247,IF(TRIM(E247&amp;"")="","",IFERROR(INDEX($T$6:$T$505,MATCH(TRIM(E247&amp;""),$U$6:$U$505,0)),""))))</f>
        <v/>
      </c>
      <c r="W247" s="32">
        <f>IF(V247="","",INDEX('Form Calc'!$G:$G,V247))</f>
        <v/>
      </c>
      <c r="X247" s="32">
        <f>IF(TRIM(A247&amp;"")="","",IF(T247&lt;&gt;"",IF(INDEX('Form Calc'!$K:$K,T247)&lt;&gt;"",INDEX('Form Calc'!$K:$K,T247),J247&amp;""),J247&amp;""))</f>
        <v/>
      </c>
      <c r="Y247" s="32">
        <f>IF(TRIM(A247&amp;"")="","",IF(TRIM(D247&amp;"")&lt;&gt;"",TRIM(D247&amp;""),IF(T247&lt;&gt;"",INDEX('Form Calc'!$C:$C,T247)&amp;"","")))</f>
        <v/>
      </c>
      <c r="Z247" s="32">
        <f>SUBSTITUTE(SUBSTITUTE(SUBSTITUTE(SUBSTITUTE(SUBSTITUTE(SUBSTITUTE(SUBSTITUTE(SUBSTITUTE(Y247," ",""),"-",""),"(",""),")",""),".",""),"+",""),"/",""),CHAR(160),"")</f>
        <v/>
      </c>
      <c r="AA247" s="32">
        <f>IF(Z247="","",IF(LEN(Z247)=10,"+1"&amp;Z247,IF(AND(LEN(Z247)=11,LEFT(Z247,1)="1"),"+"&amp;Z247,IF(LEFT(Y247,1)="+","+"&amp;Z247,Z247))))</f>
        <v/>
      </c>
      <c r="AB247" s="32">
        <f>IF(TRIM(A247&amp;"")="","",IF(TRIM(M247&amp;"")&lt;&gt;"",TRIM(M247&amp;""),IFERROR(LEFT(TRIM(A247&amp;""),FIND(" ",TRIM(A247&amp;""))-1),TRIM(A247&amp;""))))</f>
        <v/>
      </c>
      <c r="AC247" s="32">
        <f>SUBSTITUTE(SUBSTITUTE(SUBSTITUTE(SUBSTITUTE(SUBSTITUTE(SUBSTITUTE(SUBSTITUTE(SUBSTITUTE(SUBSTITUTE(SUBSTITUTE(AB247,"%","%25"),"&amp;","%26"),"#","%23"),"+","%2B"),"=","%3D"),"?","%3F"),CHAR(34),"%22"),CHAR(10),"%0A"),CHAR(13),"")," ","+")</f>
        <v/>
      </c>
      <c r="AD247" s="32">
        <f>IF(OR(AA247="",AB247=""),"",'Start Here'!$B$20&amp;"#p="&amp;SUBSTITUTE(AA247,"+","%2B")&amp;"&amp;n="&amp;AC247&amp;"&amp;m="&amp;SUBSTITUTE('Start Here'!$B$24,"{name}",AC247))</f>
        <v/>
      </c>
      <c r="AE247" s="32">
        <f>LEN(AD247)</f>
        <v/>
      </c>
      <c r="AF247" s="32">
        <f>IF(AND(TRIM(A247&amp;"")&lt;&gt;"",OR(B247="Awaiting",B247="Not sure yet")),1,0)</f>
        <v/>
      </c>
      <c r="AG247" s="32">
        <f>N(AG246)+AF247</f>
        <v/>
      </c>
      <c r="AH247" s="32">
        <f>IF(AF247=1,AG247,"")</f>
        <v/>
      </c>
      <c r="AI247" s="32">
        <f>IF(AND(TRIM(A247&amp;"")&lt;&gt;"",L247&amp;""&lt;&gt;"",L247&amp;""=Seating!$I$3&amp;"",B247&lt;&gt;"Declined"),1,0)</f>
        <v/>
      </c>
      <c r="AJ247" s="32">
        <f>N(AJ246)+AI247</f>
        <v/>
      </c>
      <c r="AK247" s="32">
        <f>IF(AI247=1,AJ247,"")</f>
        <v/>
      </c>
    </row>
    <row r="248">
      <c r="A248" s="10" t="n"/>
      <c r="B248" s="47">
        <f>IF(TRIM(A248&amp;"")="","",IF(W248&lt;&gt;"",W248,IF(I248="","Awaiting",I248)))</f>
        <v/>
      </c>
      <c r="C248" s="60">
        <f>IF(OR(B248="Awaiting",B248="Not sure yet"),IF(AD248&lt;&gt;"",HYPERLINK(AD248,"💬 Remind"),"add mobile"),"")</f>
        <v/>
      </c>
      <c r="D248" s="58" t="n"/>
      <c r="E248" s="10" t="n"/>
      <c r="F248" s="10" t="n"/>
      <c r="G248" s="10" t="n"/>
      <c r="H248" s="10" t="n"/>
      <c r="I248" s="10" t="n"/>
      <c r="J248" s="10" t="n"/>
      <c r="K248" s="10" t="n"/>
      <c r="L248" s="56" t="n"/>
      <c r="M248" s="10" t="n"/>
      <c r="N248" s="12" t="n"/>
      <c r="O248" s="10" t="n"/>
      <c r="P248" s="10" t="n"/>
      <c r="Q248" s="61">
        <f>IF(V248="","",IF(T248="","Covered by "&amp;INDEX('Form Calc'!$B:$B,V248)&amp;"'s reply (same party)","Replied "&amp;TEXT(INDEX('Form Calc'!$A:$A,T248),"mm/dd")&amp;" · "&amp;INDEX('Form Calc'!$H:$H,T248)&amp;" adult(s), "&amp;INDEX('Form Calc'!$I:$I,T248)&amp;" child(ren)"&amp;IF(INDEX('Form Calc'!$K:$K,T248)&lt;&gt;""," · "&amp;INDEX('Form Calc'!$K:$K,T248),"")&amp;IF(INDEX('Form Calc'!$M:$M,T248)&lt;&gt;""," · “"&amp;INDEX('Form Calc'!$M:$M,T248)&amp;"”","")))</f>
        <v/>
      </c>
      <c r="R248" s="32">
        <f>SUBSTITUTE(SUBSTITUTE(SUBSTITUTE(SUBSTITUTE(SUBSTITUTE(SUBSTITUTE(SUBSTITUTE(SUBSTITUTE(D248&amp;""," ",""),"-",""),"(",""),")",""),".",""),"+",""),"/",""),CHAR(160),"")</f>
        <v/>
      </c>
      <c r="S248" s="32">
        <f>IF(LEN(R248)&gt;=10,RIGHT(R248,10),R248)</f>
        <v/>
      </c>
      <c r="T248" s="32">
        <f>IF(TRIM(A248&amp;"")="","",IF(S248&lt;&gt;"",IFERROR(MATCH(S248,'Form Calc'!$P:$P,0),IFERROR(MATCH(TRIM(A248&amp;""),'Form Calc'!$Q:$Q,0),"")),IFERROR(MATCH(TRIM(A248&amp;""),'Form Calc'!$Q:$Q,0),"")))</f>
        <v/>
      </c>
      <c r="U248" s="32">
        <f>IF(AND(T248&lt;&gt;"",TRIM(E248&amp;"")&lt;&gt;""),TRIM(E248&amp;""),"")</f>
        <v/>
      </c>
      <c r="V248" s="32">
        <f>IF(TRIM(A248&amp;"")="","",IF(T248&lt;&gt;"",T248,IF(TRIM(E248&amp;"")="","",IFERROR(INDEX($T$6:$T$505,MATCH(TRIM(E248&amp;""),$U$6:$U$505,0)),""))))</f>
        <v/>
      </c>
      <c r="W248" s="32">
        <f>IF(V248="","",INDEX('Form Calc'!$G:$G,V248))</f>
        <v/>
      </c>
      <c r="X248" s="32">
        <f>IF(TRIM(A248&amp;"")="","",IF(T248&lt;&gt;"",IF(INDEX('Form Calc'!$K:$K,T248)&lt;&gt;"",INDEX('Form Calc'!$K:$K,T248),J248&amp;""),J248&amp;""))</f>
        <v/>
      </c>
      <c r="Y248" s="32">
        <f>IF(TRIM(A248&amp;"")="","",IF(TRIM(D248&amp;"")&lt;&gt;"",TRIM(D248&amp;""),IF(T248&lt;&gt;"",INDEX('Form Calc'!$C:$C,T248)&amp;"","")))</f>
        <v/>
      </c>
      <c r="Z248" s="32">
        <f>SUBSTITUTE(SUBSTITUTE(SUBSTITUTE(SUBSTITUTE(SUBSTITUTE(SUBSTITUTE(SUBSTITUTE(SUBSTITUTE(Y248," ",""),"-",""),"(",""),")",""),".",""),"+",""),"/",""),CHAR(160),"")</f>
        <v/>
      </c>
      <c r="AA248" s="32">
        <f>IF(Z248="","",IF(LEN(Z248)=10,"+1"&amp;Z248,IF(AND(LEN(Z248)=11,LEFT(Z248,1)="1"),"+"&amp;Z248,IF(LEFT(Y248,1)="+","+"&amp;Z248,Z248))))</f>
        <v/>
      </c>
      <c r="AB248" s="32">
        <f>IF(TRIM(A248&amp;"")="","",IF(TRIM(M248&amp;"")&lt;&gt;"",TRIM(M248&amp;""),IFERROR(LEFT(TRIM(A248&amp;""),FIND(" ",TRIM(A248&amp;""))-1),TRIM(A248&amp;""))))</f>
        <v/>
      </c>
      <c r="AC248" s="32">
        <f>SUBSTITUTE(SUBSTITUTE(SUBSTITUTE(SUBSTITUTE(SUBSTITUTE(SUBSTITUTE(SUBSTITUTE(SUBSTITUTE(SUBSTITUTE(SUBSTITUTE(AB248,"%","%25"),"&amp;","%26"),"#","%23"),"+","%2B"),"=","%3D"),"?","%3F"),CHAR(34),"%22"),CHAR(10),"%0A"),CHAR(13),"")," ","+")</f>
        <v/>
      </c>
      <c r="AD248" s="32">
        <f>IF(OR(AA248="",AB248=""),"",'Start Here'!$B$20&amp;"#p="&amp;SUBSTITUTE(AA248,"+","%2B")&amp;"&amp;n="&amp;AC248&amp;"&amp;m="&amp;SUBSTITUTE('Start Here'!$B$24,"{name}",AC248))</f>
        <v/>
      </c>
      <c r="AE248" s="32">
        <f>LEN(AD248)</f>
        <v/>
      </c>
      <c r="AF248" s="32">
        <f>IF(AND(TRIM(A248&amp;"")&lt;&gt;"",OR(B248="Awaiting",B248="Not sure yet")),1,0)</f>
        <v/>
      </c>
      <c r="AG248" s="32">
        <f>N(AG247)+AF248</f>
        <v/>
      </c>
      <c r="AH248" s="32">
        <f>IF(AF248=1,AG248,"")</f>
        <v/>
      </c>
      <c r="AI248" s="32">
        <f>IF(AND(TRIM(A248&amp;"")&lt;&gt;"",L248&amp;""&lt;&gt;"",L248&amp;""=Seating!$I$3&amp;"",B248&lt;&gt;"Declined"),1,0)</f>
        <v/>
      </c>
      <c r="AJ248" s="32">
        <f>N(AJ247)+AI248</f>
        <v/>
      </c>
      <c r="AK248" s="32">
        <f>IF(AI248=1,AJ248,"")</f>
        <v/>
      </c>
    </row>
    <row r="249">
      <c r="A249" s="10" t="n"/>
      <c r="B249" s="47">
        <f>IF(TRIM(A249&amp;"")="","",IF(W249&lt;&gt;"",W249,IF(I249="","Awaiting",I249)))</f>
        <v/>
      </c>
      <c r="C249" s="60">
        <f>IF(OR(B249="Awaiting",B249="Not sure yet"),IF(AD249&lt;&gt;"",HYPERLINK(AD249,"💬 Remind"),"add mobile"),"")</f>
        <v/>
      </c>
      <c r="D249" s="58" t="n"/>
      <c r="E249" s="10" t="n"/>
      <c r="F249" s="10" t="n"/>
      <c r="G249" s="10" t="n"/>
      <c r="H249" s="10" t="n"/>
      <c r="I249" s="10" t="n"/>
      <c r="J249" s="10" t="n"/>
      <c r="K249" s="10" t="n"/>
      <c r="L249" s="56" t="n"/>
      <c r="M249" s="10" t="n"/>
      <c r="N249" s="12" t="n"/>
      <c r="O249" s="10" t="n"/>
      <c r="P249" s="10" t="n"/>
      <c r="Q249" s="61">
        <f>IF(V249="","",IF(T249="","Covered by "&amp;INDEX('Form Calc'!$B:$B,V249)&amp;"'s reply (same party)","Replied "&amp;TEXT(INDEX('Form Calc'!$A:$A,T249),"mm/dd")&amp;" · "&amp;INDEX('Form Calc'!$H:$H,T249)&amp;" adult(s), "&amp;INDEX('Form Calc'!$I:$I,T249)&amp;" child(ren)"&amp;IF(INDEX('Form Calc'!$K:$K,T249)&lt;&gt;""," · "&amp;INDEX('Form Calc'!$K:$K,T249),"")&amp;IF(INDEX('Form Calc'!$M:$M,T249)&lt;&gt;""," · “"&amp;INDEX('Form Calc'!$M:$M,T249)&amp;"”","")))</f>
        <v/>
      </c>
      <c r="R249" s="32">
        <f>SUBSTITUTE(SUBSTITUTE(SUBSTITUTE(SUBSTITUTE(SUBSTITUTE(SUBSTITUTE(SUBSTITUTE(SUBSTITUTE(D249&amp;""," ",""),"-",""),"(",""),")",""),".",""),"+",""),"/",""),CHAR(160),"")</f>
        <v/>
      </c>
      <c r="S249" s="32">
        <f>IF(LEN(R249)&gt;=10,RIGHT(R249,10),R249)</f>
        <v/>
      </c>
      <c r="T249" s="32">
        <f>IF(TRIM(A249&amp;"")="","",IF(S249&lt;&gt;"",IFERROR(MATCH(S249,'Form Calc'!$P:$P,0),IFERROR(MATCH(TRIM(A249&amp;""),'Form Calc'!$Q:$Q,0),"")),IFERROR(MATCH(TRIM(A249&amp;""),'Form Calc'!$Q:$Q,0),"")))</f>
        <v/>
      </c>
      <c r="U249" s="32">
        <f>IF(AND(T249&lt;&gt;"",TRIM(E249&amp;"")&lt;&gt;""),TRIM(E249&amp;""),"")</f>
        <v/>
      </c>
      <c r="V249" s="32">
        <f>IF(TRIM(A249&amp;"")="","",IF(T249&lt;&gt;"",T249,IF(TRIM(E249&amp;"")="","",IFERROR(INDEX($T$6:$T$505,MATCH(TRIM(E249&amp;""),$U$6:$U$505,0)),""))))</f>
        <v/>
      </c>
      <c r="W249" s="32">
        <f>IF(V249="","",INDEX('Form Calc'!$G:$G,V249))</f>
        <v/>
      </c>
      <c r="X249" s="32">
        <f>IF(TRIM(A249&amp;"")="","",IF(T249&lt;&gt;"",IF(INDEX('Form Calc'!$K:$K,T249)&lt;&gt;"",INDEX('Form Calc'!$K:$K,T249),J249&amp;""),J249&amp;""))</f>
        <v/>
      </c>
      <c r="Y249" s="32">
        <f>IF(TRIM(A249&amp;"")="","",IF(TRIM(D249&amp;"")&lt;&gt;"",TRIM(D249&amp;""),IF(T249&lt;&gt;"",INDEX('Form Calc'!$C:$C,T249)&amp;"","")))</f>
        <v/>
      </c>
      <c r="Z249" s="32">
        <f>SUBSTITUTE(SUBSTITUTE(SUBSTITUTE(SUBSTITUTE(SUBSTITUTE(SUBSTITUTE(SUBSTITUTE(SUBSTITUTE(Y249," ",""),"-",""),"(",""),")",""),".",""),"+",""),"/",""),CHAR(160),"")</f>
        <v/>
      </c>
      <c r="AA249" s="32">
        <f>IF(Z249="","",IF(LEN(Z249)=10,"+1"&amp;Z249,IF(AND(LEN(Z249)=11,LEFT(Z249,1)="1"),"+"&amp;Z249,IF(LEFT(Y249,1)="+","+"&amp;Z249,Z249))))</f>
        <v/>
      </c>
      <c r="AB249" s="32">
        <f>IF(TRIM(A249&amp;"")="","",IF(TRIM(M249&amp;"")&lt;&gt;"",TRIM(M249&amp;""),IFERROR(LEFT(TRIM(A249&amp;""),FIND(" ",TRIM(A249&amp;""))-1),TRIM(A249&amp;""))))</f>
        <v/>
      </c>
      <c r="AC249" s="32">
        <f>SUBSTITUTE(SUBSTITUTE(SUBSTITUTE(SUBSTITUTE(SUBSTITUTE(SUBSTITUTE(SUBSTITUTE(SUBSTITUTE(SUBSTITUTE(SUBSTITUTE(AB249,"%","%25"),"&amp;","%26"),"#","%23"),"+","%2B"),"=","%3D"),"?","%3F"),CHAR(34),"%22"),CHAR(10),"%0A"),CHAR(13),"")," ","+")</f>
        <v/>
      </c>
      <c r="AD249" s="32">
        <f>IF(OR(AA249="",AB249=""),"",'Start Here'!$B$20&amp;"#p="&amp;SUBSTITUTE(AA249,"+","%2B")&amp;"&amp;n="&amp;AC249&amp;"&amp;m="&amp;SUBSTITUTE('Start Here'!$B$24,"{name}",AC249))</f>
        <v/>
      </c>
      <c r="AE249" s="32">
        <f>LEN(AD249)</f>
        <v/>
      </c>
      <c r="AF249" s="32">
        <f>IF(AND(TRIM(A249&amp;"")&lt;&gt;"",OR(B249="Awaiting",B249="Not sure yet")),1,0)</f>
        <v/>
      </c>
      <c r="AG249" s="32">
        <f>N(AG248)+AF249</f>
        <v/>
      </c>
      <c r="AH249" s="32">
        <f>IF(AF249=1,AG249,"")</f>
        <v/>
      </c>
      <c r="AI249" s="32">
        <f>IF(AND(TRIM(A249&amp;"")&lt;&gt;"",L249&amp;""&lt;&gt;"",L249&amp;""=Seating!$I$3&amp;"",B249&lt;&gt;"Declined"),1,0)</f>
        <v/>
      </c>
      <c r="AJ249" s="32">
        <f>N(AJ248)+AI249</f>
        <v/>
      </c>
      <c r="AK249" s="32">
        <f>IF(AI249=1,AJ249,"")</f>
        <v/>
      </c>
    </row>
    <row r="250">
      <c r="A250" s="10" t="n"/>
      <c r="B250" s="47">
        <f>IF(TRIM(A250&amp;"")="","",IF(W250&lt;&gt;"",W250,IF(I250="","Awaiting",I250)))</f>
        <v/>
      </c>
      <c r="C250" s="60">
        <f>IF(OR(B250="Awaiting",B250="Not sure yet"),IF(AD250&lt;&gt;"",HYPERLINK(AD250,"💬 Remind"),"add mobile"),"")</f>
        <v/>
      </c>
      <c r="D250" s="58" t="n"/>
      <c r="E250" s="10" t="n"/>
      <c r="F250" s="10" t="n"/>
      <c r="G250" s="10" t="n"/>
      <c r="H250" s="10" t="n"/>
      <c r="I250" s="10" t="n"/>
      <c r="J250" s="10" t="n"/>
      <c r="K250" s="10" t="n"/>
      <c r="L250" s="56" t="n"/>
      <c r="M250" s="10" t="n"/>
      <c r="N250" s="12" t="n"/>
      <c r="O250" s="10" t="n"/>
      <c r="P250" s="10" t="n"/>
      <c r="Q250" s="61">
        <f>IF(V250="","",IF(T250="","Covered by "&amp;INDEX('Form Calc'!$B:$B,V250)&amp;"'s reply (same party)","Replied "&amp;TEXT(INDEX('Form Calc'!$A:$A,T250),"mm/dd")&amp;" · "&amp;INDEX('Form Calc'!$H:$H,T250)&amp;" adult(s), "&amp;INDEX('Form Calc'!$I:$I,T250)&amp;" child(ren)"&amp;IF(INDEX('Form Calc'!$K:$K,T250)&lt;&gt;""," · "&amp;INDEX('Form Calc'!$K:$K,T250),"")&amp;IF(INDEX('Form Calc'!$M:$M,T250)&lt;&gt;""," · “"&amp;INDEX('Form Calc'!$M:$M,T250)&amp;"”","")))</f>
        <v/>
      </c>
      <c r="R250" s="32">
        <f>SUBSTITUTE(SUBSTITUTE(SUBSTITUTE(SUBSTITUTE(SUBSTITUTE(SUBSTITUTE(SUBSTITUTE(SUBSTITUTE(D250&amp;""," ",""),"-",""),"(",""),")",""),".",""),"+",""),"/",""),CHAR(160),"")</f>
        <v/>
      </c>
      <c r="S250" s="32">
        <f>IF(LEN(R250)&gt;=10,RIGHT(R250,10),R250)</f>
        <v/>
      </c>
      <c r="T250" s="32">
        <f>IF(TRIM(A250&amp;"")="","",IF(S250&lt;&gt;"",IFERROR(MATCH(S250,'Form Calc'!$P:$P,0),IFERROR(MATCH(TRIM(A250&amp;""),'Form Calc'!$Q:$Q,0),"")),IFERROR(MATCH(TRIM(A250&amp;""),'Form Calc'!$Q:$Q,0),"")))</f>
        <v/>
      </c>
      <c r="U250" s="32">
        <f>IF(AND(T250&lt;&gt;"",TRIM(E250&amp;"")&lt;&gt;""),TRIM(E250&amp;""),"")</f>
        <v/>
      </c>
      <c r="V250" s="32">
        <f>IF(TRIM(A250&amp;"")="","",IF(T250&lt;&gt;"",T250,IF(TRIM(E250&amp;"")="","",IFERROR(INDEX($T$6:$T$505,MATCH(TRIM(E250&amp;""),$U$6:$U$505,0)),""))))</f>
        <v/>
      </c>
      <c r="W250" s="32">
        <f>IF(V250="","",INDEX('Form Calc'!$G:$G,V250))</f>
        <v/>
      </c>
      <c r="X250" s="32">
        <f>IF(TRIM(A250&amp;"")="","",IF(T250&lt;&gt;"",IF(INDEX('Form Calc'!$K:$K,T250)&lt;&gt;"",INDEX('Form Calc'!$K:$K,T250),J250&amp;""),J250&amp;""))</f>
        <v/>
      </c>
      <c r="Y250" s="32">
        <f>IF(TRIM(A250&amp;"")="","",IF(TRIM(D250&amp;"")&lt;&gt;"",TRIM(D250&amp;""),IF(T250&lt;&gt;"",INDEX('Form Calc'!$C:$C,T250)&amp;"","")))</f>
        <v/>
      </c>
      <c r="Z250" s="32">
        <f>SUBSTITUTE(SUBSTITUTE(SUBSTITUTE(SUBSTITUTE(SUBSTITUTE(SUBSTITUTE(SUBSTITUTE(SUBSTITUTE(Y250," ",""),"-",""),"(",""),")",""),".",""),"+",""),"/",""),CHAR(160),"")</f>
        <v/>
      </c>
      <c r="AA250" s="32">
        <f>IF(Z250="","",IF(LEN(Z250)=10,"+1"&amp;Z250,IF(AND(LEN(Z250)=11,LEFT(Z250,1)="1"),"+"&amp;Z250,IF(LEFT(Y250,1)="+","+"&amp;Z250,Z250))))</f>
        <v/>
      </c>
      <c r="AB250" s="32">
        <f>IF(TRIM(A250&amp;"")="","",IF(TRIM(M250&amp;"")&lt;&gt;"",TRIM(M250&amp;""),IFERROR(LEFT(TRIM(A250&amp;""),FIND(" ",TRIM(A250&amp;""))-1),TRIM(A250&amp;""))))</f>
        <v/>
      </c>
      <c r="AC250" s="32">
        <f>SUBSTITUTE(SUBSTITUTE(SUBSTITUTE(SUBSTITUTE(SUBSTITUTE(SUBSTITUTE(SUBSTITUTE(SUBSTITUTE(SUBSTITUTE(SUBSTITUTE(AB250,"%","%25"),"&amp;","%26"),"#","%23"),"+","%2B"),"=","%3D"),"?","%3F"),CHAR(34),"%22"),CHAR(10),"%0A"),CHAR(13),"")," ","+")</f>
        <v/>
      </c>
      <c r="AD250" s="32">
        <f>IF(OR(AA250="",AB250=""),"",'Start Here'!$B$20&amp;"#p="&amp;SUBSTITUTE(AA250,"+","%2B")&amp;"&amp;n="&amp;AC250&amp;"&amp;m="&amp;SUBSTITUTE('Start Here'!$B$24,"{name}",AC250))</f>
        <v/>
      </c>
      <c r="AE250" s="32">
        <f>LEN(AD250)</f>
        <v/>
      </c>
      <c r="AF250" s="32">
        <f>IF(AND(TRIM(A250&amp;"")&lt;&gt;"",OR(B250="Awaiting",B250="Not sure yet")),1,0)</f>
        <v/>
      </c>
      <c r="AG250" s="32">
        <f>N(AG249)+AF250</f>
        <v/>
      </c>
      <c r="AH250" s="32">
        <f>IF(AF250=1,AG250,"")</f>
        <v/>
      </c>
      <c r="AI250" s="32">
        <f>IF(AND(TRIM(A250&amp;"")&lt;&gt;"",L250&amp;""&lt;&gt;"",L250&amp;""=Seating!$I$3&amp;"",B250&lt;&gt;"Declined"),1,0)</f>
        <v/>
      </c>
      <c r="AJ250" s="32">
        <f>N(AJ249)+AI250</f>
        <v/>
      </c>
      <c r="AK250" s="32">
        <f>IF(AI250=1,AJ250,"")</f>
        <v/>
      </c>
    </row>
    <row r="251">
      <c r="A251" s="10" t="n"/>
      <c r="B251" s="47">
        <f>IF(TRIM(A251&amp;"")="","",IF(W251&lt;&gt;"",W251,IF(I251="","Awaiting",I251)))</f>
        <v/>
      </c>
      <c r="C251" s="60">
        <f>IF(OR(B251="Awaiting",B251="Not sure yet"),IF(AD251&lt;&gt;"",HYPERLINK(AD251,"💬 Remind"),"add mobile"),"")</f>
        <v/>
      </c>
      <c r="D251" s="58" t="n"/>
      <c r="E251" s="10" t="n"/>
      <c r="F251" s="10" t="n"/>
      <c r="G251" s="10" t="n"/>
      <c r="H251" s="10" t="n"/>
      <c r="I251" s="10" t="n"/>
      <c r="J251" s="10" t="n"/>
      <c r="K251" s="10" t="n"/>
      <c r="L251" s="56" t="n"/>
      <c r="M251" s="10" t="n"/>
      <c r="N251" s="12" t="n"/>
      <c r="O251" s="10" t="n"/>
      <c r="P251" s="10" t="n"/>
      <c r="Q251" s="61">
        <f>IF(V251="","",IF(T251="","Covered by "&amp;INDEX('Form Calc'!$B:$B,V251)&amp;"'s reply (same party)","Replied "&amp;TEXT(INDEX('Form Calc'!$A:$A,T251),"mm/dd")&amp;" · "&amp;INDEX('Form Calc'!$H:$H,T251)&amp;" adult(s), "&amp;INDEX('Form Calc'!$I:$I,T251)&amp;" child(ren)"&amp;IF(INDEX('Form Calc'!$K:$K,T251)&lt;&gt;""," · "&amp;INDEX('Form Calc'!$K:$K,T251),"")&amp;IF(INDEX('Form Calc'!$M:$M,T251)&lt;&gt;""," · “"&amp;INDEX('Form Calc'!$M:$M,T251)&amp;"”","")))</f>
        <v/>
      </c>
      <c r="R251" s="32">
        <f>SUBSTITUTE(SUBSTITUTE(SUBSTITUTE(SUBSTITUTE(SUBSTITUTE(SUBSTITUTE(SUBSTITUTE(SUBSTITUTE(D251&amp;""," ",""),"-",""),"(",""),")",""),".",""),"+",""),"/",""),CHAR(160),"")</f>
        <v/>
      </c>
      <c r="S251" s="32">
        <f>IF(LEN(R251)&gt;=10,RIGHT(R251,10),R251)</f>
        <v/>
      </c>
      <c r="T251" s="32">
        <f>IF(TRIM(A251&amp;"")="","",IF(S251&lt;&gt;"",IFERROR(MATCH(S251,'Form Calc'!$P:$P,0),IFERROR(MATCH(TRIM(A251&amp;""),'Form Calc'!$Q:$Q,0),"")),IFERROR(MATCH(TRIM(A251&amp;""),'Form Calc'!$Q:$Q,0),"")))</f>
        <v/>
      </c>
      <c r="U251" s="32">
        <f>IF(AND(T251&lt;&gt;"",TRIM(E251&amp;"")&lt;&gt;""),TRIM(E251&amp;""),"")</f>
        <v/>
      </c>
      <c r="V251" s="32">
        <f>IF(TRIM(A251&amp;"")="","",IF(T251&lt;&gt;"",T251,IF(TRIM(E251&amp;"")="","",IFERROR(INDEX($T$6:$T$505,MATCH(TRIM(E251&amp;""),$U$6:$U$505,0)),""))))</f>
        <v/>
      </c>
      <c r="W251" s="32">
        <f>IF(V251="","",INDEX('Form Calc'!$G:$G,V251))</f>
        <v/>
      </c>
      <c r="X251" s="32">
        <f>IF(TRIM(A251&amp;"")="","",IF(T251&lt;&gt;"",IF(INDEX('Form Calc'!$K:$K,T251)&lt;&gt;"",INDEX('Form Calc'!$K:$K,T251),J251&amp;""),J251&amp;""))</f>
        <v/>
      </c>
      <c r="Y251" s="32">
        <f>IF(TRIM(A251&amp;"")="","",IF(TRIM(D251&amp;"")&lt;&gt;"",TRIM(D251&amp;""),IF(T251&lt;&gt;"",INDEX('Form Calc'!$C:$C,T251)&amp;"","")))</f>
        <v/>
      </c>
      <c r="Z251" s="32">
        <f>SUBSTITUTE(SUBSTITUTE(SUBSTITUTE(SUBSTITUTE(SUBSTITUTE(SUBSTITUTE(SUBSTITUTE(SUBSTITUTE(Y251," ",""),"-",""),"(",""),")",""),".",""),"+",""),"/",""),CHAR(160),"")</f>
        <v/>
      </c>
      <c r="AA251" s="32">
        <f>IF(Z251="","",IF(LEN(Z251)=10,"+1"&amp;Z251,IF(AND(LEN(Z251)=11,LEFT(Z251,1)="1"),"+"&amp;Z251,IF(LEFT(Y251,1)="+","+"&amp;Z251,Z251))))</f>
        <v/>
      </c>
      <c r="AB251" s="32">
        <f>IF(TRIM(A251&amp;"")="","",IF(TRIM(M251&amp;"")&lt;&gt;"",TRIM(M251&amp;""),IFERROR(LEFT(TRIM(A251&amp;""),FIND(" ",TRIM(A251&amp;""))-1),TRIM(A251&amp;""))))</f>
        <v/>
      </c>
      <c r="AC251" s="32">
        <f>SUBSTITUTE(SUBSTITUTE(SUBSTITUTE(SUBSTITUTE(SUBSTITUTE(SUBSTITUTE(SUBSTITUTE(SUBSTITUTE(SUBSTITUTE(SUBSTITUTE(AB251,"%","%25"),"&amp;","%26"),"#","%23"),"+","%2B"),"=","%3D"),"?","%3F"),CHAR(34),"%22"),CHAR(10),"%0A"),CHAR(13),"")," ","+")</f>
        <v/>
      </c>
      <c r="AD251" s="32">
        <f>IF(OR(AA251="",AB251=""),"",'Start Here'!$B$20&amp;"#p="&amp;SUBSTITUTE(AA251,"+","%2B")&amp;"&amp;n="&amp;AC251&amp;"&amp;m="&amp;SUBSTITUTE('Start Here'!$B$24,"{name}",AC251))</f>
        <v/>
      </c>
      <c r="AE251" s="32">
        <f>LEN(AD251)</f>
        <v/>
      </c>
      <c r="AF251" s="32">
        <f>IF(AND(TRIM(A251&amp;"")&lt;&gt;"",OR(B251="Awaiting",B251="Not sure yet")),1,0)</f>
        <v/>
      </c>
      <c r="AG251" s="32">
        <f>N(AG250)+AF251</f>
        <v/>
      </c>
      <c r="AH251" s="32">
        <f>IF(AF251=1,AG251,"")</f>
        <v/>
      </c>
      <c r="AI251" s="32">
        <f>IF(AND(TRIM(A251&amp;"")&lt;&gt;"",L251&amp;""&lt;&gt;"",L251&amp;""=Seating!$I$3&amp;"",B251&lt;&gt;"Declined"),1,0)</f>
        <v/>
      </c>
      <c r="AJ251" s="32">
        <f>N(AJ250)+AI251</f>
        <v/>
      </c>
      <c r="AK251" s="32">
        <f>IF(AI251=1,AJ251,"")</f>
        <v/>
      </c>
    </row>
    <row r="252">
      <c r="A252" s="10" t="n"/>
      <c r="B252" s="47">
        <f>IF(TRIM(A252&amp;"")="","",IF(W252&lt;&gt;"",W252,IF(I252="","Awaiting",I252)))</f>
        <v/>
      </c>
      <c r="C252" s="60">
        <f>IF(OR(B252="Awaiting",B252="Not sure yet"),IF(AD252&lt;&gt;"",HYPERLINK(AD252,"💬 Remind"),"add mobile"),"")</f>
        <v/>
      </c>
      <c r="D252" s="58" t="n"/>
      <c r="E252" s="10" t="n"/>
      <c r="F252" s="10" t="n"/>
      <c r="G252" s="10" t="n"/>
      <c r="H252" s="10" t="n"/>
      <c r="I252" s="10" t="n"/>
      <c r="J252" s="10" t="n"/>
      <c r="K252" s="10" t="n"/>
      <c r="L252" s="56" t="n"/>
      <c r="M252" s="10" t="n"/>
      <c r="N252" s="12" t="n"/>
      <c r="O252" s="10" t="n"/>
      <c r="P252" s="10" t="n"/>
      <c r="Q252" s="61">
        <f>IF(V252="","",IF(T252="","Covered by "&amp;INDEX('Form Calc'!$B:$B,V252)&amp;"'s reply (same party)","Replied "&amp;TEXT(INDEX('Form Calc'!$A:$A,T252),"mm/dd")&amp;" · "&amp;INDEX('Form Calc'!$H:$H,T252)&amp;" adult(s), "&amp;INDEX('Form Calc'!$I:$I,T252)&amp;" child(ren)"&amp;IF(INDEX('Form Calc'!$K:$K,T252)&lt;&gt;""," · "&amp;INDEX('Form Calc'!$K:$K,T252),"")&amp;IF(INDEX('Form Calc'!$M:$M,T252)&lt;&gt;""," · “"&amp;INDEX('Form Calc'!$M:$M,T252)&amp;"”","")))</f>
        <v/>
      </c>
      <c r="R252" s="32">
        <f>SUBSTITUTE(SUBSTITUTE(SUBSTITUTE(SUBSTITUTE(SUBSTITUTE(SUBSTITUTE(SUBSTITUTE(SUBSTITUTE(D252&amp;""," ",""),"-",""),"(",""),")",""),".",""),"+",""),"/",""),CHAR(160),"")</f>
        <v/>
      </c>
      <c r="S252" s="32">
        <f>IF(LEN(R252)&gt;=10,RIGHT(R252,10),R252)</f>
        <v/>
      </c>
      <c r="T252" s="32">
        <f>IF(TRIM(A252&amp;"")="","",IF(S252&lt;&gt;"",IFERROR(MATCH(S252,'Form Calc'!$P:$P,0),IFERROR(MATCH(TRIM(A252&amp;""),'Form Calc'!$Q:$Q,0),"")),IFERROR(MATCH(TRIM(A252&amp;""),'Form Calc'!$Q:$Q,0),"")))</f>
        <v/>
      </c>
      <c r="U252" s="32">
        <f>IF(AND(T252&lt;&gt;"",TRIM(E252&amp;"")&lt;&gt;""),TRIM(E252&amp;""),"")</f>
        <v/>
      </c>
      <c r="V252" s="32">
        <f>IF(TRIM(A252&amp;"")="","",IF(T252&lt;&gt;"",T252,IF(TRIM(E252&amp;"")="","",IFERROR(INDEX($T$6:$T$505,MATCH(TRIM(E252&amp;""),$U$6:$U$505,0)),""))))</f>
        <v/>
      </c>
      <c r="W252" s="32">
        <f>IF(V252="","",INDEX('Form Calc'!$G:$G,V252))</f>
        <v/>
      </c>
      <c r="X252" s="32">
        <f>IF(TRIM(A252&amp;"")="","",IF(T252&lt;&gt;"",IF(INDEX('Form Calc'!$K:$K,T252)&lt;&gt;"",INDEX('Form Calc'!$K:$K,T252),J252&amp;""),J252&amp;""))</f>
        <v/>
      </c>
      <c r="Y252" s="32">
        <f>IF(TRIM(A252&amp;"")="","",IF(TRIM(D252&amp;"")&lt;&gt;"",TRIM(D252&amp;""),IF(T252&lt;&gt;"",INDEX('Form Calc'!$C:$C,T252)&amp;"","")))</f>
        <v/>
      </c>
      <c r="Z252" s="32">
        <f>SUBSTITUTE(SUBSTITUTE(SUBSTITUTE(SUBSTITUTE(SUBSTITUTE(SUBSTITUTE(SUBSTITUTE(SUBSTITUTE(Y252," ",""),"-",""),"(",""),")",""),".",""),"+",""),"/",""),CHAR(160),"")</f>
        <v/>
      </c>
      <c r="AA252" s="32">
        <f>IF(Z252="","",IF(LEN(Z252)=10,"+1"&amp;Z252,IF(AND(LEN(Z252)=11,LEFT(Z252,1)="1"),"+"&amp;Z252,IF(LEFT(Y252,1)="+","+"&amp;Z252,Z252))))</f>
        <v/>
      </c>
      <c r="AB252" s="32">
        <f>IF(TRIM(A252&amp;"")="","",IF(TRIM(M252&amp;"")&lt;&gt;"",TRIM(M252&amp;""),IFERROR(LEFT(TRIM(A252&amp;""),FIND(" ",TRIM(A252&amp;""))-1),TRIM(A252&amp;""))))</f>
        <v/>
      </c>
      <c r="AC252" s="32">
        <f>SUBSTITUTE(SUBSTITUTE(SUBSTITUTE(SUBSTITUTE(SUBSTITUTE(SUBSTITUTE(SUBSTITUTE(SUBSTITUTE(SUBSTITUTE(SUBSTITUTE(AB252,"%","%25"),"&amp;","%26"),"#","%23"),"+","%2B"),"=","%3D"),"?","%3F"),CHAR(34),"%22"),CHAR(10),"%0A"),CHAR(13),"")," ","+")</f>
        <v/>
      </c>
      <c r="AD252" s="32">
        <f>IF(OR(AA252="",AB252=""),"",'Start Here'!$B$20&amp;"#p="&amp;SUBSTITUTE(AA252,"+","%2B")&amp;"&amp;n="&amp;AC252&amp;"&amp;m="&amp;SUBSTITUTE('Start Here'!$B$24,"{name}",AC252))</f>
        <v/>
      </c>
      <c r="AE252" s="32">
        <f>LEN(AD252)</f>
        <v/>
      </c>
      <c r="AF252" s="32">
        <f>IF(AND(TRIM(A252&amp;"")&lt;&gt;"",OR(B252="Awaiting",B252="Not sure yet")),1,0)</f>
        <v/>
      </c>
      <c r="AG252" s="32">
        <f>N(AG251)+AF252</f>
        <v/>
      </c>
      <c r="AH252" s="32">
        <f>IF(AF252=1,AG252,"")</f>
        <v/>
      </c>
      <c r="AI252" s="32">
        <f>IF(AND(TRIM(A252&amp;"")&lt;&gt;"",L252&amp;""&lt;&gt;"",L252&amp;""=Seating!$I$3&amp;"",B252&lt;&gt;"Declined"),1,0)</f>
        <v/>
      </c>
      <c r="AJ252" s="32">
        <f>N(AJ251)+AI252</f>
        <v/>
      </c>
      <c r="AK252" s="32">
        <f>IF(AI252=1,AJ252,"")</f>
        <v/>
      </c>
    </row>
    <row r="253">
      <c r="A253" s="10" t="n"/>
      <c r="B253" s="47">
        <f>IF(TRIM(A253&amp;"")="","",IF(W253&lt;&gt;"",W253,IF(I253="","Awaiting",I253)))</f>
        <v/>
      </c>
      <c r="C253" s="60">
        <f>IF(OR(B253="Awaiting",B253="Not sure yet"),IF(AD253&lt;&gt;"",HYPERLINK(AD253,"💬 Remind"),"add mobile"),"")</f>
        <v/>
      </c>
      <c r="D253" s="58" t="n"/>
      <c r="E253" s="10" t="n"/>
      <c r="F253" s="10" t="n"/>
      <c r="G253" s="10" t="n"/>
      <c r="H253" s="10" t="n"/>
      <c r="I253" s="10" t="n"/>
      <c r="J253" s="10" t="n"/>
      <c r="K253" s="10" t="n"/>
      <c r="L253" s="56" t="n"/>
      <c r="M253" s="10" t="n"/>
      <c r="N253" s="12" t="n"/>
      <c r="O253" s="10" t="n"/>
      <c r="P253" s="10" t="n"/>
      <c r="Q253" s="61">
        <f>IF(V253="","",IF(T253="","Covered by "&amp;INDEX('Form Calc'!$B:$B,V253)&amp;"'s reply (same party)","Replied "&amp;TEXT(INDEX('Form Calc'!$A:$A,T253),"mm/dd")&amp;" · "&amp;INDEX('Form Calc'!$H:$H,T253)&amp;" adult(s), "&amp;INDEX('Form Calc'!$I:$I,T253)&amp;" child(ren)"&amp;IF(INDEX('Form Calc'!$K:$K,T253)&lt;&gt;""," · "&amp;INDEX('Form Calc'!$K:$K,T253),"")&amp;IF(INDEX('Form Calc'!$M:$M,T253)&lt;&gt;""," · “"&amp;INDEX('Form Calc'!$M:$M,T253)&amp;"”","")))</f>
        <v/>
      </c>
      <c r="R253" s="32">
        <f>SUBSTITUTE(SUBSTITUTE(SUBSTITUTE(SUBSTITUTE(SUBSTITUTE(SUBSTITUTE(SUBSTITUTE(SUBSTITUTE(D253&amp;""," ",""),"-",""),"(",""),")",""),".",""),"+",""),"/",""),CHAR(160),"")</f>
        <v/>
      </c>
      <c r="S253" s="32">
        <f>IF(LEN(R253)&gt;=10,RIGHT(R253,10),R253)</f>
        <v/>
      </c>
      <c r="T253" s="32">
        <f>IF(TRIM(A253&amp;"")="","",IF(S253&lt;&gt;"",IFERROR(MATCH(S253,'Form Calc'!$P:$P,0),IFERROR(MATCH(TRIM(A253&amp;""),'Form Calc'!$Q:$Q,0),"")),IFERROR(MATCH(TRIM(A253&amp;""),'Form Calc'!$Q:$Q,0),"")))</f>
        <v/>
      </c>
      <c r="U253" s="32">
        <f>IF(AND(T253&lt;&gt;"",TRIM(E253&amp;"")&lt;&gt;""),TRIM(E253&amp;""),"")</f>
        <v/>
      </c>
      <c r="V253" s="32">
        <f>IF(TRIM(A253&amp;"")="","",IF(T253&lt;&gt;"",T253,IF(TRIM(E253&amp;"")="","",IFERROR(INDEX($T$6:$T$505,MATCH(TRIM(E253&amp;""),$U$6:$U$505,0)),""))))</f>
        <v/>
      </c>
      <c r="W253" s="32">
        <f>IF(V253="","",INDEX('Form Calc'!$G:$G,V253))</f>
        <v/>
      </c>
      <c r="X253" s="32">
        <f>IF(TRIM(A253&amp;"")="","",IF(T253&lt;&gt;"",IF(INDEX('Form Calc'!$K:$K,T253)&lt;&gt;"",INDEX('Form Calc'!$K:$K,T253),J253&amp;""),J253&amp;""))</f>
        <v/>
      </c>
      <c r="Y253" s="32">
        <f>IF(TRIM(A253&amp;"")="","",IF(TRIM(D253&amp;"")&lt;&gt;"",TRIM(D253&amp;""),IF(T253&lt;&gt;"",INDEX('Form Calc'!$C:$C,T253)&amp;"","")))</f>
        <v/>
      </c>
      <c r="Z253" s="32">
        <f>SUBSTITUTE(SUBSTITUTE(SUBSTITUTE(SUBSTITUTE(SUBSTITUTE(SUBSTITUTE(SUBSTITUTE(SUBSTITUTE(Y253," ",""),"-",""),"(",""),")",""),".",""),"+",""),"/",""),CHAR(160),"")</f>
        <v/>
      </c>
      <c r="AA253" s="32">
        <f>IF(Z253="","",IF(LEN(Z253)=10,"+1"&amp;Z253,IF(AND(LEN(Z253)=11,LEFT(Z253,1)="1"),"+"&amp;Z253,IF(LEFT(Y253,1)="+","+"&amp;Z253,Z253))))</f>
        <v/>
      </c>
      <c r="AB253" s="32">
        <f>IF(TRIM(A253&amp;"")="","",IF(TRIM(M253&amp;"")&lt;&gt;"",TRIM(M253&amp;""),IFERROR(LEFT(TRIM(A253&amp;""),FIND(" ",TRIM(A253&amp;""))-1),TRIM(A253&amp;""))))</f>
        <v/>
      </c>
      <c r="AC253" s="32">
        <f>SUBSTITUTE(SUBSTITUTE(SUBSTITUTE(SUBSTITUTE(SUBSTITUTE(SUBSTITUTE(SUBSTITUTE(SUBSTITUTE(SUBSTITUTE(SUBSTITUTE(AB253,"%","%25"),"&amp;","%26"),"#","%23"),"+","%2B"),"=","%3D"),"?","%3F"),CHAR(34),"%22"),CHAR(10),"%0A"),CHAR(13),"")," ","+")</f>
        <v/>
      </c>
      <c r="AD253" s="32">
        <f>IF(OR(AA253="",AB253=""),"",'Start Here'!$B$20&amp;"#p="&amp;SUBSTITUTE(AA253,"+","%2B")&amp;"&amp;n="&amp;AC253&amp;"&amp;m="&amp;SUBSTITUTE('Start Here'!$B$24,"{name}",AC253))</f>
        <v/>
      </c>
      <c r="AE253" s="32">
        <f>LEN(AD253)</f>
        <v/>
      </c>
      <c r="AF253" s="32">
        <f>IF(AND(TRIM(A253&amp;"")&lt;&gt;"",OR(B253="Awaiting",B253="Not sure yet")),1,0)</f>
        <v/>
      </c>
      <c r="AG253" s="32">
        <f>N(AG252)+AF253</f>
        <v/>
      </c>
      <c r="AH253" s="32">
        <f>IF(AF253=1,AG253,"")</f>
        <v/>
      </c>
      <c r="AI253" s="32">
        <f>IF(AND(TRIM(A253&amp;"")&lt;&gt;"",L253&amp;""&lt;&gt;"",L253&amp;""=Seating!$I$3&amp;"",B253&lt;&gt;"Declined"),1,0)</f>
        <v/>
      </c>
      <c r="AJ253" s="32">
        <f>N(AJ252)+AI253</f>
        <v/>
      </c>
      <c r="AK253" s="32">
        <f>IF(AI253=1,AJ253,"")</f>
        <v/>
      </c>
    </row>
    <row r="254">
      <c r="A254" s="10" t="n"/>
      <c r="B254" s="47">
        <f>IF(TRIM(A254&amp;"")="","",IF(W254&lt;&gt;"",W254,IF(I254="","Awaiting",I254)))</f>
        <v/>
      </c>
      <c r="C254" s="60">
        <f>IF(OR(B254="Awaiting",B254="Not sure yet"),IF(AD254&lt;&gt;"",HYPERLINK(AD254,"💬 Remind"),"add mobile"),"")</f>
        <v/>
      </c>
      <c r="D254" s="58" t="n"/>
      <c r="E254" s="10" t="n"/>
      <c r="F254" s="10" t="n"/>
      <c r="G254" s="10" t="n"/>
      <c r="H254" s="10" t="n"/>
      <c r="I254" s="10" t="n"/>
      <c r="J254" s="10" t="n"/>
      <c r="K254" s="10" t="n"/>
      <c r="L254" s="56" t="n"/>
      <c r="M254" s="10" t="n"/>
      <c r="N254" s="12" t="n"/>
      <c r="O254" s="10" t="n"/>
      <c r="P254" s="10" t="n"/>
      <c r="Q254" s="61">
        <f>IF(V254="","",IF(T254="","Covered by "&amp;INDEX('Form Calc'!$B:$B,V254)&amp;"'s reply (same party)","Replied "&amp;TEXT(INDEX('Form Calc'!$A:$A,T254),"mm/dd")&amp;" · "&amp;INDEX('Form Calc'!$H:$H,T254)&amp;" adult(s), "&amp;INDEX('Form Calc'!$I:$I,T254)&amp;" child(ren)"&amp;IF(INDEX('Form Calc'!$K:$K,T254)&lt;&gt;""," · "&amp;INDEX('Form Calc'!$K:$K,T254),"")&amp;IF(INDEX('Form Calc'!$M:$M,T254)&lt;&gt;""," · “"&amp;INDEX('Form Calc'!$M:$M,T254)&amp;"”","")))</f>
        <v/>
      </c>
      <c r="R254" s="32">
        <f>SUBSTITUTE(SUBSTITUTE(SUBSTITUTE(SUBSTITUTE(SUBSTITUTE(SUBSTITUTE(SUBSTITUTE(SUBSTITUTE(D254&amp;""," ",""),"-",""),"(",""),")",""),".",""),"+",""),"/",""),CHAR(160),"")</f>
        <v/>
      </c>
      <c r="S254" s="32">
        <f>IF(LEN(R254)&gt;=10,RIGHT(R254,10),R254)</f>
        <v/>
      </c>
      <c r="T254" s="32">
        <f>IF(TRIM(A254&amp;"")="","",IF(S254&lt;&gt;"",IFERROR(MATCH(S254,'Form Calc'!$P:$P,0),IFERROR(MATCH(TRIM(A254&amp;""),'Form Calc'!$Q:$Q,0),"")),IFERROR(MATCH(TRIM(A254&amp;""),'Form Calc'!$Q:$Q,0),"")))</f>
        <v/>
      </c>
      <c r="U254" s="32">
        <f>IF(AND(T254&lt;&gt;"",TRIM(E254&amp;"")&lt;&gt;""),TRIM(E254&amp;""),"")</f>
        <v/>
      </c>
      <c r="V254" s="32">
        <f>IF(TRIM(A254&amp;"")="","",IF(T254&lt;&gt;"",T254,IF(TRIM(E254&amp;"")="","",IFERROR(INDEX($T$6:$T$505,MATCH(TRIM(E254&amp;""),$U$6:$U$505,0)),""))))</f>
        <v/>
      </c>
      <c r="W254" s="32">
        <f>IF(V254="","",INDEX('Form Calc'!$G:$G,V254))</f>
        <v/>
      </c>
      <c r="X254" s="32">
        <f>IF(TRIM(A254&amp;"")="","",IF(T254&lt;&gt;"",IF(INDEX('Form Calc'!$K:$K,T254)&lt;&gt;"",INDEX('Form Calc'!$K:$K,T254),J254&amp;""),J254&amp;""))</f>
        <v/>
      </c>
      <c r="Y254" s="32">
        <f>IF(TRIM(A254&amp;"")="","",IF(TRIM(D254&amp;"")&lt;&gt;"",TRIM(D254&amp;""),IF(T254&lt;&gt;"",INDEX('Form Calc'!$C:$C,T254)&amp;"","")))</f>
        <v/>
      </c>
      <c r="Z254" s="32">
        <f>SUBSTITUTE(SUBSTITUTE(SUBSTITUTE(SUBSTITUTE(SUBSTITUTE(SUBSTITUTE(SUBSTITUTE(SUBSTITUTE(Y254," ",""),"-",""),"(",""),")",""),".",""),"+",""),"/",""),CHAR(160),"")</f>
        <v/>
      </c>
      <c r="AA254" s="32">
        <f>IF(Z254="","",IF(LEN(Z254)=10,"+1"&amp;Z254,IF(AND(LEN(Z254)=11,LEFT(Z254,1)="1"),"+"&amp;Z254,IF(LEFT(Y254,1)="+","+"&amp;Z254,Z254))))</f>
        <v/>
      </c>
      <c r="AB254" s="32">
        <f>IF(TRIM(A254&amp;"")="","",IF(TRIM(M254&amp;"")&lt;&gt;"",TRIM(M254&amp;""),IFERROR(LEFT(TRIM(A254&amp;""),FIND(" ",TRIM(A254&amp;""))-1),TRIM(A254&amp;""))))</f>
        <v/>
      </c>
      <c r="AC254" s="32">
        <f>SUBSTITUTE(SUBSTITUTE(SUBSTITUTE(SUBSTITUTE(SUBSTITUTE(SUBSTITUTE(SUBSTITUTE(SUBSTITUTE(SUBSTITUTE(SUBSTITUTE(AB254,"%","%25"),"&amp;","%26"),"#","%23"),"+","%2B"),"=","%3D"),"?","%3F"),CHAR(34),"%22"),CHAR(10),"%0A"),CHAR(13),"")," ","+")</f>
        <v/>
      </c>
      <c r="AD254" s="32">
        <f>IF(OR(AA254="",AB254=""),"",'Start Here'!$B$20&amp;"#p="&amp;SUBSTITUTE(AA254,"+","%2B")&amp;"&amp;n="&amp;AC254&amp;"&amp;m="&amp;SUBSTITUTE('Start Here'!$B$24,"{name}",AC254))</f>
        <v/>
      </c>
      <c r="AE254" s="32">
        <f>LEN(AD254)</f>
        <v/>
      </c>
      <c r="AF254" s="32">
        <f>IF(AND(TRIM(A254&amp;"")&lt;&gt;"",OR(B254="Awaiting",B254="Not sure yet")),1,0)</f>
        <v/>
      </c>
      <c r="AG254" s="32">
        <f>N(AG253)+AF254</f>
        <v/>
      </c>
      <c r="AH254" s="32">
        <f>IF(AF254=1,AG254,"")</f>
        <v/>
      </c>
      <c r="AI254" s="32">
        <f>IF(AND(TRIM(A254&amp;"")&lt;&gt;"",L254&amp;""&lt;&gt;"",L254&amp;""=Seating!$I$3&amp;"",B254&lt;&gt;"Declined"),1,0)</f>
        <v/>
      </c>
      <c r="AJ254" s="32">
        <f>N(AJ253)+AI254</f>
        <v/>
      </c>
      <c r="AK254" s="32">
        <f>IF(AI254=1,AJ254,"")</f>
        <v/>
      </c>
    </row>
    <row r="255">
      <c r="A255" s="10" t="n"/>
      <c r="B255" s="47">
        <f>IF(TRIM(A255&amp;"")="","",IF(W255&lt;&gt;"",W255,IF(I255="","Awaiting",I255)))</f>
        <v/>
      </c>
      <c r="C255" s="60">
        <f>IF(OR(B255="Awaiting",B255="Not sure yet"),IF(AD255&lt;&gt;"",HYPERLINK(AD255,"💬 Remind"),"add mobile"),"")</f>
        <v/>
      </c>
      <c r="D255" s="58" t="n"/>
      <c r="E255" s="10" t="n"/>
      <c r="F255" s="10" t="n"/>
      <c r="G255" s="10" t="n"/>
      <c r="H255" s="10" t="n"/>
      <c r="I255" s="10" t="n"/>
      <c r="J255" s="10" t="n"/>
      <c r="K255" s="10" t="n"/>
      <c r="L255" s="56" t="n"/>
      <c r="M255" s="10" t="n"/>
      <c r="N255" s="12" t="n"/>
      <c r="O255" s="10" t="n"/>
      <c r="P255" s="10" t="n"/>
      <c r="Q255" s="61">
        <f>IF(V255="","",IF(T255="","Covered by "&amp;INDEX('Form Calc'!$B:$B,V255)&amp;"'s reply (same party)","Replied "&amp;TEXT(INDEX('Form Calc'!$A:$A,T255),"mm/dd")&amp;" · "&amp;INDEX('Form Calc'!$H:$H,T255)&amp;" adult(s), "&amp;INDEX('Form Calc'!$I:$I,T255)&amp;" child(ren)"&amp;IF(INDEX('Form Calc'!$K:$K,T255)&lt;&gt;""," · "&amp;INDEX('Form Calc'!$K:$K,T255),"")&amp;IF(INDEX('Form Calc'!$M:$M,T255)&lt;&gt;""," · “"&amp;INDEX('Form Calc'!$M:$M,T255)&amp;"”","")))</f>
        <v/>
      </c>
      <c r="R255" s="32">
        <f>SUBSTITUTE(SUBSTITUTE(SUBSTITUTE(SUBSTITUTE(SUBSTITUTE(SUBSTITUTE(SUBSTITUTE(SUBSTITUTE(D255&amp;""," ",""),"-",""),"(",""),")",""),".",""),"+",""),"/",""),CHAR(160),"")</f>
        <v/>
      </c>
      <c r="S255" s="32">
        <f>IF(LEN(R255)&gt;=10,RIGHT(R255,10),R255)</f>
        <v/>
      </c>
      <c r="T255" s="32">
        <f>IF(TRIM(A255&amp;"")="","",IF(S255&lt;&gt;"",IFERROR(MATCH(S255,'Form Calc'!$P:$P,0),IFERROR(MATCH(TRIM(A255&amp;""),'Form Calc'!$Q:$Q,0),"")),IFERROR(MATCH(TRIM(A255&amp;""),'Form Calc'!$Q:$Q,0),"")))</f>
        <v/>
      </c>
      <c r="U255" s="32">
        <f>IF(AND(T255&lt;&gt;"",TRIM(E255&amp;"")&lt;&gt;""),TRIM(E255&amp;""),"")</f>
        <v/>
      </c>
      <c r="V255" s="32">
        <f>IF(TRIM(A255&amp;"")="","",IF(T255&lt;&gt;"",T255,IF(TRIM(E255&amp;"")="","",IFERROR(INDEX($T$6:$T$505,MATCH(TRIM(E255&amp;""),$U$6:$U$505,0)),""))))</f>
        <v/>
      </c>
      <c r="W255" s="32">
        <f>IF(V255="","",INDEX('Form Calc'!$G:$G,V255))</f>
        <v/>
      </c>
      <c r="X255" s="32">
        <f>IF(TRIM(A255&amp;"")="","",IF(T255&lt;&gt;"",IF(INDEX('Form Calc'!$K:$K,T255)&lt;&gt;"",INDEX('Form Calc'!$K:$K,T255),J255&amp;""),J255&amp;""))</f>
        <v/>
      </c>
      <c r="Y255" s="32">
        <f>IF(TRIM(A255&amp;"")="","",IF(TRIM(D255&amp;"")&lt;&gt;"",TRIM(D255&amp;""),IF(T255&lt;&gt;"",INDEX('Form Calc'!$C:$C,T255)&amp;"","")))</f>
        <v/>
      </c>
      <c r="Z255" s="32">
        <f>SUBSTITUTE(SUBSTITUTE(SUBSTITUTE(SUBSTITUTE(SUBSTITUTE(SUBSTITUTE(SUBSTITUTE(SUBSTITUTE(Y255," ",""),"-",""),"(",""),")",""),".",""),"+",""),"/",""),CHAR(160),"")</f>
        <v/>
      </c>
      <c r="AA255" s="32">
        <f>IF(Z255="","",IF(LEN(Z255)=10,"+1"&amp;Z255,IF(AND(LEN(Z255)=11,LEFT(Z255,1)="1"),"+"&amp;Z255,IF(LEFT(Y255,1)="+","+"&amp;Z255,Z255))))</f>
        <v/>
      </c>
      <c r="AB255" s="32">
        <f>IF(TRIM(A255&amp;"")="","",IF(TRIM(M255&amp;"")&lt;&gt;"",TRIM(M255&amp;""),IFERROR(LEFT(TRIM(A255&amp;""),FIND(" ",TRIM(A255&amp;""))-1),TRIM(A255&amp;""))))</f>
        <v/>
      </c>
      <c r="AC255" s="32">
        <f>SUBSTITUTE(SUBSTITUTE(SUBSTITUTE(SUBSTITUTE(SUBSTITUTE(SUBSTITUTE(SUBSTITUTE(SUBSTITUTE(SUBSTITUTE(SUBSTITUTE(AB255,"%","%25"),"&amp;","%26"),"#","%23"),"+","%2B"),"=","%3D"),"?","%3F"),CHAR(34),"%22"),CHAR(10),"%0A"),CHAR(13),"")," ","+")</f>
        <v/>
      </c>
      <c r="AD255" s="32">
        <f>IF(OR(AA255="",AB255=""),"",'Start Here'!$B$20&amp;"#p="&amp;SUBSTITUTE(AA255,"+","%2B")&amp;"&amp;n="&amp;AC255&amp;"&amp;m="&amp;SUBSTITUTE('Start Here'!$B$24,"{name}",AC255))</f>
        <v/>
      </c>
      <c r="AE255" s="32">
        <f>LEN(AD255)</f>
        <v/>
      </c>
      <c r="AF255" s="32">
        <f>IF(AND(TRIM(A255&amp;"")&lt;&gt;"",OR(B255="Awaiting",B255="Not sure yet")),1,0)</f>
        <v/>
      </c>
      <c r="AG255" s="32">
        <f>N(AG254)+AF255</f>
        <v/>
      </c>
      <c r="AH255" s="32">
        <f>IF(AF255=1,AG255,"")</f>
        <v/>
      </c>
      <c r="AI255" s="32">
        <f>IF(AND(TRIM(A255&amp;"")&lt;&gt;"",L255&amp;""&lt;&gt;"",L255&amp;""=Seating!$I$3&amp;"",B255&lt;&gt;"Declined"),1,0)</f>
        <v/>
      </c>
      <c r="AJ255" s="32">
        <f>N(AJ254)+AI255</f>
        <v/>
      </c>
      <c r="AK255" s="32">
        <f>IF(AI255=1,AJ255,"")</f>
        <v/>
      </c>
    </row>
    <row r="256">
      <c r="A256" s="10" t="n"/>
      <c r="B256" s="47">
        <f>IF(TRIM(A256&amp;"")="","",IF(W256&lt;&gt;"",W256,IF(I256="","Awaiting",I256)))</f>
        <v/>
      </c>
      <c r="C256" s="60">
        <f>IF(OR(B256="Awaiting",B256="Not sure yet"),IF(AD256&lt;&gt;"",HYPERLINK(AD256,"💬 Remind"),"add mobile"),"")</f>
        <v/>
      </c>
      <c r="D256" s="58" t="n"/>
      <c r="E256" s="10" t="n"/>
      <c r="F256" s="10" t="n"/>
      <c r="G256" s="10" t="n"/>
      <c r="H256" s="10" t="n"/>
      <c r="I256" s="10" t="n"/>
      <c r="J256" s="10" t="n"/>
      <c r="K256" s="10" t="n"/>
      <c r="L256" s="56" t="n"/>
      <c r="M256" s="10" t="n"/>
      <c r="N256" s="12" t="n"/>
      <c r="O256" s="10" t="n"/>
      <c r="P256" s="10" t="n"/>
      <c r="Q256" s="61">
        <f>IF(V256="","",IF(T256="","Covered by "&amp;INDEX('Form Calc'!$B:$B,V256)&amp;"'s reply (same party)","Replied "&amp;TEXT(INDEX('Form Calc'!$A:$A,T256),"mm/dd")&amp;" · "&amp;INDEX('Form Calc'!$H:$H,T256)&amp;" adult(s), "&amp;INDEX('Form Calc'!$I:$I,T256)&amp;" child(ren)"&amp;IF(INDEX('Form Calc'!$K:$K,T256)&lt;&gt;""," · "&amp;INDEX('Form Calc'!$K:$K,T256),"")&amp;IF(INDEX('Form Calc'!$M:$M,T256)&lt;&gt;""," · “"&amp;INDEX('Form Calc'!$M:$M,T256)&amp;"”","")))</f>
        <v/>
      </c>
      <c r="R256" s="32">
        <f>SUBSTITUTE(SUBSTITUTE(SUBSTITUTE(SUBSTITUTE(SUBSTITUTE(SUBSTITUTE(SUBSTITUTE(SUBSTITUTE(D256&amp;""," ",""),"-",""),"(",""),")",""),".",""),"+",""),"/",""),CHAR(160),"")</f>
        <v/>
      </c>
      <c r="S256" s="32">
        <f>IF(LEN(R256)&gt;=10,RIGHT(R256,10),R256)</f>
        <v/>
      </c>
      <c r="T256" s="32">
        <f>IF(TRIM(A256&amp;"")="","",IF(S256&lt;&gt;"",IFERROR(MATCH(S256,'Form Calc'!$P:$P,0),IFERROR(MATCH(TRIM(A256&amp;""),'Form Calc'!$Q:$Q,0),"")),IFERROR(MATCH(TRIM(A256&amp;""),'Form Calc'!$Q:$Q,0),"")))</f>
        <v/>
      </c>
      <c r="U256" s="32">
        <f>IF(AND(T256&lt;&gt;"",TRIM(E256&amp;"")&lt;&gt;""),TRIM(E256&amp;""),"")</f>
        <v/>
      </c>
      <c r="V256" s="32">
        <f>IF(TRIM(A256&amp;"")="","",IF(T256&lt;&gt;"",T256,IF(TRIM(E256&amp;"")="","",IFERROR(INDEX($T$6:$T$505,MATCH(TRIM(E256&amp;""),$U$6:$U$505,0)),""))))</f>
        <v/>
      </c>
      <c r="W256" s="32">
        <f>IF(V256="","",INDEX('Form Calc'!$G:$G,V256))</f>
        <v/>
      </c>
      <c r="X256" s="32">
        <f>IF(TRIM(A256&amp;"")="","",IF(T256&lt;&gt;"",IF(INDEX('Form Calc'!$K:$K,T256)&lt;&gt;"",INDEX('Form Calc'!$K:$K,T256),J256&amp;""),J256&amp;""))</f>
        <v/>
      </c>
      <c r="Y256" s="32">
        <f>IF(TRIM(A256&amp;"")="","",IF(TRIM(D256&amp;"")&lt;&gt;"",TRIM(D256&amp;""),IF(T256&lt;&gt;"",INDEX('Form Calc'!$C:$C,T256)&amp;"","")))</f>
        <v/>
      </c>
      <c r="Z256" s="32">
        <f>SUBSTITUTE(SUBSTITUTE(SUBSTITUTE(SUBSTITUTE(SUBSTITUTE(SUBSTITUTE(SUBSTITUTE(SUBSTITUTE(Y256," ",""),"-",""),"(",""),")",""),".",""),"+",""),"/",""),CHAR(160),"")</f>
        <v/>
      </c>
      <c r="AA256" s="32">
        <f>IF(Z256="","",IF(LEN(Z256)=10,"+1"&amp;Z256,IF(AND(LEN(Z256)=11,LEFT(Z256,1)="1"),"+"&amp;Z256,IF(LEFT(Y256,1)="+","+"&amp;Z256,Z256))))</f>
        <v/>
      </c>
      <c r="AB256" s="32">
        <f>IF(TRIM(A256&amp;"")="","",IF(TRIM(M256&amp;"")&lt;&gt;"",TRIM(M256&amp;""),IFERROR(LEFT(TRIM(A256&amp;""),FIND(" ",TRIM(A256&amp;""))-1),TRIM(A256&amp;""))))</f>
        <v/>
      </c>
      <c r="AC256" s="32">
        <f>SUBSTITUTE(SUBSTITUTE(SUBSTITUTE(SUBSTITUTE(SUBSTITUTE(SUBSTITUTE(SUBSTITUTE(SUBSTITUTE(SUBSTITUTE(SUBSTITUTE(AB256,"%","%25"),"&amp;","%26"),"#","%23"),"+","%2B"),"=","%3D"),"?","%3F"),CHAR(34),"%22"),CHAR(10),"%0A"),CHAR(13),"")," ","+")</f>
        <v/>
      </c>
      <c r="AD256" s="32">
        <f>IF(OR(AA256="",AB256=""),"",'Start Here'!$B$20&amp;"#p="&amp;SUBSTITUTE(AA256,"+","%2B")&amp;"&amp;n="&amp;AC256&amp;"&amp;m="&amp;SUBSTITUTE('Start Here'!$B$24,"{name}",AC256))</f>
        <v/>
      </c>
      <c r="AE256" s="32">
        <f>LEN(AD256)</f>
        <v/>
      </c>
      <c r="AF256" s="32">
        <f>IF(AND(TRIM(A256&amp;"")&lt;&gt;"",OR(B256="Awaiting",B256="Not sure yet")),1,0)</f>
        <v/>
      </c>
      <c r="AG256" s="32">
        <f>N(AG255)+AF256</f>
        <v/>
      </c>
      <c r="AH256" s="32">
        <f>IF(AF256=1,AG256,"")</f>
        <v/>
      </c>
      <c r="AI256" s="32">
        <f>IF(AND(TRIM(A256&amp;"")&lt;&gt;"",L256&amp;""&lt;&gt;"",L256&amp;""=Seating!$I$3&amp;"",B256&lt;&gt;"Declined"),1,0)</f>
        <v/>
      </c>
      <c r="AJ256" s="32">
        <f>N(AJ255)+AI256</f>
        <v/>
      </c>
      <c r="AK256" s="32">
        <f>IF(AI256=1,AJ256,"")</f>
        <v/>
      </c>
    </row>
    <row r="257">
      <c r="A257" s="10" t="n"/>
      <c r="B257" s="47">
        <f>IF(TRIM(A257&amp;"")="","",IF(W257&lt;&gt;"",W257,IF(I257="","Awaiting",I257)))</f>
        <v/>
      </c>
      <c r="C257" s="60">
        <f>IF(OR(B257="Awaiting",B257="Not sure yet"),IF(AD257&lt;&gt;"",HYPERLINK(AD257,"💬 Remind"),"add mobile"),"")</f>
        <v/>
      </c>
      <c r="D257" s="58" t="n"/>
      <c r="E257" s="10" t="n"/>
      <c r="F257" s="10" t="n"/>
      <c r="G257" s="10" t="n"/>
      <c r="H257" s="10" t="n"/>
      <c r="I257" s="10" t="n"/>
      <c r="J257" s="10" t="n"/>
      <c r="K257" s="10" t="n"/>
      <c r="L257" s="56" t="n"/>
      <c r="M257" s="10" t="n"/>
      <c r="N257" s="12" t="n"/>
      <c r="O257" s="10" t="n"/>
      <c r="P257" s="10" t="n"/>
      <c r="Q257" s="61">
        <f>IF(V257="","",IF(T257="","Covered by "&amp;INDEX('Form Calc'!$B:$B,V257)&amp;"'s reply (same party)","Replied "&amp;TEXT(INDEX('Form Calc'!$A:$A,T257),"mm/dd")&amp;" · "&amp;INDEX('Form Calc'!$H:$H,T257)&amp;" adult(s), "&amp;INDEX('Form Calc'!$I:$I,T257)&amp;" child(ren)"&amp;IF(INDEX('Form Calc'!$K:$K,T257)&lt;&gt;""," · "&amp;INDEX('Form Calc'!$K:$K,T257),"")&amp;IF(INDEX('Form Calc'!$M:$M,T257)&lt;&gt;""," · “"&amp;INDEX('Form Calc'!$M:$M,T257)&amp;"”","")))</f>
        <v/>
      </c>
      <c r="R257" s="32">
        <f>SUBSTITUTE(SUBSTITUTE(SUBSTITUTE(SUBSTITUTE(SUBSTITUTE(SUBSTITUTE(SUBSTITUTE(SUBSTITUTE(D257&amp;""," ",""),"-",""),"(",""),")",""),".",""),"+",""),"/",""),CHAR(160),"")</f>
        <v/>
      </c>
      <c r="S257" s="32">
        <f>IF(LEN(R257)&gt;=10,RIGHT(R257,10),R257)</f>
        <v/>
      </c>
      <c r="T257" s="32">
        <f>IF(TRIM(A257&amp;"")="","",IF(S257&lt;&gt;"",IFERROR(MATCH(S257,'Form Calc'!$P:$P,0),IFERROR(MATCH(TRIM(A257&amp;""),'Form Calc'!$Q:$Q,0),"")),IFERROR(MATCH(TRIM(A257&amp;""),'Form Calc'!$Q:$Q,0),"")))</f>
        <v/>
      </c>
      <c r="U257" s="32">
        <f>IF(AND(T257&lt;&gt;"",TRIM(E257&amp;"")&lt;&gt;""),TRIM(E257&amp;""),"")</f>
        <v/>
      </c>
      <c r="V257" s="32">
        <f>IF(TRIM(A257&amp;"")="","",IF(T257&lt;&gt;"",T257,IF(TRIM(E257&amp;"")="","",IFERROR(INDEX($T$6:$T$505,MATCH(TRIM(E257&amp;""),$U$6:$U$505,0)),""))))</f>
        <v/>
      </c>
      <c r="W257" s="32">
        <f>IF(V257="","",INDEX('Form Calc'!$G:$G,V257))</f>
        <v/>
      </c>
      <c r="X257" s="32">
        <f>IF(TRIM(A257&amp;"")="","",IF(T257&lt;&gt;"",IF(INDEX('Form Calc'!$K:$K,T257)&lt;&gt;"",INDEX('Form Calc'!$K:$K,T257),J257&amp;""),J257&amp;""))</f>
        <v/>
      </c>
      <c r="Y257" s="32">
        <f>IF(TRIM(A257&amp;"")="","",IF(TRIM(D257&amp;"")&lt;&gt;"",TRIM(D257&amp;""),IF(T257&lt;&gt;"",INDEX('Form Calc'!$C:$C,T257)&amp;"","")))</f>
        <v/>
      </c>
      <c r="Z257" s="32">
        <f>SUBSTITUTE(SUBSTITUTE(SUBSTITUTE(SUBSTITUTE(SUBSTITUTE(SUBSTITUTE(SUBSTITUTE(SUBSTITUTE(Y257," ",""),"-",""),"(",""),")",""),".",""),"+",""),"/",""),CHAR(160),"")</f>
        <v/>
      </c>
      <c r="AA257" s="32">
        <f>IF(Z257="","",IF(LEN(Z257)=10,"+1"&amp;Z257,IF(AND(LEN(Z257)=11,LEFT(Z257,1)="1"),"+"&amp;Z257,IF(LEFT(Y257,1)="+","+"&amp;Z257,Z257))))</f>
        <v/>
      </c>
      <c r="AB257" s="32">
        <f>IF(TRIM(A257&amp;"")="","",IF(TRIM(M257&amp;"")&lt;&gt;"",TRIM(M257&amp;""),IFERROR(LEFT(TRIM(A257&amp;""),FIND(" ",TRIM(A257&amp;""))-1),TRIM(A257&amp;""))))</f>
        <v/>
      </c>
      <c r="AC257" s="32">
        <f>SUBSTITUTE(SUBSTITUTE(SUBSTITUTE(SUBSTITUTE(SUBSTITUTE(SUBSTITUTE(SUBSTITUTE(SUBSTITUTE(SUBSTITUTE(SUBSTITUTE(AB257,"%","%25"),"&amp;","%26"),"#","%23"),"+","%2B"),"=","%3D"),"?","%3F"),CHAR(34),"%22"),CHAR(10),"%0A"),CHAR(13),"")," ","+")</f>
        <v/>
      </c>
      <c r="AD257" s="32">
        <f>IF(OR(AA257="",AB257=""),"",'Start Here'!$B$20&amp;"#p="&amp;SUBSTITUTE(AA257,"+","%2B")&amp;"&amp;n="&amp;AC257&amp;"&amp;m="&amp;SUBSTITUTE('Start Here'!$B$24,"{name}",AC257))</f>
        <v/>
      </c>
      <c r="AE257" s="32">
        <f>LEN(AD257)</f>
        <v/>
      </c>
      <c r="AF257" s="32">
        <f>IF(AND(TRIM(A257&amp;"")&lt;&gt;"",OR(B257="Awaiting",B257="Not sure yet")),1,0)</f>
        <v/>
      </c>
      <c r="AG257" s="32">
        <f>N(AG256)+AF257</f>
        <v/>
      </c>
      <c r="AH257" s="32">
        <f>IF(AF257=1,AG257,"")</f>
        <v/>
      </c>
      <c r="AI257" s="32">
        <f>IF(AND(TRIM(A257&amp;"")&lt;&gt;"",L257&amp;""&lt;&gt;"",L257&amp;""=Seating!$I$3&amp;"",B257&lt;&gt;"Declined"),1,0)</f>
        <v/>
      </c>
      <c r="AJ257" s="32">
        <f>N(AJ256)+AI257</f>
        <v/>
      </c>
      <c r="AK257" s="32">
        <f>IF(AI257=1,AJ257,"")</f>
        <v/>
      </c>
    </row>
    <row r="258">
      <c r="A258" s="10" t="n"/>
      <c r="B258" s="47">
        <f>IF(TRIM(A258&amp;"")="","",IF(W258&lt;&gt;"",W258,IF(I258="","Awaiting",I258)))</f>
        <v/>
      </c>
      <c r="C258" s="60">
        <f>IF(OR(B258="Awaiting",B258="Not sure yet"),IF(AD258&lt;&gt;"",HYPERLINK(AD258,"💬 Remind"),"add mobile"),"")</f>
        <v/>
      </c>
      <c r="D258" s="58" t="n"/>
      <c r="E258" s="10" t="n"/>
      <c r="F258" s="10" t="n"/>
      <c r="G258" s="10" t="n"/>
      <c r="H258" s="10" t="n"/>
      <c r="I258" s="10" t="n"/>
      <c r="J258" s="10" t="n"/>
      <c r="K258" s="10" t="n"/>
      <c r="L258" s="56" t="n"/>
      <c r="M258" s="10" t="n"/>
      <c r="N258" s="12" t="n"/>
      <c r="O258" s="10" t="n"/>
      <c r="P258" s="10" t="n"/>
      <c r="Q258" s="61">
        <f>IF(V258="","",IF(T258="","Covered by "&amp;INDEX('Form Calc'!$B:$B,V258)&amp;"'s reply (same party)","Replied "&amp;TEXT(INDEX('Form Calc'!$A:$A,T258),"mm/dd")&amp;" · "&amp;INDEX('Form Calc'!$H:$H,T258)&amp;" adult(s), "&amp;INDEX('Form Calc'!$I:$I,T258)&amp;" child(ren)"&amp;IF(INDEX('Form Calc'!$K:$K,T258)&lt;&gt;""," · "&amp;INDEX('Form Calc'!$K:$K,T258),"")&amp;IF(INDEX('Form Calc'!$M:$M,T258)&lt;&gt;""," · “"&amp;INDEX('Form Calc'!$M:$M,T258)&amp;"”","")))</f>
        <v/>
      </c>
      <c r="R258" s="32">
        <f>SUBSTITUTE(SUBSTITUTE(SUBSTITUTE(SUBSTITUTE(SUBSTITUTE(SUBSTITUTE(SUBSTITUTE(SUBSTITUTE(D258&amp;""," ",""),"-",""),"(",""),")",""),".",""),"+",""),"/",""),CHAR(160),"")</f>
        <v/>
      </c>
      <c r="S258" s="32">
        <f>IF(LEN(R258)&gt;=10,RIGHT(R258,10),R258)</f>
        <v/>
      </c>
      <c r="T258" s="32">
        <f>IF(TRIM(A258&amp;"")="","",IF(S258&lt;&gt;"",IFERROR(MATCH(S258,'Form Calc'!$P:$P,0),IFERROR(MATCH(TRIM(A258&amp;""),'Form Calc'!$Q:$Q,0),"")),IFERROR(MATCH(TRIM(A258&amp;""),'Form Calc'!$Q:$Q,0),"")))</f>
        <v/>
      </c>
      <c r="U258" s="32">
        <f>IF(AND(T258&lt;&gt;"",TRIM(E258&amp;"")&lt;&gt;""),TRIM(E258&amp;""),"")</f>
        <v/>
      </c>
      <c r="V258" s="32">
        <f>IF(TRIM(A258&amp;"")="","",IF(T258&lt;&gt;"",T258,IF(TRIM(E258&amp;"")="","",IFERROR(INDEX($T$6:$T$505,MATCH(TRIM(E258&amp;""),$U$6:$U$505,0)),""))))</f>
        <v/>
      </c>
      <c r="W258" s="32">
        <f>IF(V258="","",INDEX('Form Calc'!$G:$G,V258))</f>
        <v/>
      </c>
      <c r="X258" s="32">
        <f>IF(TRIM(A258&amp;"")="","",IF(T258&lt;&gt;"",IF(INDEX('Form Calc'!$K:$K,T258)&lt;&gt;"",INDEX('Form Calc'!$K:$K,T258),J258&amp;""),J258&amp;""))</f>
        <v/>
      </c>
      <c r="Y258" s="32">
        <f>IF(TRIM(A258&amp;"")="","",IF(TRIM(D258&amp;"")&lt;&gt;"",TRIM(D258&amp;""),IF(T258&lt;&gt;"",INDEX('Form Calc'!$C:$C,T258)&amp;"","")))</f>
        <v/>
      </c>
      <c r="Z258" s="32">
        <f>SUBSTITUTE(SUBSTITUTE(SUBSTITUTE(SUBSTITUTE(SUBSTITUTE(SUBSTITUTE(SUBSTITUTE(SUBSTITUTE(Y258," ",""),"-",""),"(",""),")",""),".",""),"+",""),"/",""),CHAR(160),"")</f>
        <v/>
      </c>
      <c r="AA258" s="32">
        <f>IF(Z258="","",IF(LEN(Z258)=10,"+1"&amp;Z258,IF(AND(LEN(Z258)=11,LEFT(Z258,1)="1"),"+"&amp;Z258,IF(LEFT(Y258,1)="+","+"&amp;Z258,Z258))))</f>
        <v/>
      </c>
      <c r="AB258" s="32">
        <f>IF(TRIM(A258&amp;"")="","",IF(TRIM(M258&amp;"")&lt;&gt;"",TRIM(M258&amp;""),IFERROR(LEFT(TRIM(A258&amp;""),FIND(" ",TRIM(A258&amp;""))-1),TRIM(A258&amp;""))))</f>
        <v/>
      </c>
      <c r="AC258" s="32">
        <f>SUBSTITUTE(SUBSTITUTE(SUBSTITUTE(SUBSTITUTE(SUBSTITUTE(SUBSTITUTE(SUBSTITUTE(SUBSTITUTE(SUBSTITUTE(SUBSTITUTE(AB258,"%","%25"),"&amp;","%26"),"#","%23"),"+","%2B"),"=","%3D"),"?","%3F"),CHAR(34),"%22"),CHAR(10),"%0A"),CHAR(13),"")," ","+")</f>
        <v/>
      </c>
      <c r="AD258" s="32">
        <f>IF(OR(AA258="",AB258=""),"",'Start Here'!$B$20&amp;"#p="&amp;SUBSTITUTE(AA258,"+","%2B")&amp;"&amp;n="&amp;AC258&amp;"&amp;m="&amp;SUBSTITUTE('Start Here'!$B$24,"{name}",AC258))</f>
        <v/>
      </c>
      <c r="AE258" s="32">
        <f>LEN(AD258)</f>
        <v/>
      </c>
      <c r="AF258" s="32">
        <f>IF(AND(TRIM(A258&amp;"")&lt;&gt;"",OR(B258="Awaiting",B258="Not sure yet")),1,0)</f>
        <v/>
      </c>
      <c r="AG258" s="32">
        <f>N(AG257)+AF258</f>
        <v/>
      </c>
      <c r="AH258" s="32">
        <f>IF(AF258=1,AG258,"")</f>
        <v/>
      </c>
      <c r="AI258" s="32">
        <f>IF(AND(TRIM(A258&amp;"")&lt;&gt;"",L258&amp;""&lt;&gt;"",L258&amp;""=Seating!$I$3&amp;"",B258&lt;&gt;"Declined"),1,0)</f>
        <v/>
      </c>
      <c r="AJ258" s="32">
        <f>N(AJ257)+AI258</f>
        <v/>
      </c>
      <c r="AK258" s="32">
        <f>IF(AI258=1,AJ258,"")</f>
        <v/>
      </c>
    </row>
    <row r="259">
      <c r="A259" s="10" t="n"/>
      <c r="B259" s="47">
        <f>IF(TRIM(A259&amp;"")="","",IF(W259&lt;&gt;"",W259,IF(I259="","Awaiting",I259)))</f>
        <v/>
      </c>
      <c r="C259" s="60">
        <f>IF(OR(B259="Awaiting",B259="Not sure yet"),IF(AD259&lt;&gt;"",HYPERLINK(AD259,"💬 Remind"),"add mobile"),"")</f>
        <v/>
      </c>
      <c r="D259" s="58" t="n"/>
      <c r="E259" s="10" t="n"/>
      <c r="F259" s="10" t="n"/>
      <c r="G259" s="10" t="n"/>
      <c r="H259" s="10" t="n"/>
      <c r="I259" s="10" t="n"/>
      <c r="J259" s="10" t="n"/>
      <c r="K259" s="10" t="n"/>
      <c r="L259" s="56" t="n"/>
      <c r="M259" s="10" t="n"/>
      <c r="N259" s="12" t="n"/>
      <c r="O259" s="10" t="n"/>
      <c r="P259" s="10" t="n"/>
      <c r="Q259" s="61">
        <f>IF(V259="","",IF(T259="","Covered by "&amp;INDEX('Form Calc'!$B:$B,V259)&amp;"'s reply (same party)","Replied "&amp;TEXT(INDEX('Form Calc'!$A:$A,T259),"mm/dd")&amp;" · "&amp;INDEX('Form Calc'!$H:$H,T259)&amp;" adult(s), "&amp;INDEX('Form Calc'!$I:$I,T259)&amp;" child(ren)"&amp;IF(INDEX('Form Calc'!$K:$K,T259)&lt;&gt;""," · "&amp;INDEX('Form Calc'!$K:$K,T259),"")&amp;IF(INDEX('Form Calc'!$M:$M,T259)&lt;&gt;""," · “"&amp;INDEX('Form Calc'!$M:$M,T259)&amp;"”","")))</f>
        <v/>
      </c>
      <c r="R259" s="32">
        <f>SUBSTITUTE(SUBSTITUTE(SUBSTITUTE(SUBSTITUTE(SUBSTITUTE(SUBSTITUTE(SUBSTITUTE(SUBSTITUTE(D259&amp;""," ",""),"-",""),"(",""),")",""),".",""),"+",""),"/",""),CHAR(160),"")</f>
        <v/>
      </c>
      <c r="S259" s="32">
        <f>IF(LEN(R259)&gt;=10,RIGHT(R259,10),R259)</f>
        <v/>
      </c>
      <c r="T259" s="32">
        <f>IF(TRIM(A259&amp;"")="","",IF(S259&lt;&gt;"",IFERROR(MATCH(S259,'Form Calc'!$P:$P,0),IFERROR(MATCH(TRIM(A259&amp;""),'Form Calc'!$Q:$Q,0),"")),IFERROR(MATCH(TRIM(A259&amp;""),'Form Calc'!$Q:$Q,0),"")))</f>
        <v/>
      </c>
      <c r="U259" s="32">
        <f>IF(AND(T259&lt;&gt;"",TRIM(E259&amp;"")&lt;&gt;""),TRIM(E259&amp;""),"")</f>
        <v/>
      </c>
      <c r="V259" s="32">
        <f>IF(TRIM(A259&amp;"")="","",IF(T259&lt;&gt;"",T259,IF(TRIM(E259&amp;"")="","",IFERROR(INDEX($T$6:$T$505,MATCH(TRIM(E259&amp;""),$U$6:$U$505,0)),""))))</f>
        <v/>
      </c>
      <c r="W259" s="32">
        <f>IF(V259="","",INDEX('Form Calc'!$G:$G,V259))</f>
        <v/>
      </c>
      <c r="X259" s="32">
        <f>IF(TRIM(A259&amp;"")="","",IF(T259&lt;&gt;"",IF(INDEX('Form Calc'!$K:$K,T259)&lt;&gt;"",INDEX('Form Calc'!$K:$K,T259),J259&amp;""),J259&amp;""))</f>
        <v/>
      </c>
      <c r="Y259" s="32">
        <f>IF(TRIM(A259&amp;"")="","",IF(TRIM(D259&amp;"")&lt;&gt;"",TRIM(D259&amp;""),IF(T259&lt;&gt;"",INDEX('Form Calc'!$C:$C,T259)&amp;"","")))</f>
        <v/>
      </c>
      <c r="Z259" s="32">
        <f>SUBSTITUTE(SUBSTITUTE(SUBSTITUTE(SUBSTITUTE(SUBSTITUTE(SUBSTITUTE(SUBSTITUTE(SUBSTITUTE(Y259," ",""),"-",""),"(",""),")",""),".",""),"+",""),"/",""),CHAR(160),"")</f>
        <v/>
      </c>
      <c r="AA259" s="32">
        <f>IF(Z259="","",IF(LEN(Z259)=10,"+1"&amp;Z259,IF(AND(LEN(Z259)=11,LEFT(Z259,1)="1"),"+"&amp;Z259,IF(LEFT(Y259,1)="+","+"&amp;Z259,Z259))))</f>
        <v/>
      </c>
      <c r="AB259" s="32">
        <f>IF(TRIM(A259&amp;"")="","",IF(TRIM(M259&amp;"")&lt;&gt;"",TRIM(M259&amp;""),IFERROR(LEFT(TRIM(A259&amp;""),FIND(" ",TRIM(A259&amp;""))-1),TRIM(A259&amp;""))))</f>
        <v/>
      </c>
      <c r="AC259" s="32">
        <f>SUBSTITUTE(SUBSTITUTE(SUBSTITUTE(SUBSTITUTE(SUBSTITUTE(SUBSTITUTE(SUBSTITUTE(SUBSTITUTE(SUBSTITUTE(SUBSTITUTE(AB259,"%","%25"),"&amp;","%26"),"#","%23"),"+","%2B"),"=","%3D"),"?","%3F"),CHAR(34),"%22"),CHAR(10),"%0A"),CHAR(13),"")," ","+")</f>
        <v/>
      </c>
      <c r="AD259" s="32">
        <f>IF(OR(AA259="",AB259=""),"",'Start Here'!$B$20&amp;"#p="&amp;SUBSTITUTE(AA259,"+","%2B")&amp;"&amp;n="&amp;AC259&amp;"&amp;m="&amp;SUBSTITUTE('Start Here'!$B$24,"{name}",AC259))</f>
        <v/>
      </c>
      <c r="AE259" s="32">
        <f>LEN(AD259)</f>
        <v/>
      </c>
      <c r="AF259" s="32">
        <f>IF(AND(TRIM(A259&amp;"")&lt;&gt;"",OR(B259="Awaiting",B259="Not sure yet")),1,0)</f>
        <v/>
      </c>
      <c r="AG259" s="32">
        <f>N(AG258)+AF259</f>
        <v/>
      </c>
      <c r="AH259" s="32">
        <f>IF(AF259=1,AG259,"")</f>
        <v/>
      </c>
      <c r="AI259" s="32">
        <f>IF(AND(TRIM(A259&amp;"")&lt;&gt;"",L259&amp;""&lt;&gt;"",L259&amp;""=Seating!$I$3&amp;"",B259&lt;&gt;"Declined"),1,0)</f>
        <v/>
      </c>
      <c r="AJ259" s="32">
        <f>N(AJ258)+AI259</f>
        <v/>
      </c>
      <c r="AK259" s="32">
        <f>IF(AI259=1,AJ259,"")</f>
        <v/>
      </c>
    </row>
    <row r="260">
      <c r="A260" s="10" t="n"/>
      <c r="B260" s="47">
        <f>IF(TRIM(A260&amp;"")="","",IF(W260&lt;&gt;"",W260,IF(I260="","Awaiting",I260)))</f>
        <v/>
      </c>
      <c r="C260" s="60">
        <f>IF(OR(B260="Awaiting",B260="Not sure yet"),IF(AD260&lt;&gt;"",HYPERLINK(AD260,"💬 Remind"),"add mobile"),"")</f>
        <v/>
      </c>
      <c r="D260" s="58" t="n"/>
      <c r="E260" s="10" t="n"/>
      <c r="F260" s="10" t="n"/>
      <c r="G260" s="10" t="n"/>
      <c r="H260" s="10" t="n"/>
      <c r="I260" s="10" t="n"/>
      <c r="J260" s="10" t="n"/>
      <c r="K260" s="10" t="n"/>
      <c r="L260" s="56" t="n"/>
      <c r="M260" s="10" t="n"/>
      <c r="N260" s="12" t="n"/>
      <c r="O260" s="10" t="n"/>
      <c r="P260" s="10" t="n"/>
      <c r="Q260" s="61">
        <f>IF(V260="","",IF(T260="","Covered by "&amp;INDEX('Form Calc'!$B:$B,V260)&amp;"'s reply (same party)","Replied "&amp;TEXT(INDEX('Form Calc'!$A:$A,T260),"mm/dd")&amp;" · "&amp;INDEX('Form Calc'!$H:$H,T260)&amp;" adult(s), "&amp;INDEX('Form Calc'!$I:$I,T260)&amp;" child(ren)"&amp;IF(INDEX('Form Calc'!$K:$K,T260)&lt;&gt;""," · "&amp;INDEX('Form Calc'!$K:$K,T260),"")&amp;IF(INDEX('Form Calc'!$M:$M,T260)&lt;&gt;""," · “"&amp;INDEX('Form Calc'!$M:$M,T260)&amp;"”","")))</f>
        <v/>
      </c>
      <c r="R260" s="32">
        <f>SUBSTITUTE(SUBSTITUTE(SUBSTITUTE(SUBSTITUTE(SUBSTITUTE(SUBSTITUTE(SUBSTITUTE(SUBSTITUTE(D260&amp;""," ",""),"-",""),"(",""),")",""),".",""),"+",""),"/",""),CHAR(160),"")</f>
        <v/>
      </c>
      <c r="S260" s="32">
        <f>IF(LEN(R260)&gt;=10,RIGHT(R260,10),R260)</f>
        <v/>
      </c>
      <c r="T260" s="32">
        <f>IF(TRIM(A260&amp;"")="","",IF(S260&lt;&gt;"",IFERROR(MATCH(S260,'Form Calc'!$P:$P,0),IFERROR(MATCH(TRIM(A260&amp;""),'Form Calc'!$Q:$Q,0),"")),IFERROR(MATCH(TRIM(A260&amp;""),'Form Calc'!$Q:$Q,0),"")))</f>
        <v/>
      </c>
      <c r="U260" s="32">
        <f>IF(AND(T260&lt;&gt;"",TRIM(E260&amp;"")&lt;&gt;""),TRIM(E260&amp;""),"")</f>
        <v/>
      </c>
      <c r="V260" s="32">
        <f>IF(TRIM(A260&amp;"")="","",IF(T260&lt;&gt;"",T260,IF(TRIM(E260&amp;"")="","",IFERROR(INDEX($T$6:$T$505,MATCH(TRIM(E260&amp;""),$U$6:$U$505,0)),""))))</f>
        <v/>
      </c>
      <c r="W260" s="32">
        <f>IF(V260="","",INDEX('Form Calc'!$G:$G,V260))</f>
        <v/>
      </c>
      <c r="X260" s="32">
        <f>IF(TRIM(A260&amp;"")="","",IF(T260&lt;&gt;"",IF(INDEX('Form Calc'!$K:$K,T260)&lt;&gt;"",INDEX('Form Calc'!$K:$K,T260),J260&amp;""),J260&amp;""))</f>
        <v/>
      </c>
      <c r="Y260" s="32">
        <f>IF(TRIM(A260&amp;"")="","",IF(TRIM(D260&amp;"")&lt;&gt;"",TRIM(D260&amp;""),IF(T260&lt;&gt;"",INDEX('Form Calc'!$C:$C,T260)&amp;"","")))</f>
        <v/>
      </c>
      <c r="Z260" s="32">
        <f>SUBSTITUTE(SUBSTITUTE(SUBSTITUTE(SUBSTITUTE(SUBSTITUTE(SUBSTITUTE(SUBSTITUTE(SUBSTITUTE(Y260," ",""),"-",""),"(",""),")",""),".",""),"+",""),"/",""),CHAR(160),"")</f>
        <v/>
      </c>
      <c r="AA260" s="32">
        <f>IF(Z260="","",IF(LEN(Z260)=10,"+1"&amp;Z260,IF(AND(LEN(Z260)=11,LEFT(Z260,1)="1"),"+"&amp;Z260,IF(LEFT(Y260,1)="+","+"&amp;Z260,Z260))))</f>
        <v/>
      </c>
      <c r="AB260" s="32">
        <f>IF(TRIM(A260&amp;"")="","",IF(TRIM(M260&amp;"")&lt;&gt;"",TRIM(M260&amp;""),IFERROR(LEFT(TRIM(A260&amp;""),FIND(" ",TRIM(A260&amp;""))-1),TRIM(A260&amp;""))))</f>
        <v/>
      </c>
      <c r="AC260" s="32">
        <f>SUBSTITUTE(SUBSTITUTE(SUBSTITUTE(SUBSTITUTE(SUBSTITUTE(SUBSTITUTE(SUBSTITUTE(SUBSTITUTE(SUBSTITUTE(SUBSTITUTE(AB260,"%","%25"),"&amp;","%26"),"#","%23"),"+","%2B"),"=","%3D"),"?","%3F"),CHAR(34),"%22"),CHAR(10),"%0A"),CHAR(13),"")," ","+")</f>
        <v/>
      </c>
      <c r="AD260" s="32">
        <f>IF(OR(AA260="",AB260=""),"",'Start Here'!$B$20&amp;"#p="&amp;SUBSTITUTE(AA260,"+","%2B")&amp;"&amp;n="&amp;AC260&amp;"&amp;m="&amp;SUBSTITUTE('Start Here'!$B$24,"{name}",AC260))</f>
        <v/>
      </c>
      <c r="AE260" s="32">
        <f>LEN(AD260)</f>
        <v/>
      </c>
      <c r="AF260" s="32">
        <f>IF(AND(TRIM(A260&amp;"")&lt;&gt;"",OR(B260="Awaiting",B260="Not sure yet")),1,0)</f>
        <v/>
      </c>
      <c r="AG260" s="32">
        <f>N(AG259)+AF260</f>
        <v/>
      </c>
      <c r="AH260" s="32">
        <f>IF(AF260=1,AG260,"")</f>
        <v/>
      </c>
      <c r="AI260" s="32">
        <f>IF(AND(TRIM(A260&amp;"")&lt;&gt;"",L260&amp;""&lt;&gt;"",L260&amp;""=Seating!$I$3&amp;"",B260&lt;&gt;"Declined"),1,0)</f>
        <v/>
      </c>
      <c r="AJ260" s="32">
        <f>N(AJ259)+AI260</f>
        <v/>
      </c>
      <c r="AK260" s="32">
        <f>IF(AI260=1,AJ260,"")</f>
        <v/>
      </c>
    </row>
    <row r="261">
      <c r="A261" s="10" t="n"/>
      <c r="B261" s="47">
        <f>IF(TRIM(A261&amp;"")="","",IF(W261&lt;&gt;"",W261,IF(I261="","Awaiting",I261)))</f>
        <v/>
      </c>
      <c r="C261" s="60">
        <f>IF(OR(B261="Awaiting",B261="Not sure yet"),IF(AD261&lt;&gt;"",HYPERLINK(AD261,"💬 Remind"),"add mobile"),"")</f>
        <v/>
      </c>
      <c r="D261" s="58" t="n"/>
      <c r="E261" s="10" t="n"/>
      <c r="F261" s="10" t="n"/>
      <c r="G261" s="10" t="n"/>
      <c r="H261" s="10" t="n"/>
      <c r="I261" s="10" t="n"/>
      <c r="J261" s="10" t="n"/>
      <c r="K261" s="10" t="n"/>
      <c r="L261" s="56" t="n"/>
      <c r="M261" s="10" t="n"/>
      <c r="N261" s="12" t="n"/>
      <c r="O261" s="10" t="n"/>
      <c r="P261" s="10" t="n"/>
      <c r="Q261" s="61">
        <f>IF(V261="","",IF(T261="","Covered by "&amp;INDEX('Form Calc'!$B:$B,V261)&amp;"'s reply (same party)","Replied "&amp;TEXT(INDEX('Form Calc'!$A:$A,T261),"mm/dd")&amp;" · "&amp;INDEX('Form Calc'!$H:$H,T261)&amp;" adult(s), "&amp;INDEX('Form Calc'!$I:$I,T261)&amp;" child(ren)"&amp;IF(INDEX('Form Calc'!$K:$K,T261)&lt;&gt;""," · "&amp;INDEX('Form Calc'!$K:$K,T261),"")&amp;IF(INDEX('Form Calc'!$M:$M,T261)&lt;&gt;""," · “"&amp;INDEX('Form Calc'!$M:$M,T261)&amp;"”","")))</f>
        <v/>
      </c>
      <c r="R261" s="32">
        <f>SUBSTITUTE(SUBSTITUTE(SUBSTITUTE(SUBSTITUTE(SUBSTITUTE(SUBSTITUTE(SUBSTITUTE(SUBSTITUTE(D261&amp;""," ",""),"-",""),"(",""),")",""),".",""),"+",""),"/",""),CHAR(160),"")</f>
        <v/>
      </c>
      <c r="S261" s="32">
        <f>IF(LEN(R261)&gt;=10,RIGHT(R261,10),R261)</f>
        <v/>
      </c>
      <c r="T261" s="32">
        <f>IF(TRIM(A261&amp;"")="","",IF(S261&lt;&gt;"",IFERROR(MATCH(S261,'Form Calc'!$P:$P,0),IFERROR(MATCH(TRIM(A261&amp;""),'Form Calc'!$Q:$Q,0),"")),IFERROR(MATCH(TRIM(A261&amp;""),'Form Calc'!$Q:$Q,0),"")))</f>
        <v/>
      </c>
      <c r="U261" s="32">
        <f>IF(AND(T261&lt;&gt;"",TRIM(E261&amp;"")&lt;&gt;""),TRIM(E261&amp;""),"")</f>
        <v/>
      </c>
      <c r="V261" s="32">
        <f>IF(TRIM(A261&amp;"")="","",IF(T261&lt;&gt;"",T261,IF(TRIM(E261&amp;"")="","",IFERROR(INDEX($T$6:$T$505,MATCH(TRIM(E261&amp;""),$U$6:$U$505,0)),""))))</f>
        <v/>
      </c>
      <c r="W261" s="32">
        <f>IF(V261="","",INDEX('Form Calc'!$G:$G,V261))</f>
        <v/>
      </c>
      <c r="X261" s="32">
        <f>IF(TRIM(A261&amp;"")="","",IF(T261&lt;&gt;"",IF(INDEX('Form Calc'!$K:$K,T261)&lt;&gt;"",INDEX('Form Calc'!$K:$K,T261),J261&amp;""),J261&amp;""))</f>
        <v/>
      </c>
      <c r="Y261" s="32">
        <f>IF(TRIM(A261&amp;"")="","",IF(TRIM(D261&amp;"")&lt;&gt;"",TRIM(D261&amp;""),IF(T261&lt;&gt;"",INDEX('Form Calc'!$C:$C,T261)&amp;"","")))</f>
        <v/>
      </c>
      <c r="Z261" s="32">
        <f>SUBSTITUTE(SUBSTITUTE(SUBSTITUTE(SUBSTITUTE(SUBSTITUTE(SUBSTITUTE(SUBSTITUTE(SUBSTITUTE(Y261," ",""),"-",""),"(",""),")",""),".",""),"+",""),"/",""),CHAR(160),"")</f>
        <v/>
      </c>
      <c r="AA261" s="32">
        <f>IF(Z261="","",IF(LEN(Z261)=10,"+1"&amp;Z261,IF(AND(LEN(Z261)=11,LEFT(Z261,1)="1"),"+"&amp;Z261,IF(LEFT(Y261,1)="+","+"&amp;Z261,Z261))))</f>
        <v/>
      </c>
      <c r="AB261" s="32">
        <f>IF(TRIM(A261&amp;"")="","",IF(TRIM(M261&amp;"")&lt;&gt;"",TRIM(M261&amp;""),IFERROR(LEFT(TRIM(A261&amp;""),FIND(" ",TRIM(A261&amp;""))-1),TRIM(A261&amp;""))))</f>
        <v/>
      </c>
      <c r="AC261" s="32">
        <f>SUBSTITUTE(SUBSTITUTE(SUBSTITUTE(SUBSTITUTE(SUBSTITUTE(SUBSTITUTE(SUBSTITUTE(SUBSTITUTE(SUBSTITUTE(SUBSTITUTE(AB261,"%","%25"),"&amp;","%26"),"#","%23"),"+","%2B"),"=","%3D"),"?","%3F"),CHAR(34),"%22"),CHAR(10),"%0A"),CHAR(13),"")," ","+")</f>
        <v/>
      </c>
      <c r="AD261" s="32">
        <f>IF(OR(AA261="",AB261=""),"",'Start Here'!$B$20&amp;"#p="&amp;SUBSTITUTE(AA261,"+","%2B")&amp;"&amp;n="&amp;AC261&amp;"&amp;m="&amp;SUBSTITUTE('Start Here'!$B$24,"{name}",AC261))</f>
        <v/>
      </c>
      <c r="AE261" s="32">
        <f>LEN(AD261)</f>
        <v/>
      </c>
      <c r="AF261" s="32">
        <f>IF(AND(TRIM(A261&amp;"")&lt;&gt;"",OR(B261="Awaiting",B261="Not sure yet")),1,0)</f>
        <v/>
      </c>
      <c r="AG261" s="32">
        <f>N(AG260)+AF261</f>
        <v/>
      </c>
      <c r="AH261" s="32">
        <f>IF(AF261=1,AG261,"")</f>
        <v/>
      </c>
      <c r="AI261" s="32">
        <f>IF(AND(TRIM(A261&amp;"")&lt;&gt;"",L261&amp;""&lt;&gt;"",L261&amp;""=Seating!$I$3&amp;"",B261&lt;&gt;"Declined"),1,0)</f>
        <v/>
      </c>
      <c r="AJ261" s="32">
        <f>N(AJ260)+AI261</f>
        <v/>
      </c>
      <c r="AK261" s="32">
        <f>IF(AI261=1,AJ261,"")</f>
        <v/>
      </c>
    </row>
    <row r="262">
      <c r="A262" s="10" t="n"/>
      <c r="B262" s="47">
        <f>IF(TRIM(A262&amp;"")="","",IF(W262&lt;&gt;"",W262,IF(I262="","Awaiting",I262)))</f>
        <v/>
      </c>
      <c r="C262" s="60">
        <f>IF(OR(B262="Awaiting",B262="Not sure yet"),IF(AD262&lt;&gt;"",HYPERLINK(AD262,"💬 Remind"),"add mobile"),"")</f>
        <v/>
      </c>
      <c r="D262" s="58" t="n"/>
      <c r="E262" s="10" t="n"/>
      <c r="F262" s="10" t="n"/>
      <c r="G262" s="10" t="n"/>
      <c r="H262" s="10" t="n"/>
      <c r="I262" s="10" t="n"/>
      <c r="J262" s="10" t="n"/>
      <c r="K262" s="10" t="n"/>
      <c r="L262" s="56" t="n"/>
      <c r="M262" s="10" t="n"/>
      <c r="N262" s="12" t="n"/>
      <c r="O262" s="10" t="n"/>
      <c r="P262" s="10" t="n"/>
      <c r="Q262" s="61">
        <f>IF(V262="","",IF(T262="","Covered by "&amp;INDEX('Form Calc'!$B:$B,V262)&amp;"'s reply (same party)","Replied "&amp;TEXT(INDEX('Form Calc'!$A:$A,T262),"mm/dd")&amp;" · "&amp;INDEX('Form Calc'!$H:$H,T262)&amp;" adult(s), "&amp;INDEX('Form Calc'!$I:$I,T262)&amp;" child(ren)"&amp;IF(INDEX('Form Calc'!$K:$K,T262)&lt;&gt;""," · "&amp;INDEX('Form Calc'!$K:$K,T262),"")&amp;IF(INDEX('Form Calc'!$M:$M,T262)&lt;&gt;""," · “"&amp;INDEX('Form Calc'!$M:$M,T262)&amp;"”","")))</f>
        <v/>
      </c>
      <c r="R262" s="32">
        <f>SUBSTITUTE(SUBSTITUTE(SUBSTITUTE(SUBSTITUTE(SUBSTITUTE(SUBSTITUTE(SUBSTITUTE(SUBSTITUTE(D262&amp;""," ",""),"-",""),"(",""),")",""),".",""),"+",""),"/",""),CHAR(160),"")</f>
        <v/>
      </c>
      <c r="S262" s="32">
        <f>IF(LEN(R262)&gt;=10,RIGHT(R262,10),R262)</f>
        <v/>
      </c>
      <c r="T262" s="32">
        <f>IF(TRIM(A262&amp;"")="","",IF(S262&lt;&gt;"",IFERROR(MATCH(S262,'Form Calc'!$P:$P,0),IFERROR(MATCH(TRIM(A262&amp;""),'Form Calc'!$Q:$Q,0),"")),IFERROR(MATCH(TRIM(A262&amp;""),'Form Calc'!$Q:$Q,0),"")))</f>
        <v/>
      </c>
      <c r="U262" s="32">
        <f>IF(AND(T262&lt;&gt;"",TRIM(E262&amp;"")&lt;&gt;""),TRIM(E262&amp;""),"")</f>
        <v/>
      </c>
      <c r="V262" s="32">
        <f>IF(TRIM(A262&amp;"")="","",IF(T262&lt;&gt;"",T262,IF(TRIM(E262&amp;"")="","",IFERROR(INDEX($T$6:$T$505,MATCH(TRIM(E262&amp;""),$U$6:$U$505,0)),""))))</f>
        <v/>
      </c>
      <c r="W262" s="32">
        <f>IF(V262="","",INDEX('Form Calc'!$G:$G,V262))</f>
        <v/>
      </c>
      <c r="X262" s="32">
        <f>IF(TRIM(A262&amp;"")="","",IF(T262&lt;&gt;"",IF(INDEX('Form Calc'!$K:$K,T262)&lt;&gt;"",INDEX('Form Calc'!$K:$K,T262),J262&amp;""),J262&amp;""))</f>
        <v/>
      </c>
      <c r="Y262" s="32">
        <f>IF(TRIM(A262&amp;"")="","",IF(TRIM(D262&amp;"")&lt;&gt;"",TRIM(D262&amp;""),IF(T262&lt;&gt;"",INDEX('Form Calc'!$C:$C,T262)&amp;"","")))</f>
        <v/>
      </c>
      <c r="Z262" s="32">
        <f>SUBSTITUTE(SUBSTITUTE(SUBSTITUTE(SUBSTITUTE(SUBSTITUTE(SUBSTITUTE(SUBSTITUTE(SUBSTITUTE(Y262," ",""),"-",""),"(",""),")",""),".",""),"+",""),"/",""),CHAR(160),"")</f>
        <v/>
      </c>
      <c r="AA262" s="32">
        <f>IF(Z262="","",IF(LEN(Z262)=10,"+1"&amp;Z262,IF(AND(LEN(Z262)=11,LEFT(Z262,1)="1"),"+"&amp;Z262,IF(LEFT(Y262,1)="+","+"&amp;Z262,Z262))))</f>
        <v/>
      </c>
      <c r="AB262" s="32">
        <f>IF(TRIM(A262&amp;"")="","",IF(TRIM(M262&amp;"")&lt;&gt;"",TRIM(M262&amp;""),IFERROR(LEFT(TRIM(A262&amp;""),FIND(" ",TRIM(A262&amp;""))-1),TRIM(A262&amp;""))))</f>
        <v/>
      </c>
      <c r="AC262" s="32">
        <f>SUBSTITUTE(SUBSTITUTE(SUBSTITUTE(SUBSTITUTE(SUBSTITUTE(SUBSTITUTE(SUBSTITUTE(SUBSTITUTE(SUBSTITUTE(SUBSTITUTE(AB262,"%","%25"),"&amp;","%26"),"#","%23"),"+","%2B"),"=","%3D"),"?","%3F"),CHAR(34),"%22"),CHAR(10),"%0A"),CHAR(13),"")," ","+")</f>
        <v/>
      </c>
      <c r="AD262" s="32">
        <f>IF(OR(AA262="",AB262=""),"",'Start Here'!$B$20&amp;"#p="&amp;SUBSTITUTE(AA262,"+","%2B")&amp;"&amp;n="&amp;AC262&amp;"&amp;m="&amp;SUBSTITUTE('Start Here'!$B$24,"{name}",AC262))</f>
        <v/>
      </c>
      <c r="AE262" s="32">
        <f>LEN(AD262)</f>
        <v/>
      </c>
      <c r="AF262" s="32">
        <f>IF(AND(TRIM(A262&amp;"")&lt;&gt;"",OR(B262="Awaiting",B262="Not sure yet")),1,0)</f>
        <v/>
      </c>
      <c r="AG262" s="32">
        <f>N(AG261)+AF262</f>
        <v/>
      </c>
      <c r="AH262" s="32">
        <f>IF(AF262=1,AG262,"")</f>
        <v/>
      </c>
      <c r="AI262" s="32">
        <f>IF(AND(TRIM(A262&amp;"")&lt;&gt;"",L262&amp;""&lt;&gt;"",L262&amp;""=Seating!$I$3&amp;"",B262&lt;&gt;"Declined"),1,0)</f>
        <v/>
      </c>
      <c r="AJ262" s="32">
        <f>N(AJ261)+AI262</f>
        <v/>
      </c>
      <c r="AK262" s="32">
        <f>IF(AI262=1,AJ262,"")</f>
        <v/>
      </c>
    </row>
    <row r="263">
      <c r="A263" s="10" t="n"/>
      <c r="B263" s="47">
        <f>IF(TRIM(A263&amp;"")="","",IF(W263&lt;&gt;"",W263,IF(I263="","Awaiting",I263)))</f>
        <v/>
      </c>
      <c r="C263" s="60">
        <f>IF(OR(B263="Awaiting",B263="Not sure yet"),IF(AD263&lt;&gt;"",HYPERLINK(AD263,"💬 Remind"),"add mobile"),"")</f>
        <v/>
      </c>
      <c r="D263" s="58" t="n"/>
      <c r="E263" s="10" t="n"/>
      <c r="F263" s="10" t="n"/>
      <c r="G263" s="10" t="n"/>
      <c r="H263" s="10" t="n"/>
      <c r="I263" s="10" t="n"/>
      <c r="J263" s="10" t="n"/>
      <c r="K263" s="10" t="n"/>
      <c r="L263" s="56" t="n"/>
      <c r="M263" s="10" t="n"/>
      <c r="N263" s="12" t="n"/>
      <c r="O263" s="10" t="n"/>
      <c r="P263" s="10" t="n"/>
      <c r="Q263" s="61">
        <f>IF(V263="","",IF(T263="","Covered by "&amp;INDEX('Form Calc'!$B:$B,V263)&amp;"'s reply (same party)","Replied "&amp;TEXT(INDEX('Form Calc'!$A:$A,T263),"mm/dd")&amp;" · "&amp;INDEX('Form Calc'!$H:$H,T263)&amp;" adult(s), "&amp;INDEX('Form Calc'!$I:$I,T263)&amp;" child(ren)"&amp;IF(INDEX('Form Calc'!$K:$K,T263)&lt;&gt;""," · "&amp;INDEX('Form Calc'!$K:$K,T263),"")&amp;IF(INDEX('Form Calc'!$M:$M,T263)&lt;&gt;""," · “"&amp;INDEX('Form Calc'!$M:$M,T263)&amp;"”","")))</f>
        <v/>
      </c>
      <c r="R263" s="32">
        <f>SUBSTITUTE(SUBSTITUTE(SUBSTITUTE(SUBSTITUTE(SUBSTITUTE(SUBSTITUTE(SUBSTITUTE(SUBSTITUTE(D263&amp;""," ",""),"-",""),"(",""),")",""),".",""),"+",""),"/",""),CHAR(160),"")</f>
        <v/>
      </c>
      <c r="S263" s="32">
        <f>IF(LEN(R263)&gt;=10,RIGHT(R263,10),R263)</f>
        <v/>
      </c>
      <c r="T263" s="32">
        <f>IF(TRIM(A263&amp;"")="","",IF(S263&lt;&gt;"",IFERROR(MATCH(S263,'Form Calc'!$P:$P,0),IFERROR(MATCH(TRIM(A263&amp;""),'Form Calc'!$Q:$Q,0),"")),IFERROR(MATCH(TRIM(A263&amp;""),'Form Calc'!$Q:$Q,0),"")))</f>
        <v/>
      </c>
      <c r="U263" s="32">
        <f>IF(AND(T263&lt;&gt;"",TRIM(E263&amp;"")&lt;&gt;""),TRIM(E263&amp;""),"")</f>
        <v/>
      </c>
      <c r="V263" s="32">
        <f>IF(TRIM(A263&amp;"")="","",IF(T263&lt;&gt;"",T263,IF(TRIM(E263&amp;"")="","",IFERROR(INDEX($T$6:$T$505,MATCH(TRIM(E263&amp;""),$U$6:$U$505,0)),""))))</f>
        <v/>
      </c>
      <c r="W263" s="32">
        <f>IF(V263="","",INDEX('Form Calc'!$G:$G,V263))</f>
        <v/>
      </c>
      <c r="X263" s="32">
        <f>IF(TRIM(A263&amp;"")="","",IF(T263&lt;&gt;"",IF(INDEX('Form Calc'!$K:$K,T263)&lt;&gt;"",INDEX('Form Calc'!$K:$K,T263),J263&amp;""),J263&amp;""))</f>
        <v/>
      </c>
      <c r="Y263" s="32">
        <f>IF(TRIM(A263&amp;"")="","",IF(TRIM(D263&amp;"")&lt;&gt;"",TRIM(D263&amp;""),IF(T263&lt;&gt;"",INDEX('Form Calc'!$C:$C,T263)&amp;"","")))</f>
        <v/>
      </c>
      <c r="Z263" s="32">
        <f>SUBSTITUTE(SUBSTITUTE(SUBSTITUTE(SUBSTITUTE(SUBSTITUTE(SUBSTITUTE(SUBSTITUTE(SUBSTITUTE(Y263," ",""),"-",""),"(",""),")",""),".",""),"+",""),"/",""),CHAR(160),"")</f>
        <v/>
      </c>
      <c r="AA263" s="32">
        <f>IF(Z263="","",IF(LEN(Z263)=10,"+1"&amp;Z263,IF(AND(LEN(Z263)=11,LEFT(Z263,1)="1"),"+"&amp;Z263,IF(LEFT(Y263,1)="+","+"&amp;Z263,Z263))))</f>
        <v/>
      </c>
      <c r="AB263" s="32">
        <f>IF(TRIM(A263&amp;"")="","",IF(TRIM(M263&amp;"")&lt;&gt;"",TRIM(M263&amp;""),IFERROR(LEFT(TRIM(A263&amp;""),FIND(" ",TRIM(A263&amp;""))-1),TRIM(A263&amp;""))))</f>
        <v/>
      </c>
      <c r="AC263" s="32">
        <f>SUBSTITUTE(SUBSTITUTE(SUBSTITUTE(SUBSTITUTE(SUBSTITUTE(SUBSTITUTE(SUBSTITUTE(SUBSTITUTE(SUBSTITUTE(SUBSTITUTE(AB263,"%","%25"),"&amp;","%26"),"#","%23"),"+","%2B"),"=","%3D"),"?","%3F"),CHAR(34),"%22"),CHAR(10),"%0A"),CHAR(13),"")," ","+")</f>
        <v/>
      </c>
      <c r="AD263" s="32">
        <f>IF(OR(AA263="",AB263=""),"",'Start Here'!$B$20&amp;"#p="&amp;SUBSTITUTE(AA263,"+","%2B")&amp;"&amp;n="&amp;AC263&amp;"&amp;m="&amp;SUBSTITUTE('Start Here'!$B$24,"{name}",AC263))</f>
        <v/>
      </c>
      <c r="AE263" s="32">
        <f>LEN(AD263)</f>
        <v/>
      </c>
      <c r="AF263" s="32">
        <f>IF(AND(TRIM(A263&amp;"")&lt;&gt;"",OR(B263="Awaiting",B263="Not sure yet")),1,0)</f>
        <v/>
      </c>
      <c r="AG263" s="32">
        <f>N(AG262)+AF263</f>
        <v/>
      </c>
      <c r="AH263" s="32">
        <f>IF(AF263=1,AG263,"")</f>
        <v/>
      </c>
      <c r="AI263" s="32">
        <f>IF(AND(TRIM(A263&amp;"")&lt;&gt;"",L263&amp;""&lt;&gt;"",L263&amp;""=Seating!$I$3&amp;"",B263&lt;&gt;"Declined"),1,0)</f>
        <v/>
      </c>
      <c r="AJ263" s="32">
        <f>N(AJ262)+AI263</f>
        <v/>
      </c>
      <c r="AK263" s="32">
        <f>IF(AI263=1,AJ263,"")</f>
        <v/>
      </c>
    </row>
    <row r="264">
      <c r="A264" s="10" t="n"/>
      <c r="B264" s="47">
        <f>IF(TRIM(A264&amp;"")="","",IF(W264&lt;&gt;"",W264,IF(I264="","Awaiting",I264)))</f>
        <v/>
      </c>
      <c r="C264" s="60">
        <f>IF(OR(B264="Awaiting",B264="Not sure yet"),IF(AD264&lt;&gt;"",HYPERLINK(AD264,"💬 Remind"),"add mobile"),"")</f>
        <v/>
      </c>
      <c r="D264" s="58" t="n"/>
      <c r="E264" s="10" t="n"/>
      <c r="F264" s="10" t="n"/>
      <c r="G264" s="10" t="n"/>
      <c r="H264" s="10" t="n"/>
      <c r="I264" s="10" t="n"/>
      <c r="J264" s="10" t="n"/>
      <c r="K264" s="10" t="n"/>
      <c r="L264" s="56" t="n"/>
      <c r="M264" s="10" t="n"/>
      <c r="N264" s="12" t="n"/>
      <c r="O264" s="10" t="n"/>
      <c r="P264" s="10" t="n"/>
      <c r="Q264" s="61">
        <f>IF(V264="","",IF(T264="","Covered by "&amp;INDEX('Form Calc'!$B:$B,V264)&amp;"'s reply (same party)","Replied "&amp;TEXT(INDEX('Form Calc'!$A:$A,T264),"mm/dd")&amp;" · "&amp;INDEX('Form Calc'!$H:$H,T264)&amp;" adult(s), "&amp;INDEX('Form Calc'!$I:$I,T264)&amp;" child(ren)"&amp;IF(INDEX('Form Calc'!$K:$K,T264)&lt;&gt;""," · "&amp;INDEX('Form Calc'!$K:$K,T264),"")&amp;IF(INDEX('Form Calc'!$M:$M,T264)&lt;&gt;""," · “"&amp;INDEX('Form Calc'!$M:$M,T264)&amp;"”","")))</f>
        <v/>
      </c>
      <c r="R264" s="32">
        <f>SUBSTITUTE(SUBSTITUTE(SUBSTITUTE(SUBSTITUTE(SUBSTITUTE(SUBSTITUTE(SUBSTITUTE(SUBSTITUTE(D264&amp;""," ",""),"-",""),"(",""),")",""),".",""),"+",""),"/",""),CHAR(160),"")</f>
        <v/>
      </c>
      <c r="S264" s="32">
        <f>IF(LEN(R264)&gt;=10,RIGHT(R264,10),R264)</f>
        <v/>
      </c>
      <c r="T264" s="32">
        <f>IF(TRIM(A264&amp;"")="","",IF(S264&lt;&gt;"",IFERROR(MATCH(S264,'Form Calc'!$P:$P,0),IFERROR(MATCH(TRIM(A264&amp;""),'Form Calc'!$Q:$Q,0),"")),IFERROR(MATCH(TRIM(A264&amp;""),'Form Calc'!$Q:$Q,0),"")))</f>
        <v/>
      </c>
      <c r="U264" s="32">
        <f>IF(AND(T264&lt;&gt;"",TRIM(E264&amp;"")&lt;&gt;""),TRIM(E264&amp;""),"")</f>
        <v/>
      </c>
      <c r="V264" s="32">
        <f>IF(TRIM(A264&amp;"")="","",IF(T264&lt;&gt;"",T264,IF(TRIM(E264&amp;"")="","",IFERROR(INDEX($T$6:$T$505,MATCH(TRIM(E264&amp;""),$U$6:$U$505,0)),""))))</f>
        <v/>
      </c>
      <c r="W264" s="32">
        <f>IF(V264="","",INDEX('Form Calc'!$G:$G,V264))</f>
        <v/>
      </c>
      <c r="X264" s="32">
        <f>IF(TRIM(A264&amp;"")="","",IF(T264&lt;&gt;"",IF(INDEX('Form Calc'!$K:$K,T264)&lt;&gt;"",INDEX('Form Calc'!$K:$K,T264),J264&amp;""),J264&amp;""))</f>
        <v/>
      </c>
      <c r="Y264" s="32">
        <f>IF(TRIM(A264&amp;"")="","",IF(TRIM(D264&amp;"")&lt;&gt;"",TRIM(D264&amp;""),IF(T264&lt;&gt;"",INDEX('Form Calc'!$C:$C,T264)&amp;"","")))</f>
        <v/>
      </c>
      <c r="Z264" s="32">
        <f>SUBSTITUTE(SUBSTITUTE(SUBSTITUTE(SUBSTITUTE(SUBSTITUTE(SUBSTITUTE(SUBSTITUTE(SUBSTITUTE(Y264," ",""),"-",""),"(",""),")",""),".",""),"+",""),"/",""),CHAR(160),"")</f>
        <v/>
      </c>
      <c r="AA264" s="32">
        <f>IF(Z264="","",IF(LEN(Z264)=10,"+1"&amp;Z264,IF(AND(LEN(Z264)=11,LEFT(Z264,1)="1"),"+"&amp;Z264,IF(LEFT(Y264,1)="+","+"&amp;Z264,Z264))))</f>
        <v/>
      </c>
      <c r="AB264" s="32">
        <f>IF(TRIM(A264&amp;"")="","",IF(TRIM(M264&amp;"")&lt;&gt;"",TRIM(M264&amp;""),IFERROR(LEFT(TRIM(A264&amp;""),FIND(" ",TRIM(A264&amp;""))-1),TRIM(A264&amp;""))))</f>
        <v/>
      </c>
      <c r="AC264" s="32">
        <f>SUBSTITUTE(SUBSTITUTE(SUBSTITUTE(SUBSTITUTE(SUBSTITUTE(SUBSTITUTE(SUBSTITUTE(SUBSTITUTE(SUBSTITUTE(SUBSTITUTE(AB264,"%","%25"),"&amp;","%26"),"#","%23"),"+","%2B"),"=","%3D"),"?","%3F"),CHAR(34),"%22"),CHAR(10),"%0A"),CHAR(13),"")," ","+")</f>
        <v/>
      </c>
      <c r="AD264" s="32">
        <f>IF(OR(AA264="",AB264=""),"",'Start Here'!$B$20&amp;"#p="&amp;SUBSTITUTE(AA264,"+","%2B")&amp;"&amp;n="&amp;AC264&amp;"&amp;m="&amp;SUBSTITUTE('Start Here'!$B$24,"{name}",AC264))</f>
        <v/>
      </c>
      <c r="AE264" s="32">
        <f>LEN(AD264)</f>
        <v/>
      </c>
      <c r="AF264" s="32">
        <f>IF(AND(TRIM(A264&amp;"")&lt;&gt;"",OR(B264="Awaiting",B264="Not sure yet")),1,0)</f>
        <v/>
      </c>
      <c r="AG264" s="32">
        <f>N(AG263)+AF264</f>
        <v/>
      </c>
      <c r="AH264" s="32">
        <f>IF(AF264=1,AG264,"")</f>
        <v/>
      </c>
      <c r="AI264" s="32">
        <f>IF(AND(TRIM(A264&amp;"")&lt;&gt;"",L264&amp;""&lt;&gt;"",L264&amp;""=Seating!$I$3&amp;"",B264&lt;&gt;"Declined"),1,0)</f>
        <v/>
      </c>
      <c r="AJ264" s="32">
        <f>N(AJ263)+AI264</f>
        <v/>
      </c>
      <c r="AK264" s="32">
        <f>IF(AI264=1,AJ264,"")</f>
        <v/>
      </c>
    </row>
    <row r="265">
      <c r="A265" s="10" t="n"/>
      <c r="B265" s="47">
        <f>IF(TRIM(A265&amp;"")="","",IF(W265&lt;&gt;"",W265,IF(I265="","Awaiting",I265)))</f>
        <v/>
      </c>
      <c r="C265" s="60">
        <f>IF(OR(B265="Awaiting",B265="Not sure yet"),IF(AD265&lt;&gt;"",HYPERLINK(AD265,"💬 Remind"),"add mobile"),"")</f>
        <v/>
      </c>
      <c r="D265" s="58" t="n"/>
      <c r="E265" s="10" t="n"/>
      <c r="F265" s="10" t="n"/>
      <c r="G265" s="10" t="n"/>
      <c r="H265" s="10" t="n"/>
      <c r="I265" s="10" t="n"/>
      <c r="J265" s="10" t="n"/>
      <c r="K265" s="10" t="n"/>
      <c r="L265" s="56" t="n"/>
      <c r="M265" s="10" t="n"/>
      <c r="N265" s="12" t="n"/>
      <c r="O265" s="10" t="n"/>
      <c r="P265" s="10" t="n"/>
      <c r="Q265" s="61">
        <f>IF(V265="","",IF(T265="","Covered by "&amp;INDEX('Form Calc'!$B:$B,V265)&amp;"'s reply (same party)","Replied "&amp;TEXT(INDEX('Form Calc'!$A:$A,T265),"mm/dd")&amp;" · "&amp;INDEX('Form Calc'!$H:$H,T265)&amp;" adult(s), "&amp;INDEX('Form Calc'!$I:$I,T265)&amp;" child(ren)"&amp;IF(INDEX('Form Calc'!$K:$K,T265)&lt;&gt;""," · "&amp;INDEX('Form Calc'!$K:$K,T265),"")&amp;IF(INDEX('Form Calc'!$M:$M,T265)&lt;&gt;""," · “"&amp;INDEX('Form Calc'!$M:$M,T265)&amp;"”","")))</f>
        <v/>
      </c>
      <c r="R265" s="32">
        <f>SUBSTITUTE(SUBSTITUTE(SUBSTITUTE(SUBSTITUTE(SUBSTITUTE(SUBSTITUTE(SUBSTITUTE(SUBSTITUTE(D265&amp;""," ",""),"-",""),"(",""),")",""),".",""),"+",""),"/",""),CHAR(160),"")</f>
        <v/>
      </c>
      <c r="S265" s="32">
        <f>IF(LEN(R265)&gt;=10,RIGHT(R265,10),R265)</f>
        <v/>
      </c>
      <c r="T265" s="32">
        <f>IF(TRIM(A265&amp;"")="","",IF(S265&lt;&gt;"",IFERROR(MATCH(S265,'Form Calc'!$P:$P,0),IFERROR(MATCH(TRIM(A265&amp;""),'Form Calc'!$Q:$Q,0),"")),IFERROR(MATCH(TRIM(A265&amp;""),'Form Calc'!$Q:$Q,0),"")))</f>
        <v/>
      </c>
      <c r="U265" s="32">
        <f>IF(AND(T265&lt;&gt;"",TRIM(E265&amp;"")&lt;&gt;""),TRIM(E265&amp;""),"")</f>
        <v/>
      </c>
      <c r="V265" s="32">
        <f>IF(TRIM(A265&amp;"")="","",IF(T265&lt;&gt;"",T265,IF(TRIM(E265&amp;"")="","",IFERROR(INDEX($T$6:$T$505,MATCH(TRIM(E265&amp;""),$U$6:$U$505,0)),""))))</f>
        <v/>
      </c>
      <c r="W265" s="32">
        <f>IF(V265="","",INDEX('Form Calc'!$G:$G,V265))</f>
        <v/>
      </c>
      <c r="X265" s="32">
        <f>IF(TRIM(A265&amp;"")="","",IF(T265&lt;&gt;"",IF(INDEX('Form Calc'!$K:$K,T265)&lt;&gt;"",INDEX('Form Calc'!$K:$K,T265),J265&amp;""),J265&amp;""))</f>
        <v/>
      </c>
      <c r="Y265" s="32">
        <f>IF(TRIM(A265&amp;"")="","",IF(TRIM(D265&amp;"")&lt;&gt;"",TRIM(D265&amp;""),IF(T265&lt;&gt;"",INDEX('Form Calc'!$C:$C,T265)&amp;"","")))</f>
        <v/>
      </c>
      <c r="Z265" s="32">
        <f>SUBSTITUTE(SUBSTITUTE(SUBSTITUTE(SUBSTITUTE(SUBSTITUTE(SUBSTITUTE(SUBSTITUTE(SUBSTITUTE(Y265," ",""),"-",""),"(",""),")",""),".",""),"+",""),"/",""),CHAR(160),"")</f>
        <v/>
      </c>
      <c r="AA265" s="32">
        <f>IF(Z265="","",IF(LEN(Z265)=10,"+1"&amp;Z265,IF(AND(LEN(Z265)=11,LEFT(Z265,1)="1"),"+"&amp;Z265,IF(LEFT(Y265,1)="+","+"&amp;Z265,Z265))))</f>
        <v/>
      </c>
      <c r="AB265" s="32">
        <f>IF(TRIM(A265&amp;"")="","",IF(TRIM(M265&amp;"")&lt;&gt;"",TRIM(M265&amp;""),IFERROR(LEFT(TRIM(A265&amp;""),FIND(" ",TRIM(A265&amp;""))-1),TRIM(A265&amp;""))))</f>
        <v/>
      </c>
      <c r="AC265" s="32">
        <f>SUBSTITUTE(SUBSTITUTE(SUBSTITUTE(SUBSTITUTE(SUBSTITUTE(SUBSTITUTE(SUBSTITUTE(SUBSTITUTE(SUBSTITUTE(SUBSTITUTE(AB265,"%","%25"),"&amp;","%26"),"#","%23"),"+","%2B"),"=","%3D"),"?","%3F"),CHAR(34),"%22"),CHAR(10),"%0A"),CHAR(13),"")," ","+")</f>
        <v/>
      </c>
      <c r="AD265" s="32">
        <f>IF(OR(AA265="",AB265=""),"",'Start Here'!$B$20&amp;"#p="&amp;SUBSTITUTE(AA265,"+","%2B")&amp;"&amp;n="&amp;AC265&amp;"&amp;m="&amp;SUBSTITUTE('Start Here'!$B$24,"{name}",AC265))</f>
        <v/>
      </c>
      <c r="AE265" s="32">
        <f>LEN(AD265)</f>
        <v/>
      </c>
      <c r="AF265" s="32">
        <f>IF(AND(TRIM(A265&amp;"")&lt;&gt;"",OR(B265="Awaiting",B265="Not sure yet")),1,0)</f>
        <v/>
      </c>
      <c r="AG265" s="32">
        <f>N(AG264)+AF265</f>
        <v/>
      </c>
      <c r="AH265" s="32">
        <f>IF(AF265=1,AG265,"")</f>
        <v/>
      </c>
      <c r="AI265" s="32">
        <f>IF(AND(TRIM(A265&amp;"")&lt;&gt;"",L265&amp;""&lt;&gt;"",L265&amp;""=Seating!$I$3&amp;"",B265&lt;&gt;"Declined"),1,0)</f>
        <v/>
      </c>
      <c r="AJ265" s="32">
        <f>N(AJ264)+AI265</f>
        <v/>
      </c>
      <c r="AK265" s="32">
        <f>IF(AI265=1,AJ265,"")</f>
        <v/>
      </c>
    </row>
    <row r="266">
      <c r="A266" s="10" t="n"/>
      <c r="B266" s="47">
        <f>IF(TRIM(A266&amp;"")="","",IF(W266&lt;&gt;"",W266,IF(I266="","Awaiting",I266)))</f>
        <v/>
      </c>
      <c r="C266" s="60">
        <f>IF(OR(B266="Awaiting",B266="Not sure yet"),IF(AD266&lt;&gt;"",HYPERLINK(AD266,"💬 Remind"),"add mobile"),"")</f>
        <v/>
      </c>
      <c r="D266" s="58" t="n"/>
      <c r="E266" s="10" t="n"/>
      <c r="F266" s="10" t="n"/>
      <c r="G266" s="10" t="n"/>
      <c r="H266" s="10" t="n"/>
      <c r="I266" s="10" t="n"/>
      <c r="J266" s="10" t="n"/>
      <c r="K266" s="10" t="n"/>
      <c r="L266" s="56" t="n"/>
      <c r="M266" s="10" t="n"/>
      <c r="N266" s="12" t="n"/>
      <c r="O266" s="10" t="n"/>
      <c r="P266" s="10" t="n"/>
      <c r="Q266" s="61">
        <f>IF(V266="","",IF(T266="","Covered by "&amp;INDEX('Form Calc'!$B:$B,V266)&amp;"'s reply (same party)","Replied "&amp;TEXT(INDEX('Form Calc'!$A:$A,T266),"mm/dd")&amp;" · "&amp;INDEX('Form Calc'!$H:$H,T266)&amp;" adult(s), "&amp;INDEX('Form Calc'!$I:$I,T266)&amp;" child(ren)"&amp;IF(INDEX('Form Calc'!$K:$K,T266)&lt;&gt;""," · "&amp;INDEX('Form Calc'!$K:$K,T266),"")&amp;IF(INDEX('Form Calc'!$M:$M,T266)&lt;&gt;""," · “"&amp;INDEX('Form Calc'!$M:$M,T266)&amp;"”","")))</f>
        <v/>
      </c>
      <c r="R266" s="32">
        <f>SUBSTITUTE(SUBSTITUTE(SUBSTITUTE(SUBSTITUTE(SUBSTITUTE(SUBSTITUTE(SUBSTITUTE(SUBSTITUTE(D266&amp;""," ",""),"-",""),"(",""),")",""),".",""),"+",""),"/",""),CHAR(160),"")</f>
        <v/>
      </c>
      <c r="S266" s="32">
        <f>IF(LEN(R266)&gt;=10,RIGHT(R266,10),R266)</f>
        <v/>
      </c>
      <c r="T266" s="32">
        <f>IF(TRIM(A266&amp;"")="","",IF(S266&lt;&gt;"",IFERROR(MATCH(S266,'Form Calc'!$P:$P,0),IFERROR(MATCH(TRIM(A266&amp;""),'Form Calc'!$Q:$Q,0),"")),IFERROR(MATCH(TRIM(A266&amp;""),'Form Calc'!$Q:$Q,0),"")))</f>
        <v/>
      </c>
      <c r="U266" s="32">
        <f>IF(AND(T266&lt;&gt;"",TRIM(E266&amp;"")&lt;&gt;""),TRIM(E266&amp;""),"")</f>
        <v/>
      </c>
      <c r="V266" s="32">
        <f>IF(TRIM(A266&amp;"")="","",IF(T266&lt;&gt;"",T266,IF(TRIM(E266&amp;"")="","",IFERROR(INDEX($T$6:$T$505,MATCH(TRIM(E266&amp;""),$U$6:$U$505,0)),""))))</f>
        <v/>
      </c>
      <c r="W266" s="32">
        <f>IF(V266="","",INDEX('Form Calc'!$G:$G,V266))</f>
        <v/>
      </c>
      <c r="X266" s="32">
        <f>IF(TRIM(A266&amp;"")="","",IF(T266&lt;&gt;"",IF(INDEX('Form Calc'!$K:$K,T266)&lt;&gt;"",INDEX('Form Calc'!$K:$K,T266),J266&amp;""),J266&amp;""))</f>
        <v/>
      </c>
      <c r="Y266" s="32">
        <f>IF(TRIM(A266&amp;"")="","",IF(TRIM(D266&amp;"")&lt;&gt;"",TRIM(D266&amp;""),IF(T266&lt;&gt;"",INDEX('Form Calc'!$C:$C,T266)&amp;"","")))</f>
        <v/>
      </c>
      <c r="Z266" s="32">
        <f>SUBSTITUTE(SUBSTITUTE(SUBSTITUTE(SUBSTITUTE(SUBSTITUTE(SUBSTITUTE(SUBSTITUTE(SUBSTITUTE(Y266," ",""),"-",""),"(",""),")",""),".",""),"+",""),"/",""),CHAR(160),"")</f>
        <v/>
      </c>
      <c r="AA266" s="32">
        <f>IF(Z266="","",IF(LEN(Z266)=10,"+1"&amp;Z266,IF(AND(LEN(Z266)=11,LEFT(Z266,1)="1"),"+"&amp;Z266,IF(LEFT(Y266,1)="+","+"&amp;Z266,Z266))))</f>
        <v/>
      </c>
      <c r="AB266" s="32">
        <f>IF(TRIM(A266&amp;"")="","",IF(TRIM(M266&amp;"")&lt;&gt;"",TRIM(M266&amp;""),IFERROR(LEFT(TRIM(A266&amp;""),FIND(" ",TRIM(A266&amp;""))-1),TRIM(A266&amp;""))))</f>
        <v/>
      </c>
      <c r="AC266" s="32">
        <f>SUBSTITUTE(SUBSTITUTE(SUBSTITUTE(SUBSTITUTE(SUBSTITUTE(SUBSTITUTE(SUBSTITUTE(SUBSTITUTE(SUBSTITUTE(SUBSTITUTE(AB266,"%","%25"),"&amp;","%26"),"#","%23"),"+","%2B"),"=","%3D"),"?","%3F"),CHAR(34),"%22"),CHAR(10),"%0A"),CHAR(13),"")," ","+")</f>
        <v/>
      </c>
      <c r="AD266" s="32">
        <f>IF(OR(AA266="",AB266=""),"",'Start Here'!$B$20&amp;"#p="&amp;SUBSTITUTE(AA266,"+","%2B")&amp;"&amp;n="&amp;AC266&amp;"&amp;m="&amp;SUBSTITUTE('Start Here'!$B$24,"{name}",AC266))</f>
        <v/>
      </c>
      <c r="AE266" s="32">
        <f>LEN(AD266)</f>
        <v/>
      </c>
      <c r="AF266" s="32">
        <f>IF(AND(TRIM(A266&amp;"")&lt;&gt;"",OR(B266="Awaiting",B266="Not sure yet")),1,0)</f>
        <v/>
      </c>
      <c r="AG266" s="32">
        <f>N(AG265)+AF266</f>
        <v/>
      </c>
      <c r="AH266" s="32">
        <f>IF(AF266=1,AG266,"")</f>
        <v/>
      </c>
      <c r="AI266" s="32">
        <f>IF(AND(TRIM(A266&amp;"")&lt;&gt;"",L266&amp;""&lt;&gt;"",L266&amp;""=Seating!$I$3&amp;"",B266&lt;&gt;"Declined"),1,0)</f>
        <v/>
      </c>
      <c r="AJ266" s="32">
        <f>N(AJ265)+AI266</f>
        <v/>
      </c>
      <c r="AK266" s="32">
        <f>IF(AI266=1,AJ266,"")</f>
        <v/>
      </c>
    </row>
    <row r="267">
      <c r="A267" s="10" t="n"/>
      <c r="B267" s="47">
        <f>IF(TRIM(A267&amp;"")="","",IF(W267&lt;&gt;"",W267,IF(I267="","Awaiting",I267)))</f>
        <v/>
      </c>
      <c r="C267" s="60">
        <f>IF(OR(B267="Awaiting",B267="Not sure yet"),IF(AD267&lt;&gt;"",HYPERLINK(AD267,"💬 Remind"),"add mobile"),"")</f>
        <v/>
      </c>
      <c r="D267" s="58" t="n"/>
      <c r="E267" s="10" t="n"/>
      <c r="F267" s="10" t="n"/>
      <c r="G267" s="10" t="n"/>
      <c r="H267" s="10" t="n"/>
      <c r="I267" s="10" t="n"/>
      <c r="J267" s="10" t="n"/>
      <c r="K267" s="10" t="n"/>
      <c r="L267" s="56" t="n"/>
      <c r="M267" s="10" t="n"/>
      <c r="N267" s="12" t="n"/>
      <c r="O267" s="10" t="n"/>
      <c r="P267" s="10" t="n"/>
      <c r="Q267" s="61">
        <f>IF(V267="","",IF(T267="","Covered by "&amp;INDEX('Form Calc'!$B:$B,V267)&amp;"'s reply (same party)","Replied "&amp;TEXT(INDEX('Form Calc'!$A:$A,T267),"mm/dd")&amp;" · "&amp;INDEX('Form Calc'!$H:$H,T267)&amp;" adult(s), "&amp;INDEX('Form Calc'!$I:$I,T267)&amp;" child(ren)"&amp;IF(INDEX('Form Calc'!$K:$K,T267)&lt;&gt;""," · "&amp;INDEX('Form Calc'!$K:$K,T267),"")&amp;IF(INDEX('Form Calc'!$M:$M,T267)&lt;&gt;""," · “"&amp;INDEX('Form Calc'!$M:$M,T267)&amp;"”","")))</f>
        <v/>
      </c>
      <c r="R267" s="32">
        <f>SUBSTITUTE(SUBSTITUTE(SUBSTITUTE(SUBSTITUTE(SUBSTITUTE(SUBSTITUTE(SUBSTITUTE(SUBSTITUTE(D267&amp;""," ",""),"-",""),"(",""),")",""),".",""),"+",""),"/",""),CHAR(160),"")</f>
        <v/>
      </c>
      <c r="S267" s="32">
        <f>IF(LEN(R267)&gt;=10,RIGHT(R267,10),R267)</f>
        <v/>
      </c>
      <c r="T267" s="32">
        <f>IF(TRIM(A267&amp;"")="","",IF(S267&lt;&gt;"",IFERROR(MATCH(S267,'Form Calc'!$P:$P,0),IFERROR(MATCH(TRIM(A267&amp;""),'Form Calc'!$Q:$Q,0),"")),IFERROR(MATCH(TRIM(A267&amp;""),'Form Calc'!$Q:$Q,0),"")))</f>
        <v/>
      </c>
      <c r="U267" s="32">
        <f>IF(AND(T267&lt;&gt;"",TRIM(E267&amp;"")&lt;&gt;""),TRIM(E267&amp;""),"")</f>
        <v/>
      </c>
      <c r="V267" s="32">
        <f>IF(TRIM(A267&amp;"")="","",IF(T267&lt;&gt;"",T267,IF(TRIM(E267&amp;"")="","",IFERROR(INDEX($T$6:$T$505,MATCH(TRIM(E267&amp;""),$U$6:$U$505,0)),""))))</f>
        <v/>
      </c>
      <c r="W267" s="32">
        <f>IF(V267="","",INDEX('Form Calc'!$G:$G,V267))</f>
        <v/>
      </c>
      <c r="X267" s="32">
        <f>IF(TRIM(A267&amp;"")="","",IF(T267&lt;&gt;"",IF(INDEX('Form Calc'!$K:$K,T267)&lt;&gt;"",INDEX('Form Calc'!$K:$K,T267),J267&amp;""),J267&amp;""))</f>
        <v/>
      </c>
      <c r="Y267" s="32">
        <f>IF(TRIM(A267&amp;"")="","",IF(TRIM(D267&amp;"")&lt;&gt;"",TRIM(D267&amp;""),IF(T267&lt;&gt;"",INDEX('Form Calc'!$C:$C,T267)&amp;"","")))</f>
        <v/>
      </c>
      <c r="Z267" s="32">
        <f>SUBSTITUTE(SUBSTITUTE(SUBSTITUTE(SUBSTITUTE(SUBSTITUTE(SUBSTITUTE(SUBSTITUTE(SUBSTITUTE(Y267," ",""),"-",""),"(",""),")",""),".",""),"+",""),"/",""),CHAR(160),"")</f>
        <v/>
      </c>
      <c r="AA267" s="32">
        <f>IF(Z267="","",IF(LEN(Z267)=10,"+1"&amp;Z267,IF(AND(LEN(Z267)=11,LEFT(Z267,1)="1"),"+"&amp;Z267,IF(LEFT(Y267,1)="+","+"&amp;Z267,Z267))))</f>
        <v/>
      </c>
      <c r="AB267" s="32">
        <f>IF(TRIM(A267&amp;"")="","",IF(TRIM(M267&amp;"")&lt;&gt;"",TRIM(M267&amp;""),IFERROR(LEFT(TRIM(A267&amp;""),FIND(" ",TRIM(A267&amp;""))-1),TRIM(A267&amp;""))))</f>
        <v/>
      </c>
      <c r="AC267" s="32">
        <f>SUBSTITUTE(SUBSTITUTE(SUBSTITUTE(SUBSTITUTE(SUBSTITUTE(SUBSTITUTE(SUBSTITUTE(SUBSTITUTE(SUBSTITUTE(SUBSTITUTE(AB267,"%","%25"),"&amp;","%26"),"#","%23"),"+","%2B"),"=","%3D"),"?","%3F"),CHAR(34),"%22"),CHAR(10),"%0A"),CHAR(13),"")," ","+")</f>
        <v/>
      </c>
      <c r="AD267" s="32">
        <f>IF(OR(AA267="",AB267=""),"",'Start Here'!$B$20&amp;"#p="&amp;SUBSTITUTE(AA267,"+","%2B")&amp;"&amp;n="&amp;AC267&amp;"&amp;m="&amp;SUBSTITUTE('Start Here'!$B$24,"{name}",AC267))</f>
        <v/>
      </c>
      <c r="AE267" s="32">
        <f>LEN(AD267)</f>
        <v/>
      </c>
      <c r="AF267" s="32">
        <f>IF(AND(TRIM(A267&amp;"")&lt;&gt;"",OR(B267="Awaiting",B267="Not sure yet")),1,0)</f>
        <v/>
      </c>
      <c r="AG267" s="32">
        <f>N(AG266)+AF267</f>
        <v/>
      </c>
      <c r="AH267" s="32">
        <f>IF(AF267=1,AG267,"")</f>
        <v/>
      </c>
      <c r="AI267" s="32">
        <f>IF(AND(TRIM(A267&amp;"")&lt;&gt;"",L267&amp;""&lt;&gt;"",L267&amp;""=Seating!$I$3&amp;"",B267&lt;&gt;"Declined"),1,0)</f>
        <v/>
      </c>
      <c r="AJ267" s="32">
        <f>N(AJ266)+AI267</f>
        <v/>
      </c>
      <c r="AK267" s="32">
        <f>IF(AI267=1,AJ267,"")</f>
        <v/>
      </c>
    </row>
    <row r="268">
      <c r="A268" s="10" t="n"/>
      <c r="B268" s="47">
        <f>IF(TRIM(A268&amp;"")="","",IF(W268&lt;&gt;"",W268,IF(I268="","Awaiting",I268)))</f>
        <v/>
      </c>
      <c r="C268" s="60">
        <f>IF(OR(B268="Awaiting",B268="Not sure yet"),IF(AD268&lt;&gt;"",HYPERLINK(AD268,"💬 Remind"),"add mobile"),"")</f>
        <v/>
      </c>
      <c r="D268" s="58" t="n"/>
      <c r="E268" s="10" t="n"/>
      <c r="F268" s="10" t="n"/>
      <c r="G268" s="10" t="n"/>
      <c r="H268" s="10" t="n"/>
      <c r="I268" s="10" t="n"/>
      <c r="J268" s="10" t="n"/>
      <c r="K268" s="10" t="n"/>
      <c r="L268" s="56" t="n"/>
      <c r="M268" s="10" t="n"/>
      <c r="N268" s="12" t="n"/>
      <c r="O268" s="10" t="n"/>
      <c r="P268" s="10" t="n"/>
      <c r="Q268" s="61">
        <f>IF(V268="","",IF(T268="","Covered by "&amp;INDEX('Form Calc'!$B:$B,V268)&amp;"'s reply (same party)","Replied "&amp;TEXT(INDEX('Form Calc'!$A:$A,T268),"mm/dd")&amp;" · "&amp;INDEX('Form Calc'!$H:$H,T268)&amp;" adult(s), "&amp;INDEX('Form Calc'!$I:$I,T268)&amp;" child(ren)"&amp;IF(INDEX('Form Calc'!$K:$K,T268)&lt;&gt;""," · "&amp;INDEX('Form Calc'!$K:$K,T268),"")&amp;IF(INDEX('Form Calc'!$M:$M,T268)&lt;&gt;""," · “"&amp;INDEX('Form Calc'!$M:$M,T268)&amp;"”","")))</f>
        <v/>
      </c>
      <c r="R268" s="32">
        <f>SUBSTITUTE(SUBSTITUTE(SUBSTITUTE(SUBSTITUTE(SUBSTITUTE(SUBSTITUTE(SUBSTITUTE(SUBSTITUTE(D268&amp;""," ",""),"-",""),"(",""),")",""),".",""),"+",""),"/",""),CHAR(160),"")</f>
        <v/>
      </c>
      <c r="S268" s="32">
        <f>IF(LEN(R268)&gt;=10,RIGHT(R268,10),R268)</f>
        <v/>
      </c>
      <c r="T268" s="32">
        <f>IF(TRIM(A268&amp;"")="","",IF(S268&lt;&gt;"",IFERROR(MATCH(S268,'Form Calc'!$P:$P,0),IFERROR(MATCH(TRIM(A268&amp;""),'Form Calc'!$Q:$Q,0),"")),IFERROR(MATCH(TRIM(A268&amp;""),'Form Calc'!$Q:$Q,0),"")))</f>
        <v/>
      </c>
      <c r="U268" s="32">
        <f>IF(AND(T268&lt;&gt;"",TRIM(E268&amp;"")&lt;&gt;""),TRIM(E268&amp;""),"")</f>
        <v/>
      </c>
      <c r="V268" s="32">
        <f>IF(TRIM(A268&amp;"")="","",IF(T268&lt;&gt;"",T268,IF(TRIM(E268&amp;"")="","",IFERROR(INDEX($T$6:$T$505,MATCH(TRIM(E268&amp;""),$U$6:$U$505,0)),""))))</f>
        <v/>
      </c>
      <c r="W268" s="32">
        <f>IF(V268="","",INDEX('Form Calc'!$G:$G,V268))</f>
        <v/>
      </c>
      <c r="X268" s="32">
        <f>IF(TRIM(A268&amp;"")="","",IF(T268&lt;&gt;"",IF(INDEX('Form Calc'!$K:$K,T268)&lt;&gt;"",INDEX('Form Calc'!$K:$K,T268),J268&amp;""),J268&amp;""))</f>
        <v/>
      </c>
      <c r="Y268" s="32">
        <f>IF(TRIM(A268&amp;"")="","",IF(TRIM(D268&amp;"")&lt;&gt;"",TRIM(D268&amp;""),IF(T268&lt;&gt;"",INDEX('Form Calc'!$C:$C,T268)&amp;"","")))</f>
        <v/>
      </c>
      <c r="Z268" s="32">
        <f>SUBSTITUTE(SUBSTITUTE(SUBSTITUTE(SUBSTITUTE(SUBSTITUTE(SUBSTITUTE(SUBSTITUTE(SUBSTITUTE(Y268," ",""),"-",""),"(",""),")",""),".",""),"+",""),"/",""),CHAR(160),"")</f>
        <v/>
      </c>
      <c r="AA268" s="32">
        <f>IF(Z268="","",IF(LEN(Z268)=10,"+1"&amp;Z268,IF(AND(LEN(Z268)=11,LEFT(Z268,1)="1"),"+"&amp;Z268,IF(LEFT(Y268,1)="+","+"&amp;Z268,Z268))))</f>
        <v/>
      </c>
      <c r="AB268" s="32">
        <f>IF(TRIM(A268&amp;"")="","",IF(TRIM(M268&amp;"")&lt;&gt;"",TRIM(M268&amp;""),IFERROR(LEFT(TRIM(A268&amp;""),FIND(" ",TRIM(A268&amp;""))-1),TRIM(A268&amp;""))))</f>
        <v/>
      </c>
      <c r="AC268" s="32">
        <f>SUBSTITUTE(SUBSTITUTE(SUBSTITUTE(SUBSTITUTE(SUBSTITUTE(SUBSTITUTE(SUBSTITUTE(SUBSTITUTE(SUBSTITUTE(SUBSTITUTE(AB268,"%","%25"),"&amp;","%26"),"#","%23"),"+","%2B"),"=","%3D"),"?","%3F"),CHAR(34),"%22"),CHAR(10),"%0A"),CHAR(13),"")," ","+")</f>
        <v/>
      </c>
      <c r="AD268" s="32">
        <f>IF(OR(AA268="",AB268=""),"",'Start Here'!$B$20&amp;"#p="&amp;SUBSTITUTE(AA268,"+","%2B")&amp;"&amp;n="&amp;AC268&amp;"&amp;m="&amp;SUBSTITUTE('Start Here'!$B$24,"{name}",AC268))</f>
        <v/>
      </c>
      <c r="AE268" s="32">
        <f>LEN(AD268)</f>
        <v/>
      </c>
      <c r="AF268" s="32">
        <f>IF(AND(TRIM(A268&amp;"")&lt;&gt;"",OR(B268="Awaiting",B268="Not sure yet")),1,0)</f>
        <v/>
      </c>
      <c r="AG268" s="32">
        <f>N(AG267)+AF268</f>
        <v/>
      </c>
      <c r="AH268" s="32">
        <f>IF(AF268=1,AG268,"")</f>
        <v/>
      </c>
      <c r="AI268" s="32">
        <f>IF(AND(TRIM(A268&amp;"")&lt;&gt;"",L268&amp;""&lt;&gt;"",L268&amp;""=Seating!$I$3&amp;"",B268&lt;&gt;"Declined"),1,0)</f>
        <v/>
      </c>
      <c r="AJ268" s="32">
        <f>N(AJ267)+AI268</f>
        <v/>
      </c>
      <c r="AK268" s="32">
        <f>IF(AI268=1,AJ268,"")</f>
        <v/>
      </c>
    </row>
    <row r="269">
      <c r="A269" s="10" t="n"/>
      <c r="B269" s="47">
        <f>IF(TRIM(A269&amp;"")="","",IF(W269&lt;&gt;"",W269,IF(I269="","Awaiting",I269)))</f>
        <v/>
      </c>
      <c r="C269" s="60">
        <f>IF(OR(B269="Awaiting",B269="Not sure yet"),IF(AD269&lt;&gt;"",HYPERLINK(AD269,"💬 Remind"),"add mobile"),"")</f>
        <v/>
      </c>
      <c r="D269" s="58" t="n"/>
      <c r="E269" s="10" t="n"/>
      <c r="F269" s="10" t="n"/>
      <c r="G269" s="10" t="n"/>
      <c r="H269" s="10" t="n"/>
      <c r="I269" s="10" t="n"/>
      <c r="J269" s="10" t="n"/>
      <c r="K269" s="10" t="n"/>
      <c r="L269" s="56" t="n"/>
      <c r="M269" s="10" t="n"/>
      <c r="N269" s="12" t="n"/>
      <c r="O269" s="10" t="n"/>
      <c r="P269" s="10" t="n"/>
      <c r="Q269" s="61">
        <f>IF(V269="","",IF(T269="","Covered by "&amp;INDEX('Form Calc'!$B:$B,V269)&amp;"'s reply (same party)","Replied "&amp;TEXT(INDEX('Form Calc'!$A:$A,T269),"mm/dd")&amp;" · "&amp;INDEX('Form Calc'!$H:$H,T269)&amp;" adult(s), "&amp;INDEX('Form Calc'!$I:$I,T269)&amp;" child(ren)"&amp;IF(INDEX('Form Calc'!$K:$K,T269)&lt;&gt;""," · "&amp;INDEX('Form Calc'!$K:$K,T269),"")&amp;IF(INDEX('Form Calc'!$M:$M,T269)&lt;&gt;""," · “"&amp;INDEX('Form Calc'!$M:$M,T269)&amp;"”","")))</f>
        <v/>
      </c>
      <c r="R269" s="32">
        <f>SUBSTITUTE(SUBSTITUTE(SUBSTITUTE(SUBSTITUTE(SUBSTITUTE(SUBSTITUTE(SUBSTITUTE(SUBSTITUTE(D269&amp;""," ",""),"-",""),"(",""),")",""),".",""),"+",""),"/",""),CHAR(160),"")</f>
        <v/>
      </c>
      <c r="S269" s="32">
        <f>IF(LEN(R269)&gt;=10,RIGHT(R269,10),R269)</f>
        <v/>
      </c>
      <c r="T269" s="32">
        <f>IF(TRIM(A269&amp;"")="","",IF(S269&lt;&gt;"",IFERROR(MATCH(S269,'Form Calc'!$P:$P,0),IFERROR(MATCH(TRIM(A269&amp;""),'Form Calc'!$Q:$Q,0),"")),IFERROR(MATCH(TRIM(A269&amp;""),'Form Calc'!$Q:$Q,0),"")))</f>
        <v/>
      </c>
      <c r="U269" s="32">
        <f>IF(AND(T269&lt;&gt;"",TRIM(E269&amp;"")&lt;&gt;""),TRIM(E269&amp;""),"")</f>
        <v/>
      </c>
      <c r="V269" s="32">
        <f>IF(TRIM(A269&amp;"")="","",IF(T269&lt;&gt;"",T269,IF(TRIM(E269&amp;"")="","",IFERROR(INDEX($T$6:$T$505,MATCH(TRIM(E269&amp;""),$U$6:$U$505,0)),""))))</f>
        <v/>
      </c>
      <c r="W269" s="32">
        <f>IF(V269="","",INDEX('Form Calc'!$G:$G,V269))</f>
        <v/>
      </c>
      <c r="X269" s="32">
        <f>IF(TRIM(A269&amp;"")="","",IF(T269&lt;&gt;"",IF(INDEX('Form Calc'!$K:$K,T269)&lt;&gt;"",INDEX('Form Calc'!$K:$K,T269),J269&amp;""),J269&amp;""))</f>
        <v/>
      </c>
      <c r="Y269" s="32">
        <f>IF(TRIM(A269&amp;"")="","",IF(TRIM(D269&amp;"")&lt;&gt;"",TRIM(D269&amp;""),IF(T269&lt;&gt;"",INDEX('Form Calc'!$C:$C,T269)&amp;"","")))</f>
        <v/>
      </c>
      <c r="Z269" s="32">
        <f>SUBSTITUTE(SUBSTITUTE(SUBSTITUTE(SUBSTITUTE(SUBSTITUTE(SUBSTITUTE(SUBSTITUTE(SUBSTITUTE(Y269," ",""),"-",""),"(",""),")",""),".",""),"+",""),"/",""),CHAR(160),"")</f>
        <v/>
      </c>
      <c r="AA269" s="32">
        <f>IF(Z269="","",IF(LEN(Z269)=10,"+1"&amp;Z269,IF(AND(LEN(Z269)=11,LEFT(Z269,1)="1"),"+"&amp;Z269,IF(LEFT(Y269,1)="+","+"&amp;Z269,Z269))))</f>
        <v/>
      </c>
      <c r="AB269" s="32">
        <f>IF(TRIM(A269&amp;"")="","",IF(TRIM(M269&amp;"")&lt;&gt;"",TRIM(M269&amp;""),IFERROR(LEFT(TRIM(A269&amp;""),FIND(" ",TRIM(A269&amp;""))-1),TRIM(A269&amp;""))))</f>
        <v/>
      </c>
      <c r="AC269" s="32">
        <f>SUBSTITUTE(SUBSTITUTE(SUBSTITUTE(SUBSTITUTE(SUBSTITUTE(SUBSTITUTE(SUBSTITUTE(SUBSTITUTE(SUBSTITUTE(SUBSTITUTE(AB269,"%","%25"),"&amp;","%26"),"#","%23"),"+","%2B"),"=","%3D"),"?","%3F"),CHAR(34),"%22"),CHAR(10),"%0A"),CHAR(13),"")," ","+")</f>
        <v/>
      </c>
      <c r="AD269" s="32">
        <f>IF(OR(AA269="",AB269=""),"",'Start Here'!$B$20&amp;"#p="&amp;SUBSTITUTE(AA269,"+","%2B")&amp;"&amp;n="&amp;AC269&amp;"&amp;m="&amp;SUBSTITUTE('Start Here'!$B$24,"{name}",AC269))</f>
        <v/>
      </c>
      <c r="AE269" s="32">
        <f>LEN(AD269)</f>
        <v/>
      </c>
      <c r="AF269" s="32">
        <f>IF(AND(TRIM(A269&amp;"")&lt;&gt;"",OR(B269="Awaiting",B269="Not sure yet")),1,0)</f>
        <v/>
      </c>
      <c r="AG269" s="32">
        <f>N(AG268)+AF269</f>
        <v/>
      </c>
      <c r="AH269" s="32">
        <f>IF(AF269=1,AG269,"")</f>
        <v/>
      </c>
      <c r="AI269" s="32">
        <f>IF(AND(TRIM(A269&amp;"")&lt;&gt;"",L269&amp;""&lt;&gt;"",L269&amp;""=Seating!$I$3&amp;"",B269&lt;&gt;"Declined"),1,0)</f>
        <v/>
      </c>
      <c r="AJ269" s="32">
        <f>N(AJ268)+AI269</f>
        <v/>
      </c>
      <c r="AK269" s="32">
        <f>IF(AI269=1,AJ269,"")</f>
        <v/>
      </c>
    </row>
    <row r="270">
      <c r="A270" s="10" t="n"/>
      <c r="B270" s="47">
        <f>IF(TRIM(A270&amp;"")="","",IF(W270&lt;&gt;"",W270,IF(I270="","Awaiting",I270)))</f>
        <v/>
      </c>
      <c r="C270" s="60">
        <f>IF(OR(B270="Awaiting",B270="Not sure yet"),IF(AD270&lt;&gt;"",HYPERLINK(AD270,"💬 Remind"),"add mobile"),"")</f>
        <v/>
      </c>
      <c r="D270" s="58" t="n"/>
      <c r="E270" s="10" t="n"/>
      <c r="F270" s="10" t="n"/>
      <c r="G270" s="10" t="n"/>
      <c r="H270" s="10" t="n"/>
      <c r="I270" s="10" t="n"/>
      <c r="J270" s="10" t="n"/>
      <c r="K270" s="10" t="n"/>
      <c r="L270" s="56" t="n"/>
      <c r="M270" s="10" t="n"/>
      <c r="N270" s="12" t="n"/>
      <c r="O270" s="10" t="n"/>
      <c r="P270" s="10" t="n"/>
      <c r="Q270" s="61">
        <f>IF(V270="","",IF(T270="","Covered by "&amp;INDEX('Form Calc'!$B:$B,V270)&amp;"'s reply (same party)","Replied "&amp;TEXT(INDEX('Form Calc'!$A:$A,T270),"mm/dd")&amp;" · "&amp;INDEX('Form Calc'!$H:$H,T270)&amp;" adult(s), "&amp;INDEX('Form Calc'!$I:$I,T270)&amp;" child(ren)"&amp;IF(INDEX('Form Calc'!$K:$K,T270)&lt;&gt;""," · "&amp;INDEX('Form Calc'!$K:$K,T270),"")&amp;IF(INDEX('Form Calc'!$M:$M,T270)&lt;&gt;""," · “"&amp;INDEX('Form Calc'!$M:$M,T270)&amp;"”","")))</f>
        <v/>
      </c>
      <c r="R270" s="32">
        <f>SUBSTITUTE(SUBSTITUTE(SUBSTITUTE(SUBSTITUTE(SUBSTITUTE(SUBSTITUTE(SUBSTITUTE(SUBSTITUTE(D270&amp;""," ",""),"-",""),"(",""),")",""),".",""),"+",""),"/",""),CHAR(160),"")</f>
        <v/>
      </c>
      <c r="S270" s="32">
        <f>IF(LEN(R270)&gt;=10,RIGHT(R270,10),R270)</f>
        <v/>
      </c>
      <c r="T270" s="32">
        <f>IF(TRIM(A270&amp;"")="","",IF(S270&lt;&gt;"",IFERROR(MATCH(S270,'Form Calc'!$P:$P,0),IFERROR(MATCH(TRIM(A270&amp;""),'Form Calc'!$Q:$Q,0),"")),IFERROR(MATCH(TRIM(A270&amp;""),'Form Calc'!$Q:$Q,0),"")))</f>
        <v/>
      </c>
      <c r="U270" s="32">
        <f>IF(AND(T270&lt;&gt;"",TRIM(E270&amp;"")&lt;&gt;""),TRIM(E270&amp;""),"")</f>
        <v/>
      </c>
      <c r="V270" s="32">
        <f>IF(TRIM(A270&amp;"")="","",IF(T270&lt;&gt;"",T270,IF(TRIM(E270&amp;"")="","",IFERROR(INDEX($T$6:$T$505,MATCH(TRIM(E270&amp;""),$U$6:$U$505,0)),""))))</f>
        <v/>
      </c>
      <c r="W270" s="32">
        <f>IF(V270="","",INDEX('Form Calc'!$G:$G,V270))</f>
        <v/>
      </c>
      <c r="X270" s="32">
        <f>IF(TRIM(A270&amp;"")="","",IF(T270&lt;&gt;"",IF(INDEX('Form Calc'!$K:$K,T270)&lt;&gt;"",INDEX('Form Calc'!$K:$K,T270),J270&amp;""),J270&amp;""))</f>
        <v/>
      </c>
      <c r="Y270" s="32">
        <f>IF(TRIM(A270&amp;"")="","",IF(TRIM(D270&amp;"")&lt;&gt;"",TRIM(D270&amp;""),IF(T270&lt;&gt;"",INDEX('Form Calc'!$C:$C,T270)&amp;"","")))</f>
        <v/>
      </c>
      <c r="Z270" s="32">
        <f>SUBSTITUTE(SUBSTITUTE(SUBSTITUTE(SUBSTITUTE(SUBSTITUTE(SUBSTITUTE(SUBSTITUTE(SUBSTITUTE(Y270," ",""),"-",""),"(",""),")",""),".",""),"+",""),"/",""),CHAR(160),"")</f>
        <v/>
      </c>
      <c r="AA270" s="32">
        <f>IF(Z270="","",IF(LEN(Z270)=10,"+1"&amp;Z270,IF(AND(LEN(Z270)=11,LEFT(Z270,1)="1"),"+"&amp;Z270,IF(LEFT(Y270,1)="+","+"&amp;Z270,Z270))))</f>
        <v/>
      </c>
      <c r="AB270" s="32">
        <f>IF(TRIM(A270&amp;"")="","",IF(TRIM(M270&amp;"")&lt;&gt;"",TRIM(M270&amp;""),IFERROR(LEFT(TRIM(A270&amp;""),FIND(" ",TRIM(A270&amp;""))-1),TRIM(A270&amp;""))))</f>
        <v/>
      </c>
      <c r="AC270" s="32">
        <f>SUBSTITUTE(SUBSTITUTE(SUBSTITUTE(SUBSTITUTE(SUBSTITUTE(SUBSTITUTE(SUBSTITUTE(SUBSTITUTE(SUBSTITUTE(SUBSTITUTE(AB270,"%","%25"),"&amp;","%26"),"#","%23"),"+","%2B"),"=","%3D"),"?","%3F"),CHAR(34),"%22"),CHAR(10),"%0A"),CHAR(13),"")," ","+")</f>
        <v/>
      </c>
      <c r="AD270" s="32">
        <f>IF(OR(AA270="",AB270=""),"",'Start Here'!$B$20&amp;"#p="&amp;SUBSTITUTE(AA270,"+","%2B")&amp;"&amp;n="&amp;AC270&amp;"&amp;m="&amp;SUBSTITUTE('Start Here'!$B$24,"{name}",AC270))</f>
        <v/>
      </c>
      <c r="AE270" s="32">
        <f>LEN(AD270)</f>
        <v/>
      </c>
      <c r="AF270" s="32">
        <f>IF(AND(TRIM(A270&amp;"")&lt;&gt;"",OR(B270="Awaiting",B270="Not sure yet")),1,0)</f>
        <v/>
      </c>
      <c r="AG270" s="32">
        <f>N(AG269)+AF270</f>
        <v/>
      </c>
      <c r="AH270" s="32">
        <f>IF(AF270=1,AG270,"")</f>
        <v/>
      </c>
      <c r="AI270" s="32">
        <f>IF(AND(TRIM(A270&amp;"")&lt;&gt;"",L270&amp;""&lt;&gt;"",L270&amp;""=Seating!$I$3&amp;"",B270&lt;&gt;"Declined"),1,0)</f>
        <v/>
      </c>
      <c r="AJ270" s="32">
        <f>N(AJ269)+AI270</f>
        <v/>
      </c>
      <c r="AK270" s="32">
        <f>IF(AI270=1,AJ270,"")</f>
        <v/>
      </c>
    </row>
    <row r="271">
      <c r="A271" s="10" t="n"/>
      <c r="B271" s="47">
        <f>IF(TRIM(A271&amp;"")="","",IF(W271&lt;&gt;"",W271,IF(I271="","Awaiting",I271)))</f>
        <v/>
      </c>
      <c r="C271" s="60">
        <f>IF(OR(B271="Awaiting",B271="Not sure yet"),IF(AD271&lt;&gt;"",HYPERLINK(AD271,"💬 Remind"),"add mobile"),"")</f>
        <v/>
      </c>
      <c r="D271" s="58" t="n"/>
      <c r="E271" s="10" t="n"/>
      <c r="F271" s="10" t="n"/>
      <c r="G271" s="10" t="n"/>
      <c r="H271" s="10" t="n"/>
      <c r="I271" s="10" t="n"/>
      <c r="J271" s="10" t="n"/>
      <c r="K271" s="10" t="n"/>
      <c r="L271" s="56" t="n"/>
      <c r="M271" s="10" t="n"/>
      <c r="N271" s="12" t="n"/>
      <c r="O271" s="10" t="n"/>
      <c r="P271" s="10" t="n"/>
      <c r="Q271" s="61">
        <f>IF(V271="","",IF(T271="","Covered by "&amp;INDEX('Form Calc'!$B:$B,V271)&amp;"'s reply (same party)","Replied "&amp;TEXT(INDEX('Form Calc'!$A:$A,T271),"mm/dd")&amp;" · "&amp;INDEX('Form Calc'!$H:$H,T271)&amp;" adult(s), "&amp;INDEX('Form Calc'!$I:$I,T271)&amp;" child(ren)"&amp;IF(INDEX('Form Calc'!$K:$K,T271)&lt;&gt;""," · "&amp;INDEX('Form Calc'!$K:$K,T271),"")&amp;IF(INDEX('Form Calc'!$M:$M,T271)&lt;&gt;""," · “"&amp;INDEX('Form Calc'!$M:$M,T271)&amp;"”","")))</f>
        <v/>
      </c>
      <c r="R271" s="32">
        <f>SUBSTITUTE(SUBSTITUTE(SUBSTITUTE(SUBSTITUTE(SUBSTITUTE(SUBSTITUTE(SUBSTITUTE(SUBSTITUTE(D271&amp;""," ",""),"-",""),"(",""),")",""),".",""),"+",""),"/",""),CHAR(160),"")</f>
        <v/>
      </c>
      <c r="S271" s="32">
        <f>IF(LEN(R271)&gt;=10,RIGHT(R271,10),R271)</f>
        <v/>
      </c>
      <c r="T271" s="32">
        <f>IF(TRIM(A271&amp;"")="","",IF(S271&lt;&gt;"",IFERROR(MATCH(S271,'Form Calc'!$P:$P,0),IFERROR(MATCH(TRIM(A271&amp;""),'Form Calc'!$Q:$Q,0),"")),IFERROR(MATCH(TRIM(A271&amp;""),'Form Calc'!$Q:$Q,0),"")))</f>
        <v/>
      </c>
      <c r="U271" s="32">
        <f>IF(AND(T271&lt;&gt;"",TRIM(E271&amp;"")&lt;&gt;""),TRIM(E271&amp;""),"")</f>
        <v/>
      </c>
      <c r="V271" s="32">
        <f>IF(TRIM(A271&amp;"")="","",IF(T271&lt;&gt;"",T271,IF(TRIM(E271&amp;"")="","",IFERROR(INDEX($T$6:$T$505,MATCH(TRIM(E271&amp;""),$U$6:$U$505,0)),""))))</f>
        <v/>
      </c>
      <c r="W271" s="32">
        <f>IF(V271="","",INDEX('Form Calc'!$G:$G,V271))</f>
        <v/>
      </c>
      <c r="X271" s="32">
        <f>IF(TRIM(A271&amp;"")="","",IF(T271&lt;&gt;"",IF(INDEX('Form Calc'!$K:$K,T271)&lt;&gt;"",INDEX('Form Calc'!$K:$K,T271),J271&amp;""),J271&amp;""))</f>
        <v/>
      </c>
      <c r="Y271" s="32">
        <f>IF(TRIM(A271&amp;"")="","",IF(TRIM(D271&amp;"")&lt;&gt;"",TRIM(D271&amp;""),IF(T271&lt;&gt;"",INDEX('Form Calc'!$C:$C,T271)&amp;"","")))</f>
        <v/>
      </c>
      <c r="Z271" s="32">
        <f>SUBSTITUTE(SUBSTITUTE(SUBSTITUTE(SUBSTITUTE(SUBSTITUTE(SUBSTITUTE(SUBSTITUTE(SUBSTITUTE(Y271," ",""),"-",""),"(",""),")",""),".",""),"+",""),"/",""),CHAR(160),"")</f>
        <v/>
      </c>
      <c r="AA271" s="32">
        <f>IF(Z271="","",IF(LEN(Z271)=10,"+1"&amp;Z271,IF(AND(LEN(Z271)=11,LEFT(Z271,1)="1"),"+"&amp;Z271,IF(LEFT(Y271,1)="+","+"&amp;Z271,Z271))))</f>
        <v/>
      </c>
      <c r="AB271" s="32">
        <f>IF(TRIM(A271&amp;"")="","",IF(TRIM(M271&amp;"")&lt;&gt;"",TRIM(M271&amp;""),IFERROR(LEFT(TRIM(A271&amp;""),FIND(" ",TRIM(A271&amp;""))-1),TRIM(A271&amp;""))))</f>
        <v/>
      </c>
      <c r="AC271" s="32">
        <f>SUBSTITUTE(SUBSTITUTE(SUBSTITUTE(SUBSTITUTE(SUBSTITUTE(SUBSTITUTE(SUBSTITUTE(SUBSTITUTE(SUBSTITUTE(SUBSTITUTE(AB271,"%","%25"),"&amp;","%26"),"#","%23"),"+","%2B"),"=","%3D"),"?","%3F"),CHAR(34),"%22"),CHAR(10),"%0A"),CHAR(13),"")," ","+")</f>
        <v/>
      </c>
      <c r="AD271" s="32">
        <f>IF(OR(AA271="",AB271=""),"",'Start Here'!$B$20&amp;"#p="&amp;SUBSTITUTE(AA271,"+","%2B")&amp;"&amp;n="&amp;AC271&amp;"&amp;m="&amp;SUBSTITUTE('Start Here'!$B$24,"{name}",AC271))</f>
        <v/>
      </c>
      <c r="AE271" s="32">
        <f>LEN(AD271)</f>
        <v/>
      </c>
      <c r="AF271" s="32">
        <f>IF(AND(TRIM(A271&amp;"")&lt;&gt;"",OR(B271="Awaiting",B271="Not sure yet")),1,0)</f>
        <v/>
      </c>
      <c r="AG271" s="32">
        <f>N(AG270)+AF271</f>
        <v/>
      </c>
      <c r="AH271" s="32">
        <f>IF(AF271=1,AG271,"")</f>
        <v/>
      </c>
      <c r="AI271" s="32">
        <f>IF(AND(TRIM(A271&amp;"")&lt;&gt;"",L271&amp;""&lt;&gt;"",L271&amp;""=Seating!$I$3&amp;"",B271&lt;&gt;"Declined"),1,0)</f>
        <v/>
      </c>
      <c r="AJ271" s="32">
        <f>N(AJ270)+AI271</f>
        <v/>
      </c>
      <c r="AK271" s="32">
        <f>IF(AI271=1,AJ271,"")</f>
        <v/>
      </c>
    </row>
    <row r="272">
      <c r="A272" s="10" t="n"/>
      <c r="B272" s="47">
        <f>IF(TRIM(A272&amp;"")="","",IF(W272&lt;&gt;"",W272,IF(I272="","Awaiting",I272)))</f>
        <v/>
      </c>
      <c r="C272" s="60">
        <f>IF(OR(B272="Awaiting",B272="Not sure yet"),IF(AD272&lt;&gt;"",HYPERLINK(AD272,"💬 Remind"),"add mobile"),"")</f>
        <v/>
      </c>
      <c r="D272" s="58" t="n"/>
      <c r="E272" s="10" t="n"/>
      <c r="F272" s="10" t="n"/>
      <c r="G272" s="10" t="n"/>
      <c r="H272" s="10" t="n"/>
      <c r="I272" s="10" t="n"/>
      <c r="J272" s="10" t="n"/>
      <c r="K272" s="10" t="n"/>
      <c r="L272" s="56" t="n"/>
      <c r="M272" s="10" t="n"/>
      <c r="N272" s="12" t="n"/>
      <c r="O272" s="10" t="n"/>
      <c r="P272" s="10" t="n"/>
      <c r="Q272" s="61">
        <f>IF(V272="","",IF(T272="","Covered by "&amp;INDEX('Form Calc'!$B:$B,V272)&amp;"'s reply (same party)","Replied "&amp;TEXT(INDEX('Form Calc'!$A:$A,T272),"mm/dd")&amp;" · "&amp;INDEX('Form Calc'!$H:$H,T272)&amp;" adult(s), "&amp;INDEX('Form Calc'!$I:$I,T272)&amp;" child(ren)"&amp;IF(INDEX('Form Calc'!$K:$K,T272)&lt;&gt;""," · "&amp;INDEX('Form Calc'!$K:$K,T272),"")&amp;IF(INDEX('Form Calc'!$M:$M,T272)&lt;&gt;""," · “"&amp;INDEX('Form Calc'!$M:$M,T272)&amp;"”","")))</f>
        <v/>
      </c>
      <c r="R272" s="32">
        <f>SUBSTITUTE(SUBSTITUTE(SUBSTITUTE(SUBSTITUTE(SUBSTITUTE(SUBSTITUTE(SUBSTITUTE(SUBSTITUTE(D272&amp;""," ",""),"-",""),"(",""),")",""),".",""),"+",""),"/",""),CHAR(160),"")</f>
        <v/>
      </c>
      <c r="S272" s="32">
        <f>IF(LEN(R272)&gt;=10,RIGHT(R272,10),R272)</f>
        <v/>
      </c>
      <c r="T272" s="32">
        <f>IF(TRIM(A272&amp;"")="","",IF(S272&lt;&gt;"",IFERROR(MATCH(S272,'Form Calc'!$P:$P,0),IFERROR(MATCH(TRIM(A272&amp;""),'Form Calc'!$Q:$Q,0),"")),IFERROR(MATCH(TRIM(A272&amp;""),'Form Calc'!$Q:$Q,0),"")))</f>
        <v/>
      </c>
      <c r="U272" s="32">
        <f>IF(AND(T272&lt;&gt;"",TRIM(E272&amp;"")&lt;&gt;""),TRIM(E272&amp;""),"")</f>
        <v/>
      </c>
      <c r="V272" s="32">
        <f>IF(TRIM(A272&amp;"")="","",IF(T272&lt;&gt;"",T272,IF(TRIM(E272&amp;"")="","",IFERROR(INDEX($T$6:$T$505,MATCH(TRIM(E272&amp;""),$U$6:$U$505,0)),""))))</f>
        <v/>
      </c>
      <c r="W272" s="32">
        <f>IF(V272="","",INDEX('Form Calc'!$G:$G,V272))</f>
        <v/>
      </c>
      <c r="X272" s="32">
        <f>IF(TRIM(A272&amp;"")="","",IF(T272&lt;&gt;"",IF(INDEX('Form Calc'!$K:$K,T272)&lt;&gt;"",INDEX('Form Calc'!$K:$K,T272),J272&amp;""),J272&amp;""))</f>
        <v/>
      </c>
      <c r="Y272" s="32">
        <f>IF(TRIM(A272&amp;"")="","",IF(TRIM(D272&amp;"")&lt;&gt;"",TRIM(D272&amp;""),IF(T272&lt;&gt;"",INDEX('Form Calc'!$C:$C,T272)&amp;"","")))</f>
        <v/>
      </c>
      <c r="Z272" s="32">
        <f>SUBSTITUTE(SUBSTITUTE(SUBSTITUTE(SUBSTITUTE(SUBSTITUTE(SUBSTITUTE(SUBSTITUTE(SUBSTITUTE(Y272," ",""),"-",""),"(",""),")",""),".",""),"+",""),"/",""),CHAR(160),"")</f>
        <v/>
      </c>
      <c r="AA272" s="32">
        <f>IF(Z272="","",IF(LEN(Z272)=10,"+1"&amp;Z272,IF(AND(LEN(Z272)=11,LEFT(Z272,1)="1"),"+"&amp;Z272,IF(LEFT(Y272,1)="+","+"&amp;Z272,Z272))))</f>
        <v/>
      </c>
      <c r="AB272" s="32">
        <f>IF(TRIM(A272&amp;"")="","",IF(TRIM(M272&amp;"")&lt;&gt;"",TRIM(M272&amp;""),IFERROR(LEFT(TRIM(A272&amp;""),FIND(" ",TRIM(A272&amp;""))-1),TRIM(A272&amp;""))))</f>
        <v/>
      </c>
      <c r="AC272" s="32">
        <f>SUBSTITUTE(SUBSTITUTE(SUBSTITUTE(SUBSTITUTE(SUBSTITUTE(SUBSTITUTE(SUBSTITUTE(SUBSTITUTE(SUBSTITUTE(SUBSTITUTE(AB272,"%","%25"),"&amp;","%26"),"#","%23"),"+","%2B"),"=","%3D"),"?","%3F"),CHAR(34),"%22"),CHAR(10),"%0A"),CHAR(13),"")," ","+")</f>
        <v/>
      </c>
      <c r="AD272" s="32">
        <f>IF(OR(AA272="",AB272=""),"",'Start Here'!$B$20&amp;"#p="&amp;SUBSTITUTE(AA272,"+","%2B")&amp;"&amp;n="&amp;AC272&amp;"&amp;m="&amp;SUBSTITUTE('Start Here'!$B$24,"{name}",AC272))</f>
        <v/>
      </c>
      <c r="AE272" s="32">
        <f>LEN(AD272)</f>
        <v/>
      </c>
      <c r="AF272" s="32">
        <f>IF(AND(TRIM(A272&amp;"")&lt;&gt;"",OR(B272="Awaiting",B272="Not sure yet")),1,0)</f>
        <v/>
      </c>
      <c r="AG272" s="32">
        <f>N(AG271)+AF272</f>
        <v/>
      </c>
      <c r="AH272" s="32">
        <f>IF(AF272=1,AG272,"")</f>
        <v/>
      </c>
      <c r="AI272" s="32">
        <f>IF(AND(TRIM(A272&amp;"")&lt;&gt;"",L272&amp;""&lt;&gt;"",L272&amp;""=Seating!$I$3&amp;"",B272&lt;&gt;"Declined"),1,0)</f>
        <v/>
      </c>
      <c r="AJ272" s="32">
        <f>N(AJ271)+AI272</f>
        <v/>
      </c>
      <c r="AK272" s="32">
        <f>IF(AI272=1,AJ272,"")</f>
        <v/>
      </c>
    </row>
    <row r="273">
      <c r="A273" s="10" t="n"/>
      <c r="B273" s="47">
        <f>IF(TRIM(A273&amp;"")="","",IF(W273&lt;&gt;"",W273,IF(I273="","Awaiting",I273)))</f>
        <v/>
      </c>
      <c r="C273" s="60">
        <f>IF(OR(B273="Awaiting",B273="Not sure yet"),IF(AD273&lt;&gt;"",HYPERLINK(AD273,"💬 Remind"),"add mobile"),"")</f>
        <v/>
      </c>
      <c r="D273" s="58" t="n"/>
      <c r="E273" s="10" t="n"/>
      <c r="F273" s="10" t="n"/>
      <c r="G273" s="10" t="n"/>
      <c r="H273" s="10" t="n"/>
      <c r="I273" s="10" t="n"/>
      <c r="J273" s="10" t="n"/>
      <c r="K273" s="10" t="n"/>
      <c r="L273" s="56" t="n"/>
      <c r="M273" s="10" t="n"/>
      <c r="N273" s="12" t="n"/>
      <c r="O273" s="10" t="n"/>
      <c r="P273" s="10" t="n"/>
      <c r="Q273" s="61">
        <f>IF(V273="","",IF(T273="","Covered by "&amp;INDEX('Form Calc'!$B:$B,V273)&amp;"'s reply (same party)","Replied "&amp;TEXT(INDEX('Form Calc'!$A:$A,T273),"mm/dd")&amp;" · "&amp;INDEX('Form Calc'!$H:$H,T273)&amp;" adult(s), "&amp;INDEX('Form Calc'!$I:$I,T273)&amp;" child(ren)"&amp;IF(INDEX('Form Calc'!$K:$K,T273)&lt;&gt;""," · "&amp;INDEX('Form Calc'!$K:$K,T273),"")&amp;IF(INDEX('Form Calc'!$M:$M,T273)&lt;&gt;""," · “"&amp;INDEX('Form Calc'!$M:$M,T273)&amp;"”","")))</f>
        <v/>
      </c>
      <c r="R273" s="32">
        <f>SUBSTITUTE(SUBSTITUTE(SUBSTITUTE(SUBSTITUTE(SUBSTITUTE(SUBSTITUTE(SUBSTITUTE(SUBSTITUTE(D273&amp;""," ",""),"-",""),"(",""),")",""),".",""),"+",""),"/",""),CHAR(160),"")</f>
        <v/>
      </c>
      <c r="S273" s="32">
        <f>IF(LEN(R273)&gt;=10,RIGHT(R273,10),R273)</f>
        <v/>
      </c>
      <c r="T273" s="32">
        <f>IF(TRIM(A273&amp;"")="","",IF(S273&lt;&gt;"",IFERROR(MATCH(S273,'Form Calc'!$P:$P,0),IFERROR(MATCH(TRIM(A273&amp;""),'Form Calc'!$Q:$Q,0),"")),IFERROR(MATCH(TRIM(A273&amp;""),'Form Calc'!$Q:$Q,0),"")))</f>
        <v/>
      </c>
      <c r="U273" s="32">
        <f>IF(AND(T273&lt;&gt;"",TRIM(E273&amp;"")&lt;&gt;""),TRIM(E273&amp;""),"")</f>
        <v/>
      </c>
      <c r="V273" s="32">
        <f>IF(TRIM(A273&amp;"")="","",IF(T273&lt;&gt;"",T273,IF(TRIM(E273&amp;"")="","",IFERROR(INDEX($T$6:$T$505,MATCH(TRIM(E273&amp;""),$U$6:$U$505,0)),""))))</f>
        <v/>
      </c>
      <c r="W273" s="32">
        <f>IF(V273="","",INDEX('Form Calc'!$G:$G,V273))</f>
        <v/>
      </c>
      <c r="X273" s="32">
        <f>IF(TRIM(A273&amp;"")="","",IF(T273&lt;&gt;"",IF(INDEX('Form Calc'!$K:$K,T273)&lt;&gt;"",INDEX('Form Calc'!$K:$K,T273),J273&amp;""),J273&amp;""))</f>
        <v/>
      </c>
      <c r="Y273" s="32">
        <f>IF(TRIM(A273&amp;"")="","",IF(TRIM(D273&amp;"")&lt;&gt;"",TRIM(D273&amp;""),IF(T273&lt;&gt;"",INDEX('Form Calc'!$C:$C,T273)&amp;"","")))</f>
        <v/>
      </c>
      <c r="Z273" s="32">
        <f>SUBSTITUTE(SUBSTITUTE(SUBSTITUTE(SUBSTITUTE(SUBSTITUTE(SUBSTITUTE(SUBSTITUTE(SUBSTITUTE(Y273," ",""),"-",""),"(",""),")",""),".",""),"+",""),"/",""),CHAR(160),"")</f>
        <v/>
      </c>
      <c r="AA273" s="32">
        <f>IF(Z273="","",IF(LEN(Z273)=10,"+1"&amp;Z273,IF(AND(LEN(Z273)=11,LEFT(Z273,1)="1"),"+"&amp;Z273,IF(LEFT(Y273,1)="+","+"&amp;Z273,Z273))))</f>
        <v/>
      </c>
      <c r="AB273" s="32">
        <f>IF(TRIM(A273&amp;"")="","",IF(TRIM(M273&amp;"")&lt;&gt;"",TRIM(M273&amp;""),IFERROR(LEFT(TRIM(A273&amp;""),FIND(" ",TRIM(A273&amp;""))-1),TRIM(A273&amp;""))))</f>
        <v/>
      </c>
      <c r="AC273" s="32">
        <f>SUBSTITUTE(SUBSTITUTE(SUBSTITUTE(SUBSTITUTE(SUBSTITUTE(SUBSTITUTE(SUBSTITUTE(SUBSTITUTE(SUBSTITUTE(SUBSTITUTE(AB273,"%","%25"),"&amp;","%26"),"#","%23"),"+","%2B"),"=","%3D"),"?","%3F"),CHAR(34),"%22"),CHAR(10),"%0A"),CHAR(13),"")," ","+")</f>
        <v/>
      </c>
      <c r="AD273" s="32">
        <f>IF(OR(AA273="",AB273=""),"",'Start Here'!$B$20&amp;"#p="&amp;SUBSTITUTE(AA273,"+","%2B")&amp;"&amp;n="&amp;AC273&amp;"&amp;m="&amp;SUBSTITUTE('Start Here'!$B$24,"{name}",AC273))</f>
        <v/>
      </c>
      <c r="AE273" s="32">
        <f>LEN(AD273)</f>
        <v/>
      </c>
      <c r="AF273" s="32">
        <f>IF(AND(TRIM(A273&amp;"")&lt;&gt;"",OR(B273="Awaiting",B273="Not sure yet")),1,0)</f>
        <v/>
      </c>
      <c r="AG273" s="32">
        <f>N(AG272)+AF273</f>
        <v/>
      </c>
      <c r="AH273" s="32">
        <f>IF(AF273=1,AG273,"")</f>
        <v/>
      </c>
      <c r="AI273" s="32">
        <f>IF(AND(TRIM(A273&amp;"")&lt;&gt;"",L273&amp;""&lt;&gt;"",L273&amp;""=Seating!$I$3&amp;"",B273&lt;&gt;"Declined"),1,0)</f>
        <v/>
      </c>
      <c r="AJ273" s="32">
        <f>N(AJ272)+AI273</f>
        <v/>
      </c>
      <c r="AK273" s="32">
        <f>IF(AI273=1,AJ273,"")</f>
        <v/>
      </c>
    </row>
    <row r="274">
      <c r="A274" s="10" t="n"/>
      <c r="B274" s="47">
        <f>IF(TRIM(A274&amp;"")="","",IF(W274&lt;&gt;"",W274,IF(I274="","Awaiting",I274)))</f>
        <v/>
      </c>
      <c r="C274" s="60">
        <f>IF(OR(B274="Awaiting",B274="Not sure yet"),IF(AD274&lt;&gt;"",HYPERLINK(AD274,"💬 Remind"),"add mobile"),"")</f>
        <v/>
      </c>
      <c r="D274" s="58" t="n"/>
      <c r="E274" s="10" t="n"/>
      <c r="F274" s="10" t="n"/>
      <c r="G274" s="10" t="n"/>
      <c r="H274" s="10" t="n"/>
      <c r="I274" s="10" t="n"/>
      <c r="J274" s="10" t="n"/>
      <c r="K274" s="10" t="n"/>
      <c r="L274" s="56" t="n"/>
      <c r="M274" s="10" t="n"/>
      <c r="N274" s="12" t="n"/>
      <c r="O274" s="10" t="n"/>
      <c r="P274" s="10" t="n"/>
      <c r="Q274" s="61">
        <f>IF(V274="","",IF(T274="","Covered by "&amp;INDEX('Form Calc'!$B:$B,V274)&amp;"'s reply (same party)","Replied "&amp;TEXT(INDEX('Form Calc'!$A:$A,T274),"mm/dd")&amp;" · "&amp;INDEX('Form Calc'!$H:$H,T274)&amp;" adult(s), "&amp;INDEX('Form Calc'!$I:$I,T274)&amp;" child(ren)"&amp;IF(INDEX('Form Calc'!$K:$K,T274)&lt;&gt;""," · "&amp;INDEX('Form Calc'!$K:$K,T274),"")&amp;IF(INDEX('Form Calc'!$M:$M,T274)&lt;&gt;""," · “"&amp;INDEX('Form Calc'!$M:$M,T274)&amp;"”","")))</f>
        <v/>
      </c>
      <c r="R274" s="32">
        <f>SUBSTITUTE(SUBSTITUTE(SUBSTITUTE(SUBSTITUTE(SUBSTITUTE(SUBSTITUTE(SUBSTITUTE(SUBSTITUTE(D274&amp;""," ",""),"-",""),"(",""),")",""),".",""),"+",""),"/",""),CHAR(160),"")</f>
        <v/>
      </c>
      <c r="S274" s="32">
        <f>IF(LEN(R274)&gt;=10,RIGHT(R274,10),R274)</f>
        <v/>
      </c>
      <c r="T274" s="32">
        <f>IF(TRIM(A274&amp;"")="","",IF(S274&lt;&gt;"",IFERROR(MATCH(S274,'Form Calc'!$P:$P,0),IFERROR(MATCH(TRIM(A274&amp;""),'Form Calc'!$Q:$Q,0),"")),IFERROR(MATCH(TRIM(A274&amp;""),'Form Calc'!$Q:$Q,0),"")))</f>
        <v/>
      </c>
      <c r="U274" s="32">
        <f>IF(AND(T274&lt;&gt;"",TRIM(E274&amp;"")&lt;&gt;""),TRIM(E274&amp;""),"")</f>
        <v/>
      </c>
      <c r="V274" s="32">
        <f>IF(TRIM(A274&amp;"")="","",IF(T274&lt;&gt;"",T274,IF(TRIM(E274&amp;"")="","",IFERROR(INDEX($T$6:$T$505,MATCH(TRIM(E274&amp;""),$U$6:$U$505,0)),""))))</f>
        <v/>
      </c>
      <c r="W274" s="32">
        <f>IF(V274="","",INDEX('Form Calc'!$G:$G,V274))</f>
        <v/>
      </c>
      <c r="X274" s="32">
        <f>IF(TRIM(A274&amp;"")="","",IF(T274&lt;&gt;"",IF(INDEX('Form Calc'!$K:$K,T274)&lt;&gt;"",INDEX('Form Calc'!$K:$K,T274),J274&amp;""),J274&amp;""))</f>
        <v/>
      </c>
      <c r="Y274" s="32">
        <f>IF(TRIM(A274&amp;"")="","",IF(TRIM(D274&amp;"")&lt;&gt;"",TRIM(D274&amp;""),IF(T274&lt;&gt;"",INDEX('Form Calc'!$C:$C,T274)&amp;"","")))</f>
        <v/>
      </c>
      <c r="Z274" s="32">
        <f>SUBSTITUTE(SUBSTITUTE(SUBSTITUTE(SUBSTITUTE(SUBSTITUTE(SUBSTITUTE(SUBSTITUTE(SUBSTITUTE(Y274," ",""),"-",""),"(",""),")",""),".",""),"+",""),"/",""),CHAR(160),"")</f>
        <v/>
      </c>
      <c r="AA274" s="32">
        <f>IF(Z274="","",IF(LEN(Z274)=10,"+1"&amp;Z274,IF(AND(LEN(Z274)=11,LEFT(Z274,1)="1"),"+"&amp;Z274,IF(LEFT(Y274,1)="+","+"&amp;Z274,Z274))))</f>
        <v/>
      </c>
      <c r="AB274" s="32">
        <f>IF(TRIM(A274&amp;"")="","",IF(TRIM(M274&amp;"")&lt;&gt;"",TRIM(M274&amp;""),IFERROR(LEFT(TRIM(A274&amp;""),FIND(" ",TRIM(A274&amp;""))-1),TRIM(A274&amp;""))))</f>
        <v/>
      </c>
      <c r="AC274" s="32">
        <f>SUBSTITUTE(SUBSTITUTE(SUBSTITUTE(SUBSTITUTE(SUBSTITUTE(SUBSTITUTE(SUBSTITUTE(SUBSTITUTE(SUBSTITUTE(SUBSTITUTE(AB274,"%","%25"),"&amp;","%26"),"#","%23"),"+","%2B"),"=","%3D"),"?","%3F"),CHAR(34),"%22"),CHAR(10),"%0A"),CHAR(13),"")," ","+")</f>
        <v/>
      </c>
      <c r="AD274" s="32">
        <f>IF(OR(AA274="",AB274=""),"",'Start Here'!$B$20&amp;"#p="&amp;SUBSTITUTE(AA274,"+","%2B")&amp;"&amp;n="&amp;AC274&amp;"&amp;m="&amp;SUBSTITUTE('Start Here'!$B$24,"{name}",AC274))</f>
        <v/>
      </c>
      <c r="AE274" s="32">
        <f>LEN(AD274)</f>
        <v/>
      </c>
      <c r="AF274" s="32">
        <f>IF(AND(TRIM(A274&amp;"")&lt;&gt;"",OR(B274="Awaiting",B274="Not sure yet")),1,0)</f>
        <v/>
      </c>
      <c r="AG274" s="32">
        <f>N(AG273)+AF274</f>
        <v/>
      </c>
      <c r="AH274" s="32">
        <f>IF(AF274=1,AG274,"")</f>
        <v/>
      </c>
      <c r="AI274" s="32">
        <f>IF(AND(TRIM(A274&amp;"")&lt;&gt;"",L274&amp;""&lt;&gt;"",L274&amp;""=Seating!$I$3&amp;"",B274&lt;&gt;"Declined"),1,0)</f>
        <v/>
      </c>
      <c r="AJ274" s="32">
        <f>N(AJ273)+AI274</f>
        <v/>
      </c>
      <c r="AK274" s="32">
        <f>IF(AI274=1,AJ274,"")</f>
        <v/>
      </c>
    </row>
    <row r="275">
      <c r="A275" s="10" t="n"/>
      <c r="B275" s="47">
        <f>IF(TRIM(A275&amp;"")="","",IF(W275&lt;&gt;"",W275,IF(I275="","Awaiting",I275)))</f>
        <v/>
      </c>
      <c r="C275" s="60">
        <f>IF(OR(B275="Awaiting",B275="Not sure yet"),IF(AD275&lt;&gt;"",HYPERLINK(AD275,"💬 Remind"),"add mobile"),"")</f>
        <v/>
      </c>
      <c r="D275" s="58" t="n"/>
      <c r="E275" s="10" t="n"/>
      <c r="F275" s="10" t="n"/>
      <c r="G275" s="10" t="n"/>
      <c r="H275" s="10" t="n"/>
      <c r="I275" s="10" t="n"/>
      <c r="J275" s="10" t="n"/>
      <c r="K275" s="10" t="n"/>
      <c r="L275" s="56" t="n"/>
      <c r="M275" s="10" t="n"/>
      <c r="N275" s="12" t="n"/>
      <c r="O275" s="10" t="n"/>
      <c r="P275" s="10" t="n"/>
      <c r="Q275" s="61">
        <f>IF(V275="","",IF(T275="","Covered by "&amp;INDEX('Form Calc'!$B:$B,V275)&amp;"'s reply (same party)","Replied "&amp;TEXT(INDEX('Form Calc'!$A:$A,T275),"mm/dd")&amp;" · "&amp;INDEX('Form Calc'!$H:$H,T275)&amp;" adult(s), "&amp;INDEX('Form Calc'!$I:$I,T275)&amp;" child(ren)"&amp;IF(INDEX('Form Calc'!$K:$K,T275)&lt;&gt;""," · "&amp;INDEX('Form Calc'!$K:$K,T275),"")&amp;IF(INDEX('Form Calc'!$M:$M,T275)&lt;&gt;""," · “"&amp;INDEX('Form Calc'!$M:$M,T275)&amp;"”","")))</f>
        <v/>
      </c>
      <c r="R275" s="32">
        <f>SUBSTITUTE(SUBSTITUTE(SUBSTITUTE(SUBSTITUTE(SUBSTITUTE(SUBSTITUTE(SUBSTITUTE(SUBSTITUTE(D275&amp;""," ",""),"-",""),"(",""),")",""),".",""),"+",""),"/",""),CHAR(160),"")</f>
        <v/>
      </c>
      <c r="S275" s="32">
        <f>IF(LEN(R275)&gt;=10,RIGHT(R275,10),R275)</f>
        <v/>
      </c>
      <c r="T275" s="32">
        <f>IF(TRIM(A275&amp;"")="","",IF(S275&lt;&gt;"",IFERROR(MATCH(S275,'Form Calc'!$P:$P,0),IFERROR(MATCH(TRIM(A275&amp;""),'Form Calc'!$Q:$Q,0),"")),IFERROR(MATCH(TRIM(A275&amp;""),'Form Calc'!$Q:$Q,0),"")))</f>
        <v/>
      </c>
      <c r="U275" s="32">
        <f>IF(AND(T275&lt;&gt;"",TRIM(E275&amp;"")&lt;&gt;""),TRIM(E275&amp;""),"")</f>
        <v/>
      </c>
      <c r="V275" s="32">
        <f>IF(TRIM(A275&amp;"")="","",IF(T275&lt;&gt;"",T275,IF(TRIM(E275&amp;"")="","",IFERROR(INDEX($T$6:$T$505,MATCH(TRIM(E275&amp;""),$U$6:$U$505,0)),""))))</f>
        <v/>
      </c>
      <c r="W275" s="32">
        <f>IF(V275="","",INDEX('Form Calc'!$G:$G,V275))</f>
        <v/>
      </c>
      <c r="X275" s="32">
        <f>IF(TRIM(A275&amp;"")="","",IF(T275&lt;&gt;"",IF(INDEX('Form Calc'!$K:$K,T275)&lt;&gt;"",INDEX('Form Calc'!$K:$K,T275),J275&amp;""),J275&amp;""))</f>
        <v/>
      </c>
      <c r="Y275" s="32">
        <f>IF(TRIM(A275&amp;"")="","",IF(TRIM(D275&amp;"")&lt;&gt;"",TRIM(D275&amp;""),IF(T275&lt;&gt;"",INDEX('Form Calc'!$C:$C,T275)&amp;"","")))</f>
        <v/>
      </c>
      <c r="Z275" s="32">
        <f>SUBSTITUTE(SUBSTITUTE(SUBSTITUTE(SUBSTITUTE(SUBSTITUTE(SUBSTITUTE(SUBSTITUTE(SUBSTITUTE(Y275," ",""),"-",""),"(",""),")",""),".",""),"+",""),"/",""),CHAR(160),"")</f>
        <v/>
      </c>
      <c r="AA275" s="32">
        <f>IF(Z275="","",IF(LEN(Z275)=10,"+1"&amp;Z275,IF(AND(LEN(Z275)=11,LEFT(Z275,1)="1"),"+"&amp;Z275,IF(LEFT(Y275,1)="+","+"&amp;Z275,Z275))))</f>
        <v/>
      </c>
      <c r="AB275" s="32">
        <f>IF(TRIM(A275&amp;"")="","",IF(TRIM(M275&amp;"")&lt;&gt;"",TRIM(M275&amp;""),IFERROR(LEFT(TRIM(A275&amp;""),FIND(" ",TRIM(A275&amp;""))-1),TRIM(A275&amp;""))))</f>
        <v/>
      </c>
      <c r="AC275" s="32">
        <f>SUBSTITUTE(SUBSTITUTE(SUBSTITUTE(SUBSTITUTE(SUBSTITUTE(SUBSTITUTE(SUBSTITUTE(SUBSTITUTE(SUBSTITUTE(SUBSTITUTE(AB275,"%","%25"),"&amp;","%26"),"#","%23"),"+","%2B"),"=","%3D"),"?","%3F"),CHAR(34),"%22"),CHAR(10),"%0A"),CHAR(13),"")," ","+")</f>
        <v/>
      </c>
      <c r="AD275" s="32">
        <f>IF(OR(AA275="",AB275=""),"",'Start Here'!$B$20&amp;"#p="&amp;SUBSTITUTE(AA275,"+","%2B")&amp;"&amp;n="&amp;AC275&amp;"&amp;m="&amp;SUBSTITUTE('Start Here'!$B$24,"{name}",AC275))</f>
        <v/>
      </c>
      <c r="AE275" s="32">
        <f>LEN(AD275)</f>
        <v/>
      </c>
      <c r="AF275" s="32">
        <f>IF(AND(TRIM(A275&amp;"")&lt;&gt;"",OR(B275="Awaiting",B275="Not sure yet")),1,0)</f>
        <v/>
      </c>
      <c r="AG275" s="32">
        <f>N(AG274)+AF275</f>
        <v/>
      </c>
      <c r="AH275" s="32">
        <f>IF(AF275=1,AG275,"")</f>
        <v/>
      </c>
      <c r="AI275" s="32">
        <f>IF(AND(TRIM(A275&amp;"")&lt;&gt;"",L275&amp;""&lt;&gt;"",L275&amp;""=Seating!$I$3&amp;"",B275&lt;&gt;"Declined"),1,0)</f>
        <v/>
      </c>
      <c r="AJ275" s="32">
        <f>N(AJ274)+AI275</f>
        <v/>
      </c>
      <c r="AK275" s="32">
        <f>IF(AI275=1,AJ275,"")</f>
        <v/>
      </c>
    </row>
    <row r="276">
      <c r="A276" s="10" t="n"/>
      <c r="B276" s="47">
        <f>IF(TRIM(A276&amp;"")="","",IF(W276&lt;&gt;"",W276,IF(I276="","Awaiting",I276)))</f>
        <v/>
      </c>
      <c r="C276" s="60">
        <f>IF(OR(B276="Awaiting",B276="Not sure yet"),IF(AD276&lt;&gt;"",HYPERLINK(AD276,"💬 Remind"),"add mobile"),"")</f>
        <v/>
      </c>
      <c r="D276" s="58" t="n"/>
      <c r="E276" s="10" t="n"/>
      <c r="F276" s="10" t="n"/>
      <c r="G276" s="10" t="n"/>
      <c r="H276" s="10" t="n"/>
      <c r="I276" s="10" t="n"/>
      <c r="J276" s="10" t="n"/>
      <c r="K276" s="10" t="n"/>
      <c r="L276" s="56" t="n"/>
      <c r="M276" s="10" t="n"/>
      <c r="N276" s="12" t="n"/>
      <c r="O276" s="10" t="n"/>
      <c r="P276" s="10" t="n"/>
      <c r="Q276" s="61">
        <f>IF(V276="","",IF(T276="","Covered by "&amp;INDEX('Form Calc'!$B:$B,V276)&amp;"'s reply (same party)","Replied "&amp;TEXT(INDEX('Form Calc'!$A:$A,T276),"mm/dd")&amp;" · "&amp;INDEX('Form Calc'!$H:$H,T276)&amp;" adult(s), "&amp;INDEX('Form Calc'!$I:$I,T276)&amp;" child(ren)"&amp;IF(INDEX('Form Calc'!$K:$K,T276)&lt;&gt;""," · "&amp;INDEX('Form Calc'!$K:$K,T276),"")&amp;IF(INDEX('Form Calc'!$M:$M,T276)&lt;&gt;""," · “"&amp;INDEX('Form Calc'!$M:$M,T276)&amp;"”","")))</f>
        <v/>
      </c>
      <c r="R276" s="32">
        <f>SUBSTITUTE(SUBSTITUTE(SUBSTITUTE(SUBSTITUTE(SUBSTITUTE(SUBSTITUTE(SUBSTITUTE(SUBSTITUTE(D276&amp;""," ",""),"-",""),"(",""),")",""),".",""),"+",""),"/",""),CHAR(160),"")</f>
        <v/>
      </c>
      <c r="S276" s="32">
        <f>IF(LEN(R276)&gt;=10,RIGHT(R276,10),R276)</f>
        <v/>
      </c>
      <c r="T276" s="32">
        <f>IF(TRIM(A276&amp;"")="","",IF(S276&lt;&gt;"",IFERROR(MATCH(S276,'Form Calc'!$P:$P,0),IFERROR(MATCH(TRIM(A276&amp;""),'Form Calc'!$Q:$Q,0),"")),IFERROR(MATCH(TRIM(A276&amp;""),'Form Calc'!$Q:$Q,0),"")))</f>
        <v/>
      </c>
      <c r="U276" s="32">
        <f>IF(AND(T276&lt;&gt;"",TRIM(E276&amp;"")&lt;&gt;""),TRIM(E276&amp;""),"")</f>
        <v/>
      </c>
      <c r="V276" s="32">
        <f>IF(TRIM(A276&amp;"")="","",IF(T276&lt;&gt;"",T276,IF(TRIM(E276&amp;"")="","",IFERROR(INDEX($T$6:$T$505,MATCH(TRIM(E276&amp;""),$U$6:$U$505,0)),""))))</f>
        <v/>
      </c>
      <c r="W276" s="32">
        <f>IF(V276="","",INDEX('Form Calc'!$G:$G,V276))</f>
        <v/>
      </c>
      <c r="X276" s="32">
        <f>IF(TRIM(A276&amp;"")="","",IF(T276&lt;&gt;"",IF(INDEX('Form Calc'!$K:$K,T276)&lt;&gt;"",INDEX('Form Calc'!$K:$K,T276),J276&amp;""),J276&amp;""))</f>
        <v/>
      </c>
      <c r="Y276" s="32">
        <f>IF(TRIM(A276&amp;"")="","",IF(TRIM(D276&amp;"")&lt;&gt;"",TRIM(D276&amp;""),IF(T276&lt;&gt;"",INDEX('Form Calc'!$C:$C,T276)&amp;"","")))</f>
        <v/>
      </c>
      <c r="Z276" s="32">
        <f>SUBSTITUTE(SUBSTITUTE(SUBSTITUTE(SUBSTITUTE(SUBSTITUTE(SUBSTITUTE(SUBSTITUTE(SUBSTITUTE(Y276," ",""),"-",""),"(",""),")",""),".",""),"+",""),"/",""),CHAR(160),"")</f>
        <v/>
      </c>
      <c r="AA276" s="32">
        <f>IF(Z276="","",IF(LEN(Z276)=10,"+1"&amp;Z276,IF(AND(LEN(Z276)=11,LEFT(Z276,1)="1"),"+"&amp;Z276,IF(LEFT(Y276,1)="+","+"&amp;Z276,Z276))))</f>
        <v/>
      </c>
      <c r="AB276" s="32">
        <f>IF(TRIM(A276&amp;"")="","",IF(TRIM(M276&amp;"")&lt;&gt;"",TRIM(M276&amp;""),IFERROR(LEFT(TRIM(A276&amp;""),FIND(" ",TRIM(A276&amp;""))-1),TRIM(A276&amp;""))))</f>
        <v/>
      </c>
      <c r="AC276" s="32">
        <f>SUBSTITUTE(SUBSTITUTE(SUBSTITUTE(SUBSTITUTE(SUBSTITUTE(SUBSTITUTE(SUBSTITUTE(SUBSTITUTE(SUBSTITUTE(SUBSTITUTE(AB276,"%","%25"),"&amp;","%26"),"#","%23"),"+","%2B"),"=","%3D"),"?","%3F"),CHAR(34),"%22"),CHAR(10),"%0A"),CHAR(13),"")," ","+")</f>
        <v/>
      </c>
      <c r="AD276" s="32">
        <f>IF(OR(AA276="",AB276=""),"",'Start Here'!$B$20&amp;"#p="&amp;SUBSTITUTE(AA276,"+","%2B")&amp;"&amp;n="&amp;AC276&amp;"&amp;m="&amp;SUBSTITUTE('Start Here'!$B$24,"{name}",AC276))</f>
        <v/>
      </c>
      <c r="AE276" s="32">
        <f>LEN(AD276)</f>
        <v/>
      </c>
      <c r="AF276" s="32">
        <f>IF(AND(TRIM(A276&amp;"")&lt;&gt;"",OR(B276="Awaiting",B276="Not sure yet")),1,0)</f>
        <v/>
      </c>
      <c r="AG276" s="32">
        <f>N(AG275)+AF276</f>
        <v/>
      </c>
      <c r="AH276" s="32">
        <f>IF(AF276=1,AG276,"")</f>
        <v/>
      </c>
      <c r="AI276" s="32">
        <f>IF(AND(TRIM(A276&amp;"")&lt;&gt;"",L276&amp;""&lt;&gt;"",L276&amp;""=Seating!$I$3&amp;"",B276&lt;&gt;"Declined"),1,0)</f>
        <v/>
      </c>
      <c r="AJ276" s="32">
        <f>N(AJ275)+AI276</f>
        <v/>
      </c>
      <c r="AK276" s="32">
        <f>IF(AI276=1,AJ276,"")</f>
        <v/>
      </c>
    </row>
    <row r="277">
      <c r="A277" s="10" t="n"/>
      <c r="B277" s="47">
        <f>IF(TRIM(A277&amp;"")="","",IF(W277&lt;&gt;"",W277,IF(I277="","Awaiting",I277)))</f>
        <v/>
      </c>
      <c r="C277" s="60">
        <f>IF(OR(B277="Awaiting",B277="Not sure yet"),IF(AD277&lt;&gt;"",HYPERLINK(AD277,"💬 Remind"),"add mobile"),"")</f>
        <v/>
      </c>
      <c r="D277" s="58" t="n"/>
      <c r="E277" s="10" t="n"/>
      <c r="F277" s="10" t="n"/>
      <c r="G277" s="10" t="n"/>
      <c r="H277" s="10" t="n"/>
      <c r="I277" s="10" t="n"/>
      <c r="J277" s="10" t="n"/>
      <c r="K277" s="10" t="n"/>
      <c r="L277" s="56" t="n"/>
      <c r="M277" s="10" t="n"/>
      <c r="N277" s="12" t="n"/>
      <c r="O277" s="10" t="n"/>
      <c r="P277" s="10" t="n"/>
      <c r="Q277" s="61">
        <f>IF(V277="","",IF(T277="","Covered by "&amp;INDEX('Form Calc'!$B:$B,V277)&amp;"'s reply (same party)","Replied "&amp;TEXT(INDEX('Form Calc'!$A:$A,T277),"mm/dd")&amp;" · "&amp;INDEX('Form Calc'!$H:$H,T277)&amp;" adult(s), "&amp;INDEX('Form Calc'!$I:$I,T277)&amp;" child(ren)"&amp;IF(INDEX('Form Calc'!$K:$K,T277)&lt;&gt;""," · "&amp;INDEX('Form Calc'!$K:$K,T277),"")&amp;IF(INDEX('Form Calc'!$M:$M,T277)&lt;&gt;""," · “"&amp;INDEX('Form Calc'!$M:$M,T277)&amp;"”","")))</f>
        <v/>
      </c>
      <c r="R277" s="32">
        <f>SUBSTITUTE(SUBSTITUTE(SUBSTITUTE(SUBSTITUTE(SUBSTITUTE(SUBSTITUTE(SUBSTITUTE(SUBSTITUTE(D277&amp;""," ",""),"-",""),"(",""),")",""),".",""),"+",""),"/",""),CHAR(160),"")</f>
        <v/>
      </c>
      <c r="S277" s="32">
        <f>IF(LEN(R277)&gt;=10,RIGHT(R277,10),R277)</f>
        <v/>
      </c>
      <c r="T277" s="32">
        <f>IF(TRIM(A277&amp;"")="","",IF(S277&lt;&gt;"",IFERROR(MATCH(S277,'Form Calc'!$P:$P,0),IFERROR(MATCH(TRIM(A277&amp;""),'Form Calc'!$Q:$Q,0),"")),IFERROR(MATCH(TRIM(A277&amp;""),'Form Calc'!$Q:$Q,0),"")))</f>
        <v/>
      </c>
      <c r="U277" s="32">
        <f>IF(AND(T277&lt;&gt;"",TRIM(E277&amp;"")&lt;&gt;""),TRIM(E277&amp;""),"")</f>
        <v/>
      </c>
      <c r="V277" s="32">
        <f>IF(TRIM(A277&amp;"")="","",IF(T277&lt;&gt;"",T277,IF(TRIM(E277&amp;"")="","",IFERROR(INDEX($T$6:$T$505,MATCH(TRIM(E277&amp;""),$U$6:$U$505,0)),""))))</f>
        <v/>
      </c>
      <c r="W277" s="32">
        <f>IF(V277="","",INDEX('Form Calc'!$G:$G,V277))</f>
        <v/>
      </c>
      <c r="X277" s="32">
        <f>IF(TRIM(A277&amp;"")="","",IF(T277&lt;&gt;"",IF(INDEX('Form Calc'!$K:$K,T277)&lt;&gt;"",INDEX('Form Calc'!$K:$K,T277),J277&amp;""),J277&amp;""))</f>
        <v/>
      </c>
      <c r="Y277" s="32">
        <f>IF(TRIM(A277&amp;"")="","",IF(TRIM(D277&amp;"")&lt;&gt;"",TRIM(D277&amp;""),IF(T277&lt;&gt;"",INDEX('Form Calc'!$C:$C,T277)&amp;"","")))</f>
        <v/>
      </c>
      <c r="Z277" s="32">
        <f>SUBSTITUTE(SUBSTITUTE(SUBSTITUTE(SUBSTITUTE(SUBSTITUTE(SUBSTITUTE(SUBSTITUTE(SUBSTITUTE(Y277," ",""),"-",""),"(",""),")",""),".",""),"+",""),"/",""),CHAR(160),"")</f>
        <v/>
      </c>
      <c r="AA277" s="32">
        <f>IF(Z277="","",IF(LEN(Z277)=10,"+1"&amp;Z277,IF(AND(LEN(Z277)=11,LEFT(Z277,1)="1"),"+"&amp;Z277,IF(LEFT(Y277,1)="+","+"&amp;Z277,Z277))))</f>
        <v/>
      </c>
      <c r="AB277" s="32">
        <f>IF(TRIM(A277&amp;"")="","",IF(TRIM(M277&amp;"")&lt;&gt;"",TRIM(M277&amp;""),IFERROR(LEFT(TRIM(A277&amp;""),FIND(" ",TRIM(A277&amp;""))-1),TRIM(A277&amp;""))))</f>
        <v/>
      </c>
      <c r="AC277" s="32">
        <f>SUBSTITUTE(SUBSTITUTE(SUBSTITUTE(SUBSTITUTE(SUBSTITUTE(SUBSTITUTE(SUBSTITUTE(SUBSTITUTE(SUBSTITUTE(SUBSTITUTE(AB277,"%","%25"),"&amp;","%26"),"#","%23"),"+","%2B"),"=","%3D"),"?","%3F"),CHAR(34),"%22"),CHAR(10),"%0A"),CHAR(13),"")," ","+")</f>
        <v/>
      </c>
      <c r="AD277" s="32">
        <f>IF(OR(AA277="",AB277=""),"",'Start Here'!$B$20&amp;"#p="&amp;SUBSTITUTE(AA277,"+","%2B")&amp;"&amp;n="&amp;AC277&amp;"&amp;m="&amp;SUBSTITUTE('Start Here'!$B$24,"{name}",AC277))</f>
        <v/>
      </c>
      <c r="AE277" s="32">
        <f>LEN(AD277)</f>
        <v/>
      </c>
      <c r="AF277" s="32">
        <f>IF(AND(TRIM(A277&amp;"")&lt;&gt;"",OR(B277="Awaiting",B277="Not sure yet")),1,0)</f>
        <v/>
      </c>
      <c r="AG277" s="32">
        <f>N(AG276)+AF277</f>
        <v/>
      </c>
      <c r="AH277" s="32">
        <f>IF(AF277=1,AG277,"")</f>
        <v/>
      </c>
      <c r="AI277" s="32">
        <f>IF(AND(TRIM(A277&amp;"")&lt;&gt;"",L277&amp;""&lt;&gt;"",L277&amp;""=Seating!$I$3&amp;"",B277&lt;&gt;"Declined"),1,0)</f>
        <v/>
      </c>
      <c r="AJ277" s="32">
        <f>N(AJ276)+AI277</f>
        <v/>
      </c>
      <c r="AK277" s="32">
        <f>IF(AI277=1,AJ277,"")</f>
        <v/>
      </c>
    </row>
    <row r="278">
      <c r="A278" s="10" t="n"/>
      <c r="B278" s="47">
        <f>IF(TRIM(A278&amp;"")="","",IF(W278&lt;&gt;"",W278,IF(I278="","Awaiting",I278)))</f>
        <v/>
      </c>
      <c r="C278" s="60">
        <f>IF(OR(B278="Awaiting",B278="Not sure yet"),IF(AD278&lt;&gt;"",HYPERLINK(AD278,"💬 Remind"),"add mobile"),"")</f>
        <v/>
      </c>
      <c r="D278" s="58" t="n"/>
      <c r="E278" s="10" t="n"/>
      <c r="F278" s="10" t="n"/>
      <c r="G278" s="10" t="n"/>
      <c r="H278" s="10" t="n"/>
      <c r="I278" s="10" t="n"/>
      <c r="J278" s="10" t="n"/>
      <c r="K278" s="10" t="n"/>
      <c r="L278" s="56" t="n"/>
      <c r="M278" s="10" t="n"/>
      <c r="N278" s="12" t="n"/>
      <c r="O278" s="10" t="n"/>
      <c r="P278" s="10" t="n"/>
      <c r="Q278" s="61">
        <f>IF(V278="","",IF(T278="","Covered by "&amp;INDEX('Form Calc'!$B:$B,V278)&amp;"'s reply (same party)","Replied "&amp;TEXT(INDEX('Form Calc'!$A:$A,T278),"mm/dd")&amp;" · "&amp;INDEX('Form Calc'!$H:$H,T278)&amp;" adult(s), "&amp;INDEX('Form Calc'!$I:$I,T278)&amp;" child(ren)"&amp;IF(INDEX('Form Calc'!$K:$K,T278)&lt;&gt;""," · "&amp;INDEX('Form Calc'!$K:$K,T278),"")&amp;IF(INDEX('Form Calc'!$M:$M,T278)&lt;&gt;""," · “"&amp;INDEX('Form Calc'!$M:$M,T278)&amp;"”","")))</f>
        <v/>
      </c>
      <c r="R278" s="32">
        <f>SUBSTITUTE(SUBSTITUTE(SUBSTITUTE(SUBSTITUTE(SUBSTITUTE(SUBSTITUTE(SUBSTITUTE(SUBSTITUTE(D278&amp;""," ",""),"-",""),"(",""),")",""),".",""),"+",""),"/",""),CHAR(160),"")</f>
        <v/>
      </c>
      <c r="S278" s="32">
        <f>IF(LEN(R278)&gt;=10,RIGHT(R278,10),R278)</f>
        <v/>
      </c>
      <c r="T278" s="32">
        <f>IF(TRIM(A278&amp;"")="","",IF(S278&lt;&gt;"",IFERROR(MATCH(S278,'Form Calc'!$P:$P,0),IFERROR(MATCH(TRIM(A278&amp;""),'Form Calc'!$Q:$Q,0),"")),IFERROR(MATCH(TRIM(A278&amp;""),'Form Calc'!$Q:$Q,0),"")))</f>
        <v/>
      </c>
      <c r="U278" s="32">
        <f>IF(AND(T278&lt;&gt;"",TRIM(E278&amp;"")&lt;&gt;""),TRIM(E278&amp;""),"")</f>
        <v/>
      </c>
      <c r="V278" s="32">
        <f>IF(TRIM(A278&amp;"")="","",IF(T278&lt;&gt;"",T278,IF(TRIM(E278&amp;"")="","",IFERROR(INDEX($T$6:$T$505,MATCH(TRIM(E278&amp;""),$U$6:$U$505,0)),""))))</f>
        <v/>
      </c>
      <c r="W278" s="32">
        <f>IF(V278="","",INDEX('Form Calc'!$G:$G,V278))</f>
        <v/>
      </c>
      <c r="X278" s="32">
        <f>IF(TRIM(A278&amp;"")="","",IF(T278&lt;&gt;"",IF(INDEX('Form Calc'!$K:$K,T278)&lt;&gt;"",INDEX('Form Calc'!$K:$K,T278),J278&amp;""),J278&amp;""))</f>
        <v/>
      </c>
      <c r="Y278" s="32">
        <f>IF(TRIM(A278&amp;"")="","",IF(TRIM(D278&amp;"")&lt;&gt;"",TRIM(D278&amp;""),IF(T278&lt;&gt;"",INDEX('Form Calc'!$C:$C,T278)&amp;"","")))</f>
        <v/>
      </c>
      <c r="Z278" s="32">
        <f>SUBSTITUTE(SUBSTITUTE(SUBSTITUTE(SUBSTITUTE(SUBSTITUTE(SUBSTITUTE(SUBSTITUTE(SUBSTITUTE(Y278," ",""),"-",""),"(",""),")",""),".",""),"+",""),"/",""),CHAR(160),"")</f>
        <v/>
      </c>
      <c r="AA278" s="32">
        <f>IF(Z278="","",IF(LEN(Z278)=10,"+1"&amp;Z278,IF(AND(LEN(Z278)=11,LEFT(Z278,1)="1"),"+"&amp;Z278,IF(LEFT(Y278,1)="+","+"&amp;Z278,Z278))))</f>
        <v/>
      </c>
      <c r="AB278" s="32">
        <f>IF(TRIM(A278&amp;"")="","",IF(TRIM(M278&amp;"")&lt;&gt;"",TRIM(M278&amp;""),IFERROR(LEFT(TRIM(A278&amp;""),FIND(" ",TRIM(A278&amp;""))-1),TRIM(A278&amp;""))))</f>
        <v/>
      </c>
      <c r="AC278" s="32">
        <f>SUBSTITUTE(SUBSTITUTE(SUBSTITUTE(SUBSTITUTE(SUBSTITUTE(SUBSTITUTE(SUBSTITUTE(SUBSTITUTE(SUBSTITUTE(SUBSTITUTE(AB278,"%","%25"),"&amp;","%26"),"#","%23"),"+","%2B"),"=","%3D"),"?","%3F"),CHAR(34),"%22"),CHAR(10),"%0A"),CHAR(13),"")," ","+")</f>
        <v/>
      </c>
      <c r="AD278" s="32">
        <f>IF(OR(AA278="",AB278=""),"",'Start Here'!$B$20&amp;"#p="&amp;SUBSTITUTE(AA278,"+","%2B")&amp;"&amp;n="&amp;AC278&amp;"&amp;m="&amp;SUBSTITUTE('Start Here'!$B$24,"{name}",AC278))</f>
        <v/>
      </c>
      <c r="AE278" s="32">
        <f>LEN(AD278)</f>
        <v/>
      </c>
      <c r="AF278" s="32">
        <f>IF(AND(TRIM(A278&amp;"")&lt;&gt;"",OR(B278="Awaiting",B278="Not sure yet")),1,0)</f>
        <v/>
      </c>
      <c r="AG278" s="32">
        <f>N(AG277)+AF278</f>
        <v/>
      </c>
      <c r="AH278" s="32">
        <f>IF(AF278=1,AG278,"")</f>
        <v/>
      </c>
      <c r="AI278" s="32">
        <f>IF(AND(TRIM(A278&amp;"")&lt;&gt;"",L278&amp;""&lt;&gt;"",L278&amp;""=Seating!$I$3&amp;"",B278&lt;&gt;"Declined"),1,0)</f>
        <v/>
      </c>
      <c r="AJ278" s="32">
        <f>N(AJ277)+AI278</f>
        <v/>
      </c>
      <c r="AK278" s="32">
        <f>IF(AI278=1,AJ278,"")</f>
        <v/>
      </c>
    </row>
    <row r="279">
      <c r="A279" s="10" t="n"/>
      <c r="B279" s="47">
        <f>IF(TRIM(A279&amp;"")="","",IF(W279&lt;&gt;"",W279,IF(I279="","Awaiting",I279)))</f>
        <v/>
      </c>
      <c r="C279" s="60">
        <f>IF(OR(B279="Awaiting",B279="Not sure yet"),IF(AD279&lt;&gt;"",HYPERLINK(AD279,"💬 Remind"),"add mobile"),"")</f>
        <v/>
      </c>
      <c r="D279" s="58" t="n"/>
      <c r="E279" s="10" t="n"/>
      <c r="F279" s="10" t="n"/>
      <c r="G279" s="10" t="n"/>
      <c r="H279" s="10" t="n"/>
      <c r="I279" s="10" t="n"/>
      <c r="J279" s="10" t="n"/>
      <c r="K279" s="10" t="n"/>
      <c r="L279" s="56" t="n"/>
      <c r="M279" s="10" t="n"/>
      <c r="N279" s="12" t="n"/>
      <c r="O279" s="10" t="n"/>
      <c r="P279" s="10" t="n"/>
      <c r="Q279" s="61">
        <f>IF(V279="","",IF(T279="","Covered by "&amp;INDEX('Form Calc'!$B:$B,V279)&amp;"'s reply (same party)","Replied "&amp;TEXT(INDEX('Form Calc'!$A:$A,T279),"mm/dd")&amp;" · "&amp;INDEX('Form Calc'!$H:$H,T279)&amp;" adult(s), "&amp;INDEX('Form Calc'!$I:$I,T279)&amp;" child(ren)"&amp;IF(INDEX('Form Calc'!$K:$K,T279)&lt;&gt;""," · "&amp;INDEX('Form Calc'!$K:$K,T279),"")&amp;IF(INDEX('Form Calc'!$M:$M,T279)&lt;&gt;""," · “"&amp;INDEX('Form Calc'!$M:$M,T279)&amp;"”","")))</f>
        <v/>
      </c>
      <c r="R279" s="32">
        <f>SUBSTITUTE(SUBSTITUTE(SUBSTITUTE(SUBSTITUTE(SUBSTITUTE(SUBSTITUTE(SUBSTITUTE(SUBSTITUTE(D279&amp;""," ",""),"-",""),"(",""),")",""),".",""),"+",""),"/",""),CHAR(160),"")</f>
        <v/>
      </c>
      <c r="S279" s="32">
        <f>IF(LEN(R279)&gt;=10,RIGHT(R279,10),R279)</f>
        <v/>
      </c>
      <c r="T279" s="32">
        <f>IF(TRIM(A279&amp;"")="","",IF(S279&lt;&gt;"",IFERROR(MATCH(S279,'Form Calc'!$P:$P,0),IFERROR(MATCH(TRIM(A279&amp;""),'Form Calc'!$Q:$Q,0),"")),IFERROR(MATCH(TRIM(A279&amp;""),'Form Calc'!$Q:$Q,0),"")))</f>
        <v/>
      </c>
      <c r="U279" s="32">
        <f>IF(AND(T279&lt;&gt;"",TRIM(E279&amp;"")&lt;&gt;""),TRIM(E279&amp;""),"")</f>
        <v/>
      </c>
      <c r="V279" s="32">
        <f>IF(TRIM(A279&amp;"")="","",IF(T279&lt;&gt;"",T279,IF(TRIM(E279&amp;"")="","",IFERROR(INDEX($T$6:$T$505,MATCH(TRIM(E279&amp;""),$U$6:$U$505,0)),""))))</f>
        <v/>
      </c>
      <c r="W279" s="32">
        <f>IF(V279="","",INDEX('Form Calc'!$G:$G,V279))</f>
        <v/>
      </c>
      <c r="X279" s="32">
        <f>IF(TRIM(A279&amp;"")="","",IF(T279&lt;&gt;"",IF(INDEX('Form Calc'!$K:$K,T279)&lt;&gt;"",INDEX('Form Calc'!$K:$K,T279),J279&amp;""),J279&amp;""))</f>
        <v/>
      </c>
      <c r="Y279" s="32">
        <f>IF(TRIM(A279&amp;"")="","",IF(TRIM(D279&amp;"")&lt;&gt;"",TRIM(D279&amp;""),IF(T279&lt;&gt;"",INDEX('Form Calc'!$C:$C,T279)&amp;"","")))</f>
        <v/>
      </c>
      <c r="Z279" s="32">
        <f>SUBSTITUTE(SUBSTITUTE(SUBSTITUTE(SUBSTITUTE(SUBSTITUTE(SUBSTITUTE(SUBSTITUTE(SUBSTITUTE(Y279," ",""),"-",""),"(",""),")",""),".",""),"+",""),"/",""),CHAR(160),"")</f>
        <v/>
      </c>
      <c r="AA279" s="32">
        <f>IF(Z279="","",IF(LEN(Z279)=10,"+1"&amp;Z279,IF(AND(LEN(Z279)=11,LEFT(Z279,1)="1"),"+"&amp;Z279,IF(LEFT(Y279,1)="+","+"&amp;Z279,Z279))))</f>
        <v/>
      </c>
      <c r="AB279" s="32">
        <f>IF(TRIM(A279&amp;"")="","",IF(TRIM(M279&amp;"")&lt;&gt;"",TRIM(M279&amp;""),IFERROR(LEFT(TRIM(A279&amp;""),FIND(" ",TRIM(A279&amp;""))-1),TRIM(A279&amp;""))))</f>
        <v/>
      </c>
      <c r="AC279" s="32">
        <f>SUBSTITUTE(SUBSTITUTE(SUBSTITUTE(SUBSTITUTE(SUBSTITUTE(SUBSTITUTE(SUBSTITUTE(SUBSTITUTE(SUBSTITUTE(SUBSTITUTE(AB279,"%","%25"),"&amp;","%26"),"#","%23"),"+","%2B"),"=","%3D"),"?","%3F"),CHAR(34),"%22"),CHAR(10),"%0A"),CHAR(13),"")," ","+")</f>
        <v/>
      </c>
      <c r="AD279" s="32">
        <f>IF(OR(AA279="",AB279=""),"",'Start Here'!$B$20&amp;"#p="&amp;SUBSTITUTE(AA279,"+","%2B")&amp;"&amp;n="&amp;AC279&amp;"&amp;m="&amp;SUBSTITUTE('Start Here'!$B$24,"{name}",AC279))</f>
        <v/>
      </c>
      <c r="AE279" s="32">
        <f>LEN(AD279)</f>
        <v/>
      </c>
      <c r="AF279" s="32">
        <f>IF(AND(TRIM(A279&amp;"")&lt;&gt;"",OR(B279="Awaiting",B279="Not sure yet")),1,0)</f>
        <v/>
      </c>
      <c r="AG279" s="32">
        <f>N(AG278)+AF279</f>
        <v/>
      </c>
      <c r="AH279" s="32">
        <f>IF(AF279=1,AG279,"")</f>
        <v/>
      </c>
      <c r="AI279" s="32">
        <f>IF(AND(TRIM(A279&amp;"")&lt;&gt;"",L279&amp;""&lt;&gt;"",L279&amp;""=Seating!$I$3&amp;"",B279&lt;&gt;"Declined"),1,0)</f>
        <v/>
      </c>
      <c r="AJ279" s="32">
        <f>N(AJ278)+AI279</f>
        <v/>
      </c>
      <c r="AK279" s="32">
        <f>IF(AI279=1,AJ279,"")</f>
        <v/>
      </c>
    </row>
    <row r="280">
      <c r="A280" s="10" t="n"/>
      <c r="B280" s="47">
        <f>IF(TRIM(A280&amp;"")="","",IF(W280&lt;&gt;"",W280,IF(I280="","Awaiting",I280)))</f>
        <v/>
      </c>
      <c r="C280" s="60">
        <f>IF(OR(B280="Awaiting",B280="Not sure yet"),IF(AD280&lt;&gt;"",HYPERLINK(AD280,"💬 Remind"),"add mobile"),"")</f>
        <v/>
      </c>
      <c r="D280" s="58" t="n"/>
      <c r="E280" s="10" t="n"/>
      <c r="F280" s="10" t="n"/>
      <c r="G280" s="10" t="n"/>
      <c r="H280" s="10" t="n"/>
      <c r="I280" s="10" t="n"/>
      <c r="J280" s="10" t="n"/>
      <c r="K280" s="10" t="n"/>
      <c r="L280" s="56" t="n"/>
      <c r="M280" s="10" t="n"/>
      <c r="N280" s="12" t="n"/>
      <c r="O280" s="10" t="n"/>
      <c r="P280" s="10" t="n"/>
      <c r="Q280" s="61">
        <f>IF(V280="","",IF(T280="","Covered by "&amp;INDEX('Form Calc'!$B:$B,V280)&amp;"'s reply (same party)","Replied "&amp;TEXT(INDEX('Form Calc'!$A:$A,T280),"mm/dd")&amp;" · "&amp;INDEX('Form Calc'!$H:$H,T280)&amp;" adult(s), "&amp;INDEX('Form Calc'!$I:$I,T280)&amp;" child(ren)"&amp;IF(INDEX('Form Calc'!$K:$K,T280)&lt;&gt;""," · "&amp;INDEX('Form Calc'!$K:$K,T280),"")&amp;IF(INDEX('Form Calc'!$M:$M,T280)&lt;&gt;""," · “"&amp;INDEX('Form Calc'!$M:$M,T280)&amp;"”","")))</f>
        <v/>
      </c>
      <c r="R280" s="32">
        <f>SUBSTITUTE(SUBSTITUTE(SUBSTITUTE(SUBSTITUTE(SUBSTITUTE(SUBSTITUTE(SUBSTITUTE(SUBSTITUTE(D280&amp;""," ",""),"-",""),"(",""),")",""),".",""),"+",""),"/",""),CHAR(160),"")</f>
        <v/>
      </c>
      <c r="S280" s="32">
        <f>IF(LEN(R280)&gt;=10,RIGHT(R280,10),R280)</f>
        <v/>
      </c>
      <c r="T280" s="32">
        <f>IF(TRIM(A280&amp;"")="","",IF(S280&lt;&gt;"",IFERROR(MATCH(S280,'Form Calc'!$P:$P,0),IFERROR(MATCH(TRIM(A280&amp;""),'Form Calc'!$Q:$Q,0),"")),IFERROR(MATCH(TRIM(A280&amp;""),'Form Calc'!$Q:$Q,0),"")))</f>
        <v/>
      </c>
      <c r="U280" s="32">
        <f>IF(AND(T280&lt;&gt;"",TRIM(E280&amp;"")&lt;&gt;""),TRIM(E280&amp;""),"")</f>
        <v/>
      </c>
      <c r="V280" s="32">
        <f>IF(TRIM(A280&amp;"")="","",IF(T280&lt;&gt;"",T280,IF(TRIM(E280&amp;"")="","",IFERROR(INDEX($T$6:$T$505,MATCH(TRIM(E280&amp;""),$U$6:$U$505,0)),""))))</f>
        <v/>
      </c>
      <c r="W280" s="32">
        <f>IF(V280="","",INDEX('Form Calc'!$G:$G,V280))</f>
        <v/>
      </c>
      <c r="X280" s="32">
        <f>IF(TRIM(A280&amp;"")="","",IF(T280&lt;&gt;"",IF(INDEX('Form Calc'!$K:$K,T280)&lt;&gt;"",INDEX('Form Calc'!$K:$K,T280),J280&amp;""),J280&amp;""))</f>
        <v/>
      </c>
      <c r="Y280" s="32">
        <f>IF(TRIM(A280&amp;"")="","",IF(TRIM(D280&amp;"")&lt;&gt;"",TRIM(D280&amp;""),IF(T280&lt;&gt;"",INDEX('Form Calc'!$C:$C,T280)&amp;"","")))</f>
        <v/>
      </c>
      <c r="Z280" s="32">
        <f>SUBSTITUTE(SUBSTITUTE(SUBSTITUTE(SUBSTITUTE(SUBSTITUTE(SUBSTITUTE(SUBSTITUTE(SUBSTITUTE(Y280," ",""),"-",""),"(",""),")",""),".",""),"+",""),"/",""),CHAR(160),"")</f>
        <v/>
      </c>
      <c r="AA280" s="32">
        <f>IF(Z280="","",IF(LEN(Z280)=10,"+1"&amp;Z280,IF(AND(LEN(Z280)=11,LEFT(Z280,1)="1"),"+"&amp;Z280,IF(LEFT(Y280,1)="+","+"&amp;Z280,Z280))))</f>
        <v/>
      </c>
      <c r="AB280" s="32">
        <f>IF(TRIM(A280&amp;"")="","",IF(TRIM(M280&amp;"")&lt;&gt;"",TRIM(M280&amp;""),IFERROR(LEFT(TRIM(A280&amp;""),FIND(" ",TRIM(A280&amp;""))-1),TRIM(A280&amp;""))))</f>
        <v/>
      </c>
      <c r="AC280" s="32">
        <f>SUBSTITUTE(SUBSTITUTE(SUBSTITUTE(SUBSTITUTE(SUBSTITUTE(SUBSTITUTE(SUBSTITUTE(SUBSTITUTE(SUBSTITUTE(SUBSTITUTE(AB280,"%","%25"),"&amp;","%26"),"#","%23"),"+","%2B"),"=","%3D"),"?","%3F"),CHAR(34),"%22"),CHAR(10),"%0A"),CHAR(13),"")," ","+")</f>
        <v/>
      </c>
      <c r="AD280" s="32">
        <f>IF(OR(AA280="",AB280=""),"",'Start Here'!$B$20&amp;"#p="&amp;SUBSTITUTE(AA280,"+","%2B")&amp;"&amp;n="&amp;AC280&amp;"&amp;m="&amp;SUBSTITUTE('Start Here'!$B$24,"{name}",AC280))</f>
        <v/>
      </c>
      <c r="AE280" s="32">
        <f>LEN(AD280)</f>
        <v/>
      </c>
      <c r="AF280" s="32">
        <f>IF(AND(TRIM(A280&amp;"")&lt;&gt;"",OR(B280="Awaiting",B280="Not sure yet")),1,0)</f>
        <v/>
      </c>
      <c r="AG280" s="32">
        <f>N(AG279)+AF280</f>
        <v/>
      </c>
      <c r="AH280" s="32">
        <f>IF(AF280=1,AG280,"")</f>
        <v/>
      </c>
      <c r="AI280" s="32">
        <f>IF(AND(TRIM(A280&amp;"")&lt;&gt;"",L280&amp;""&lt;&gt;"",L280&amp;""=Seating!$I$3&amp;"",B280&lt;&gt;"Declined"),1,0)</f>
        <v/>
      </c>
      <c r="AJ280" s="32">
        <f>N(AJ279)+AI280</f>
        <v/>
      </c>
      <c r="AK280" s="32">
        <f>IF(AI280=1,AJ280,"")</f>
        <v/>
      </c>
    </row>
    <row r="281">
      <c r="A281" s="10" t="n"/>
      <c r="B281" s="47">
        <f>IF(TRIM(A281&amp;"")="","",IF(W281&lt;&gt;"",W281,IF(I281="","Awaiting",I281)))</f>
        <v/>
      </c>
      <c r="C281" s="60">
        <f>IF(OR(B281="Awaiting",B281="Not sure yet"),IF(AD281&lt;&gt;"",HYPERLINK(AD281,"💬 Remind"),"add mobile"),"")</f>
        <v/>
      </c>
      <c r="D281" s="58" t="n"/>
      <c r="E281" s="10" t="n"/>
      <c r="F281" s="10" t="n"/>
      <c r="G281" s="10" t="n"/>
      <c r="H281" s="10" t="n"/>
      <c r="I281" s="10" t="n"/>
      <c r="J281" s="10" t="n"/>
      <c r="K281" s="10" t="n"/>
      <c r="L281" s="56" t="n"/>
      <c r="M281" s="10" t="n"/>
      <c r="N281" s="12" t="n"/>
      <c r="O281" s="10" t="n"/>
      <c r="P281" s="10" t="n"/>
      <c r="Q281" s="61">
        <f>IF(V281="","",IF(T281="","Covered by "&amp;INDEX('Form Calc'!$B:$B,V281)&amp;"'s reply (same party)","Replied "&amp;TEXT(INDEX('Form Calc'!$A:$A,T281),"mm/dd")&amp;" · "&amp;INDEX('Form Calc'!$H:$H,T281)&amp;" adult(s), "&amp;INDEX('Form Calc'!$I:$I,T281)&amp;" child(ren)"&amp;IF(INDEX('Form Calc'!$K:$K,T281)&lt;&gt;""," · "&amp;INDEX('Form Calc'!$K:$K,T281),"")&amp;IF(INDEX('Form Calc'!$M:$M,T281)&lt;&gt;""," · “"&amp;INDEX('Form Calc'!$M:$M,T281)&amp;"”","")))</f>
        <v/>
      </c>
      <c r="R281" s="32">
        <f>SUBSTITUTE(SUBSTITUTE(SUBSTITUTE(SUBSTITUTE(SUBSTITUTE(SUBSTITUTE(SUBSTITUTE(SUBSTITUTE(D281&amp;""," ",""),"-",""),"(",""),")",""),".",""),"+",""),"/",""),CHAR(160),"")</f>
        <v/>
      </c>
      <c r="S281" s="32">
        <f>IF(LEN(R281)&gt;=10,RIGHT(R281,10),R281)</f>
        <v/>
      </c>
      <c r="T281" s="32">
        <f>IF(TRIM(A281&amp;"")="","",IF(S281&lt;&gt;"",IFERROR(MATCH(S281,'Form Calc'!$P:$P,0),IFERROR(MATCH(TRIM(A281&amp;""),'Form Calc'!$Q:$Q,0),"")),IFERROR(MATCH(TRIM(A281&amp;""),'Form Calc'!$Q:$Q,0),"")))</f>
        <v/>
      </c>
      <c r="U281" s="32">
        <f>IF(AND(T281&lt;&gt;"",TRIM(E281&amp;"")&lt;&gt;""),TRIM(E281&amp;""),"")</f>
        <v/>
      </c>
      <c r="V281" s="32">
        <f>IF(TRIM(A281&amp;"")="","",IF(T281&lt;&gt;"",T281,IF(TRIM(E281&amp;"")="","",IFERROR(INDEX($T$6:$T$505,MATCH(TRIM(E281&amp;""),$U$6:$U$505,0)),""))))</f>
        <v/>
      </c>
      <c r="W281" s="32">
        <f>IF(V281="","",INDEX('Form Calc'!$G:$G,V281))</f>
        <v/>
      </c>
      <c r="X281" s="32">
        <f>IF(TRIM(A281&amp;"")="","",IF(T281&lt;&gt;"",IF(INDEX('Form Calc'!$K:$K,T281)&lt;&gt;"",INDEX('Form Calc'!$K:$K,T281),J281&amp;""),J281&amp;""))</f>
        <v/>
      </c>
      <c r="Y281" s="32">
        <f>IF(TRIM(A281&amp;"")="","",IF(TRIM(D281&amp;"")&lt;&gt;"",TRIM(D281&amp;""),IF(T281&lt;&gt;"",INDEX('Form Calc'!$C:$C,T281)&amp;"","")))</f>
        <v/>
      </c>
      <c r="Z281" s="32">
        <f>SUBSTITUTE(SUBSTITUTE(SUBSTITUTE(SUBSTITUTE(SUBSTITUTE(SUBSTITUTE(SUBSTITUTE(SUBSTITUTE(Y281," ",""),"-",""),"(",""),")",""),".",""),"+",""),"/",""),CHAR(160),"")</f>
        <v/>
      </c>
      <c r="AA281" s="32">
        <f>IF(Z281="","",IF(LEN(Z281)=10,"+1"&amp;Z281,IF(AND(LEN(Z281)=11,LEFT(Z281,1)="1"),"+"&amp;Z281,IF(LEFT(Y281,1)="+","+"&amp;Z281,Z281))))</f>
        <v/>
      </c>
      <c r="AB281" s="32">
        <f>IF(TRIM(A281&amp;"")="","",IF(TRIM(M281&amp;"")&lt;&gt;"",TRIM(M281&amp;""),IFERROR(LEFT(TRIM(A281&amp;""),FIND(" ",TRIM(A281&amp;""))-1),TRIM(A281&amp;""))))</f>
        <v/>
      </c>
      <c r="AC281" s="32">
        <f>SUBSTITUTE(SUBSTITUTE(SUBSTITUTE(SUBSTITUTE(SUBSTITUTE(SUBSTITUTE(SUBSTITUTE(SUBSTITUTE(SUBSTITUTE(SUBSTITUTE(AB281,"%","%25"),"&amp;","%26"),"#","%23"),"+","%2B"),"=","%3D"),"?","%3F"),CHAR(34),"%22"),CHAR(10),"%0A"),CHAR(13),"")," ","+")</f>
        <v/>
      </c>
      <c r="AD281" s="32">
        <f>IF(OR(AA281="",AB281=""),"",'Start Here'!$B$20&amp;"#p="&amp;SUBSTITUTE(AA281,"+","%2B")&amp;"&amp;n="&amp;AC281&amp;"&amp;m="&amp;SUBSTITUTE('Start Here'!$B$24,"{name}",AC281))</f>
        <v/>
      </c>
      <c r="AE281" s="32">
        <f>LEN(AD281)</f>
        <v/>
      </c>
      <c r="AF281" s="32">
        <f>IF(AND(TRIM(A281&amp;"")&lt;&gt;"",OR(B281="Awaiting",B281="Not sure yet")),1,0)</f>
        <v/>
      </c>
      <c r="AG281" s="32">
        <f>N(AG280)+AF281</f>
        <v/>
      </c>
      <c r="AH281" s="32">
        <f>IF(AF281=1,AG281,"")</f>
        <v/>
      </c>
      <c r="AI281" s="32">
        <f>IF(AND(TRIM(A281&amp;"")&lt;&gt;"",L281&amp;""&lt;&gt;"",L281&amp;""=Seating!$I$3&amp;"",B281&lt;&gt;"Declined"),1,0)</f>
        <v/>
      </c>
      <c r="AJ281" s="32">
        <f>N(AJ280)+AI281</f>
        <v/>
      </c>
      <c r="AK281" s="32">
        <f>IF(AI281=1,AJ281,"")</f>
        <v/>
      </c>
    </row>
    <row r="282">
      <c r="A282" s="10" t="n"/>
      <c r="B282" s="47">
        <f>IF(TRIM(A282&amp;"")="","",IF(W282&lt;&gt;"",W282,IF(I282="","Awaiting",I282)))</f>
        <v/>
      </c>
      <c r="C282" s="60">
        <f>IF(OR(B282="Awaiting",B282="Not sure yet"),IF(AD282&lt;&gt;"",HYPERLINK(AD282,"💬 Remind"),"add mobile"),"")</f>
        <v/>
      </c>
      <c r="D282" s="58" t="n"/>
      <c r="E282" s="10" t="n"/>
      <c r="F282" s="10" t="n"/>
      <c r="G282" s="10" t="n"/>
      <c r="H282" s="10" t="n"/>
      <c r="I282" s="10" t="n"/>
      <c r="J282" s="10" t="n"/>
      <c r="K282" s="10" t="n"/>
      <c r="L282" s="56" t="n"/>
      <c r="M282" s="10" t="n"/>
      <c r="N282" s="12" t="n"/>
      <c r="O282" s="10" t="n"/>
      <c r="P282" s="10" t="n"/>
      <c r="Q282" s="61">
        <f>IF(V282="","",IF(T282="","Covered by "&amp;INDEX('Form Calc'!$B:$B,V282)&amp;"'s reply (same party)","Replied "&amp;TEXT(INDEX('Form Calc'!$A:$A,T282),"mm/dd")&amp;" · "&amp;INDEX('Form Calc'!$H:$H,T282)&amp;" adult(s), "&amp;INDEX('Form Calc'!$I:$I,T282)&amp;" child(ren)"&amp;IF(INDEX('Form Calc'!$K:$K,T282)&lt;&gt;""," · "&amp;INDEX('Form Calc'!$K:$K,T282),"")&amp;IF(INDEX('Form Calc'!$M:$M,T282)&lt;&gt;""," · “"&amp;INDEX('Form Calc'!$M:$M,T282)&amp;"”","")))</f>
        <v/>
      </c>
      <c r="R282" s="32">
        <f>SUBSTITUTE(SUBSTITUTE(SUBSTITUTE(SUBSTITUTE(SUBSTITUTE(SUBSTITUTE(SUBSTITUTE(SUBSTITUTE(D282&amp;""," ",""),"-",""),"(",""),")",""),".",""),"+",""),"/",""),CHAR(160),"")</f>
        <v/>
      </c>
      <c r="S282" s="32">
        <f>IF(LEN(R282)&gt;=10,RIGHT(R282,10),R282)</f>
        <v/>
      </c>
      <c r="T282" s="32">
        <f>IF(TRIM(A282&amp;"")="","",IF(S282&lt;&gt;"",IFERROR(MATCH(S282,'Form Calc'!$P:$P,0),IFERROR(MATCH(TRIM(A282&amp;""),'Form Calc'!$Q:$Q,0),"")),IFERROR(MATCH(TRIM(A282&amp;""),'Form Calc'!$Q:$Q,0),"")))</f>
        <v/>
      </c>
      <c r="U282" s="32">
        <f>IF(AND(T282&lt;&gt;"",TRIM(E282&amp;"")&lt;&gt;""),TRIM(E282&amp;""),"")</f>
        <v/>
      </c>
      <c r="V282" s="32">
        <f>IF(TRIM(A282&amp;"")="","",IF(T282&lt;&gt;"",T282,IF(TRIM(E282&amp;"")="","",IFERROR(INDEX($T$6:$T$505,MATCH(TRIM(E282&amp;""),$U$6:$U$505,0)),""))))</f>
        <v/>
      </c>
      <c r="W282" s="32">
        <f>IF(V282="","",INDEX('Form Calc'!$G:$G,V282))</f>
        <v/>
      </c>
      <c r="X282" s="32">
        <f>IF(TRIM(A282&amp;"")="","",IF(T282&lt;&gt;"",IF(INDEX('Form Calc'!$K:$K,T282)&lt;&gt;"",INDEX('Form Calc'!$K:$K,T282),J282&amp;""),J282&amp;""))</f>
        <v/>
      </c>
      <c r="Y282" s="32">
        <f>IF(TRIM(A282&amp;"")="","",IF(TRIM(D282&amp;"")&lt;&gt;"",TRIM(D282&amp;""),IF(T282&lt;&gt;"",INDEX('Form Calc'!$C:$C,T282)&amp;"","")))</f>
        <v/>
      </c>
      <c r="Z282" s="32">
        <f>SUBSTITUTE(SUBSTITUTE(SUBSTITUTE(SUBSTITUTE(SUBSTITUTE(SUBSTITUTE(SUBSTITUTE(SUBSTITUTE(Y282," ",""),"-",""),"(",""),")",""),".",""),"+",""),"/",""),CHAR(160),"")</f>
        <v/>
      </c>
      <c r="AA282" s="32">
        <f>IF(Z282="","",IF(LEN(Z282)=10,"+1"&amp;Z282,IF(AND(LEN(Z282)=11,LEFT(Z282,1)="1"),"+"&amp;Z282,IF(LEFT(Y282,1)="+","+"&amp;Z282,Z282))))</f>
        <v/>
      </c>
      <c r="AB282" s="32">
        <f>IF(TRIM(A282&amp;"")="","",IF(TRIM(M282&amp;"")&lt;&gt;"",TRIM(M282&amp;""),IFERROR(LEFT(TRIM(A282&amp;""),FIND(" ",TRIM(A282&amp;""))-1),TRIM(A282&amp;""))))</f>
        <v/>
      </c>
      <c r="AC282" s="32">
        <f>SUBSTITUTE(SUBSTITUTE(SUBSTITUTE(SUBSTITUTE(SUBSTITUTE(SUBSTITUTE(SUBSTITUTE(SUBSTITUTE(SUBSTITUTE(SUBSTITUTE(AB282,"%","%25"),"&amp;","%26"),"#","%23"),"+","%2B"),"=","%3D"),"?","%3F"),CHAR(34),"%22"),CHAR(10),"%0A"),CHAR(13),"")," ","+")</f>
        <v/>
      </c>
      <c r="AD282" s="32">
        <f>IF(OR(AA282="",AB282=""),"",'Start Here'!$B$20&amp;"#p="&amp;SUBSTITUTE(AA282,"+","%2B")&amp;"&amp;n="&amp;AC282&amp;"&amp;m="&amp;SUBSTITUTE('Start Here'!$B$24,"{name}",AC282))</f>
        <v/>
      </c>
      <c r="AE282" s="32">
        <f>LEN(AD282)</f>
        <v/>
      </c>
      <c r="AF282" s="32">
        <f>IF(AND(TRIM(A282&amp;"")&lt;&gt;"",OR(B282="Awaiting",B282="Not sure yet")),1,0)</f>
        <v/>
      </c>
      <c r="AG282" s="32">
        <f>N(AG281)+AF282</f>
        <v/>
      </c>
      <c r="AH282" s="32">
        <f>IF(AF282=1,AG282,"")</f>
        <v/>
      </c>
      <c r="AI282" s="32">
        <f>IF(AND(TRIM(A282&amp;"")&lt;&gt;"",L282&amp;""&lt;&gt;"",L282&amp;""=Seating!$I$3&amp;"",B282&lt;&gt;"Declined"),1,0)</f>
        <v/>
      </c>
      <c r="AJ282" s="32">
        <f>N(AJ281)+AI282</f>
        <v/>
      </c>
      <c r="AK282" s="32">
        <f>IF(AI282=1,AJ282,"")</f>
        <v/>
      </c>
    </row>
    <row r="283">
      <c r="A283" s="10" t="n"/>
      <c r="B283" s="47">
        <f>IF(TRIM(A283&amp;"")="","",IF(W283&lt;&gt;"",W283,IF(I283="","Awaiting",I283)))</f>
        <v/>
      </c>
      <c r="C283" s="60">
        <f>IF(OR(B283="Awaiting",B283="Not sure yet"),IF(AD283&lt;&gt;"",HYPERLINK(AD283,"💬 Remind"),"add mobile"),"")</f>
        <v/>
      </c>
      <c r="D283" s="58" t="n"/>
      <c r="E283" s="10" t="n"/>
      <c r="F283" s="10" t="n"/>
      <c r="G283" s="10" t="n"/>
      <c r="H283" s="10" t="n"/>
      <c r="I283" s="10" t="n"/>
      <c r="J283" s="10" t="n"/>
      <c r="K283" s="10" t="n"/>
      <c r="L283" s="56" t="n"/>
      <c r="M283" s="10" t="n"/>
      <c r="N283" s="12" t="n"/>
      <c r="O283" s="10" t="n"/>
      <c r="P283" s="10" t="n"/>
      <c r="Q283" s="61">
        <f>IF(V283="","",IF(T283="","Covered by "&amp;INDEX('Form Calc'!$B:$B,V283)&amp;"'s reply (same party)","Replied "&amp;TEXT(INDEX('Form Calc'!$A:$A,T283),"mm/dd")&amp;" · "&amp;INDEX('Form Calc'!$H:$H,T283)&amp;" adult(s), "&amp;INDEX('Form Calc'!$I:$I,T283)&amp;" child(ren)"&amp;IF(INDEX('Form Calc'!$K:$K,T283)&lt;&gt;""," · "&amp;INDEX('Form Calc'!$K:$K,T283),"")&amp;IF(INDEX('Form Calc'!$M:$M,T283)&lt;&gt;""," · “"&amp;INDEX('Form Calc'!$M:$M,T283)&amp;"”","")))</f>
        <v/>
      </c>
      <c r="R283" s="32">
        <f>SUBSTITUTE(SUBSTITUTE(SUBSTITUTE(SUBSTITUTE(SUBSTITUTE(SUBSTITUTE(SUBSTITUTE(SUBSTITUTE(D283&amp;""," ",""),"-",""),"(",""),")",""),".",""),"+",""),"/",""),CHAR(160),"")</f>
        <v/>
      </c>
      <c r="S283" s="32">
        <f>IF(LEN(R283)&gt;=10,RIGHT(R283,10),R283)</f>
        <v/>
      </c>
      <c r="T283" s="32">
        <f>IF(TRIM(A283&amp;"")="","",IF(S283&lt;&gt;"",IFERROR(MATCH(S283,'Form Calc'!$P:$P,0),IFERROR(MATCH(TRIM(A283&amp;""),'Form Calc'!$Q:$Q,0),"")),IFERROR(MATCH(TRIM(A283&amp;""),'Form Calc'!$Q:$Q,0),"")))</f>
        <v/>
      </c>
      <c r="U283" s="32">
        <f>IF(AND(T283&lt;&gt;"",TRIM(E283&amp;"")&lt;&gt;""),TRIM(E283&amp;""),"")</f>
        <v/>
      </c>
      <c r="V283" s="32">
        <f>IF(TRIM(A283&amp;"")="","",IF(T283&lt;&gt;"",T283,IF(TRIM(E283&amp;"")="","",IFERROR(INDEX($T$6:$T$505,MATCH(TRIM(E283&amp;""),$U$6:$U$505,0)),""))))</f>
        <v/>
      </c>
      <c r="W283" s="32">
        <f>IF(V283="","",INDEX('Form Calc'!$G:$G,V283))</f>
        <v/>
      </c>
      <c r="X283" s="32">
        <f>IF(TRIM(A283&amp;"")="","",IF(T283&lt;&gt;"",IF(INDEX('Form Calc'!$K:$K,T283)&lt;&gt;"",INDEX('Form Calc'!$K:$K,T283),J283&amp;""),J283&amp;""))</f>
        <v/>
      </c>
      <c r="Y283" s="32">
        <f>IF(TRIM(A283&amp;"")="","",IF(TRIM(D283&amp;"")&lt;&gt;"",TRIM(D283&amp;""),IF(T283&lt;&gt;"",INDEX('Form Calc'!$C:$C,T283)&amp;"","")))</f>
        <v/>
      </c>
      <c r="Z283" s="32">
        <f>SUBSTITUTE(SUBSTITUTE(SUBSTITUTE(SUBSTITUTE(SUBSTITUTE(SUBSTITUTE(SUBSTITUTE(SUBSTITUTE(Y283," ",""),"-",""),"(",""),")",""),".",""),"+",""),"/",""),CHAR(160),"")</f>
        <v/>
      </c>
      <c r="AA283" s="32">
        <f>IF(Z283="","",IF(LEN(Z283)=10,"+1"&amp;Z283,IF(AND(LEN(Z283)=11,LEFT(Z283,1)="1"),"+"&amp;Z283,IF(LEFT(Y283,1)="+","+"&amp;Z283,Z283))))</f>
        <v/>
      </c>
      <c r="AB283" s="32">
        <f>IF(TRIM(A283&amp;"")="","",IF(TRIM(M283&amp;"")&lt;&gt;"",TRIM(M283&amp;""),IFERROR(LEFT(TRIM(A283&amp;""),FIND(" ",TRIM(A283&amp;""))-1),TRIM(A283&amp;""))))</f>
        <v/>
      </c>
      <c r="AC283" s="32">
        <f>SUBSTITUTE(SUBSTITUTE(SUBSTITUTE(SUBSTITUTE(SUBSTITUTE(SUBSTITUTE(SUBSTITUTE(SUBSTITUTE(SUBSTITUTE(SUBSTITUTE(AB283,"%","%25"),"&amp;","%26"),"#","%23"),"+","%2B"),"=","%3D"),"?","%3F"),CHAR(34),"%22"),CHAR(10),"%0A"),CHAR(13),"")," ","+")</f>
        <v/>
      </c>
      <c r="AD283" s="32">
        <f>IF(OR(AA283="",AB283=""),"",'Start Here'!$B$20&amp;"#p="&amp;SUBSTITUTE(AA283,"+","%2B")&amp;"&amp;n="&amp;AC283&amp;"&amp;m="&amp;SUBSTITUTE('Start Here'!$B$24,"{name}",AC283))</f>
        <v/>
      </c>
      <c r="AE283" s="32">
        <f>LEN(AD283)</f>
        <v/>
      </c>
      <c r="AF283" s="32">
        <f>IF(AND(TRIM(A283&amp;"")&lt;&gt;"",OR(B283="Awaiting",B283="Not sure yet")),1,0)</f>
        <v/>
      </c>
      <c r="AG283" s="32">
        <f>N(AG282)+AF283</f>
        <v/>
      </c>
      <c r="AH283" s="32">
        <f>IF(AF283=1,AG283,"")</f>
        <v/>
      </c>
      <c r="AI283" s="32">
        <f>IF(AND(TRIM(A283&amp;"")&lt;&gt;"",L283&amp;""&lt;&gt;"",L283&amp;""=Seating!$I$3&amp;"",B283&lt;&gt;"Declined"),1,0)</f>
        <v/>
      </c>
      <c r="AJ283" s="32">
        <f>N(AJ282)+AI283</f>
        <v/>
      </c>
      <c r="AK283" s="32">
        <f>IF(AI283=1,AJ283,"")</f>
        <v/>
      </c>
    </row>
    <row r="284">
      <c r="A284" s="10" t="n"/>
      <c r="B284" s="47">
        <f>IF(TRIM(A284&amp;"")="","",IF(W284&lt;&gt;"",W284,IF(I284="","Awaiting",I284)))</f>
        <v/>
      </c>
      <c r="C284" s="60">
        <f>IF(OR(B284="Awaiting",B284="Not sure yet"),IF(AD284&lt;&gt;"",HYPERLINK(AD284,"💬 Remind"),"add mobile"),"")</f>
        <v/>
      </c>
      <c r="D284" s="58" t="n"/>
      <c r="E284" s="10" t="n"/>
      <c r="F284" s="10" t="n"/>
      <c r="G284" s="10" t="n"/>
      <c r="H284" s="10" t="n"/>
      <c r="I284" s="10" t="n"/>
      <c r="J284" s="10" t="n"/>
      <c r="K284" s="10" t="n"/>
      <c r="L284" s="56" t="n"/>
      <c r="M284" s="10" t="n"/>
      <c r="N284" s="12" t="n"/>
      <c r="O284" s="10" t="n"/>
      <c r="P284" s="10" t="n"/>
      <c r="Q284" s="61">
        <f>IF(V284="","",IF(T284="","Covered by "&amp;INDEX('Form Calc'!$B:$B,V284)&amp;"'s reply (same party)","Replied "&amp;TEXT(INDEX('Form Calc'!$A:$A,T284),"mm/dd")&amp;" · "&amp;INDEX('Form Calc'!$H:$H,T284)&amp;" adult(s), "&amp;INDEX('Form Calc'!$I:$I,T284)&amp;" child(ren)"&amp;IF(INDEX('Form Calc'!$K:$K,T284)&lt;&gt;""," · "&amp;INDEX('Form Calc'!$K:$K,T284),"")&amp;IF(INDEX('Form Calc'!$M:$M,T284)&lt;&gt;""," · “"&amp;INDEX('Form Calc'!$M:$M,T284)&amp;"”","")))</f>
        <v/>
      </c>
      <c r="R284" s="32">
        <f>SUBSTITUTE(SUBSTITUTE(SUBSTITUTE(SUBSTITUTE(SUBSTITUTE(SUBSTITUTE(SUBSTITUTE(SUBSTITUTE(D284&amp;""," ",""),"-",""),"(",""),")",""),".",""),"+",""),"/",""),CHAR(160),"")</f>
        <v/>
      </c>
      <c r="S284" s="32">
        <f>IF(LEN(R284)&gt;=10,RIGHT(R284,10),R284)</f>
        <v/>
      </c>
      <c r="T284" s="32">
        <f>IF(TRIM(A284&amp;"")="","",IF(S284&lt;&gt;"",IFERROR(MATCH(S284,'Form Calc'!$P:$P,0),IFERROR(MATCH(TRIM(A284&amp;""),'Form Calc'!$Q:$Q,0),"")),IFERROR(MATCH(TRIM(A284&amp;""),'Form Calc'!$Q:$Q,0),"")))</f>
        <v/>
      </c>
      <c r="U284" s="32">
        <f>IF(AND(T284&lt;&gt;"",TRIM(E284&amp;"")&lt;&gt;""),TRIM(E284&amp;""),"")</f>
        <v/>
      </c>
      <c r="V284" s="32">
        <f>IF(TRIM(A284&amp;"")="","",IF(T284&lt;&gt;"",T284,IF(TRIM(E284&amp;"")="","",IFERROR(INDEX($T$6:$T$505,MATCH(TRIM(E284&amp;""),$U$6:$U$505,0)),""))))</f>
        <v/>
      </c>
      <c r="W284" s="32">
        <f>IF(V284="","",INDEX('Form Calc'!$G:$G,V284))</f>
        <v/>
      </c>
      <c r="X284" s="32">
        <f>IF(TRIM(A284&amp;"")="","",IF(T284&lt;&gt;"",IF(INDEX('Form Calc'!$K:$K,T284)&lt;&gt;"",INDEX('Form Calc'!$K:$K,T284),J284&amp;""),J284&amp;""))</f>
        <v/>
      </c>
      <c r="Y284" s="32">
        <f>IF(TRIM(A284&amp;"")="","",IF(TRIM(D284&amp;"")&lt;&gt;"",TRIM(D284&amp;""),IF(T284&lt;&gt;"",INDEX('Form Calc'!$C:$C,T284)&amp;"","")))</f>
        <v/>
      </c>
      <c r="Z284" s="32">
        <f>SUBSTITUTE(SUBSTITUTE(SUBSTITUTE(SUBSTITUTE(SUBSTITUTE(SUBSTITUTE(SUBSTITUTE(SUBSTITUTE(Y284," ",""),"-",""),"(",""),")",""),".",""),"+",""),"/",""),CHAR(160),"")</f>
        <v/>
      </c>
      <c r="AA284" s="32">
        <f>IF(Z284="","",IF(LEN(Z284)=10,"+1"&amp;Z284,IF(AND(LEN(Z284)=11,LEFT(Z284,1)="1"),"+"&amp;Z284,IF(LEFT(Y284,1)="+","+"&amp;Z284,Z284))))</f>
        <v/>
      </c>
      <c r="AB284" s="32">
        <f>IF(TRIM(A284&amp;"")="","",IF(TRIM(M284&amp;"")&lt;&gt;"",TRIM(M284&amp;""),IFERROR(LEFT(TRIM(A284&amp;""),FIND(" ",TRIM(A284&amp;""))-1),TRIM(A284&amp;""))))</f>
        <v/>
      </c>
      <c r="AC284" s="32">
        <f>SUBSTITUTE(SUBSTITUTE(SUBSTITUTE(SUBSTITUTE(SUBSTITUTE(SUBSTITUTE(SUBSTITUTE(SUBSTITUTE(SUBSTITUTE(SUBSTITUTE(AB284,"%","%25"),"&amp;","%26"),"#","%23"),"+","%2B"),"=","%3D"),"?","%3F"),CHAR(34),"%22"),CHAR(10),"%0A"),CHAR(13),"")," ","+")</f>
        <v/>
      </c>
      <c r="AD284" s="32">
        <f>IF(OR(AA284="",AB284=""),"",'Start Here'!$B$20&amp;"#p="&amp;SUBSTITUTE(AA284,"+","%2B")&amp;"&amp;n="&amp;AC284&amp;"&amp;m="&amp;SUBSTITUTE('Start Here'!$B$24,"{name}",AC284))</f>
        <v/>
      </c>
      <c r="AE284" s="32">
        <f>LEN(AD284)</f>
        <v/>
      </c>
      <c r="AF284" s="32">
        <f>IF(AND(TRIM(A284&amp;"")&lt;&gt;"",OR(B284="Awaiting",B284="Not sure yet")),1,0)</f>
        <v/>
      </c>
      <c r="AG284" s="32">
        <f>N(AG283)+AF284</f>
        <v/>
      </c>
      <c r="AH284" s="32">
        <f>IF(AF284=1,AG284,"")</f>
        <v/>
      </c>
      <c r="AI284" s="32">
        <f>IF(AND(TRIM(A284&amp;"")&lt;&gt;"",L284&amp;""&lt;&gt;"",L284&amp;""=Seating!$I$3&amp;"",B284&lt;&gt;"Declined"),1,0)</f>
        <v/>
      </c>
      <c r="AJ284" s="32">
        <f>N(AJ283)+AI284</f>
        <v/>
      </c>
      <c r="AK284" s="32">
        <f>IF(AI284=1,AJ284,"")</f>
        <v/>
      </c>
    </row>
    <row r="285">
      <c r="A285" s="10" t="n"/>
      <c r="B285" s="47">
        <f>IF(TRIM(A285&amp;"")="","",IF(W285&lt;&gt;"",W285,IF(I285="","Awaiting",I285)))</f>
        <v/>
      </c>
      <c r="C285" s="60">
        <f>IF(OR(B285="Awaiting",B285="Not sure yet"),IF(AD285&lt;&gt;"",HYPERLINK(AD285,"💬 Remind"),"add mobile"),"")</f>
        <v/>
      </c>
      <c r="D285" s="58" t="n"/>
      <c r="E285" s="10" t="n"/>
      <c r="F285" s="10" t="n"/>
      <c r="G285" s="10" t="n"/>
      <c r="H285" s="10" t="n"/>
      <c r="I285" s="10" t="n"/>
      <c r="J285" s="10" t="n"/>
      <c r="K285" s="10" t="n"/>
      <c r="L285" s="56" t="n"/>
      <c r="M285" s="10" t="n"/>
      <c r="N285" s="12" t="n"/>
      <c r="O285" s="10" t="n"/>
      <c r="P285" s="10" t="n"/>
      <c r="Q285" s="61">
        <f>IF(V285="","",IF(T285="","Covered by "&amp;INDEX('Form Calc'!$B:$B,V285)&amp;"'s reply (same party)","Replied "&amp;TEXT(INDEX('Form Calc'!$A:$A,T285),"mm/dd")&amp;" · "&amp;INDEX('Form Calc'!$H:$H,T285)&amp;" adult(s), "&amp;INDEX('Form Calc'!$I:$I,T285)&amp;" child(ren)"&amp;IF(INDEX('Form Calc'!$K:$K,T285)&lt;&gt;""," · "&amp;INDEX('Form Calc'!$K:$K,T285),"")&amp;IF(INDEX('Form Calc'!$M:$M,T285)&lt;&gt;""," · “"&amp;INDEX('Form Calc'!$M:$M,T285)&amp;"”","")))</f>
        <v/>
      </c>
      <c r="R285" s="32">
        <f>SUBSTITUTE(SUBSTITUTE(SUBSTITUTE(SUBSTITUTE(SUBSTITUTE(SUBSTITUTE(SUBSTITUTE(SUBSTITUTE(D285&amp;""," ",""),"-",""),"(",""),")",""),".",""),"+",""),"/",""),CHAR(160),"")</f>
        <v/>
      </c>
      <c r="S285" s="32">
        <f>IF(LEN(R285)&gt;=10,RIGHT(R285,10),R285)</f>
        <v/>
      </c>
      <c r="T285" s="32">
        <f>IF(TRIM(A285&amp;"")="","",IF(S285&lt;&gt;"",IFERROR(MATCH(S285,'Form Calc'!$P:$P,0),IFERROR(MATCH(TRIM(A285&amp;""),'Form Calc'!$Q:$Q,0),"")),IFERROR(MATCH(TRIM(A285&amp;""),'Form Calc'!$Q:$Q,0),"")))</f>
        <v/>
      </c>
      <c r="U285" s="32">
        <f>IF(AND(T285&lt;&gt;"",TRIM(E285&amp;"")&lt;&gt;""),TRIM(E285&amp;""),"")</f>
        <v/>
      </c>
      <c r="V285" s="32">
        <f>IF(TRIM(A285&amp;"")="","",IF(T285&lt;&gt;"",T285,IF(TRIM(E285&amp;"")="","",IFERROR(INDEX($T$6:$T$505,MATCH(TRIM(E285&amp;""),$U$6:$U$505,0)),""))))</f>
        <v/>
      </c>
      <c r="W285" s="32">
        <f>IF(V285="","",INDEX('Form Calc'!$G:$G,V285))</f>
        <v/>
      </c>
      <c r="X285" s="32">
        <f>IF(TRIM(A285&amp;"")="","",IF(T285&lt;&gt;"",IF(INDEX('Form Calc'!$K:$K,T285)&lt;&gt;"",INDEX('Form Calc'!$K:$K,T285),J285&amp;""),J285&amp;""))</f>
        <v/>
      </c>
      <c r="Y285" s="32">
        <f>IF(TRIM(A285&amp;"")="","",IF(TRIM(D285&amp;"")&lt;&gt;"",TRIM(D285&amp;""),IF(T285&lt;&gt;"",INDEX('Form Calc'!$C:$C,T285)&amp;"","")))</f>
        <v/>
      </c>
      <c r="Z285" s="32">
        <f>SUBSTITUTE(SUBSTITUTE(SUBSTITUTE(SUBSTITUTE(SUBSTITUTE(SUBSTITUTE(SUBSTITUTE(SUBSTITUTE(Y285," ",""),"-",""),"(",""),")",""),".",""),"+",""),"/",""),CHAR(160),"")</f>
        <v/>
      </c>
      <c r="AA285" s="32">
        <f>IF(Z285="","",IF(LEN(Z285)=10,"+1"&amp;Z285,IF(AND(LEN(Z285)=11,LEFT(Z285,1)="1"),"+"&amp;Z285,IF(LEFT(Y285,1)="+","+"&amp;Z285,Z285))))</f>
        <v/>
      </c>
      <c r="AB285" s="32">
        <f>IF(TRIM(A285&amp;"")="","",IF(TRIM(M285&amp;"")&lt;&gt;"",TRIM(M285&amp;""),IFERROR(LEFT(TRIM(A285&amp;""),FIND(" ",TRIM(A285&amp;""))-1),TRIM(A285&amp;""))))</f>
        <v/>
      </c>
      <c r="AC285" s="32">
        <f>SUBSTITUTE(SUBSTITUTE(SUBSTITUTE(SUBSTITUTE(SUBSTITUTE(SUBSTITUTE(SUBSTITUTE(SUBSTITUTE(SUBSTITUTE(SUBSTITUTE(AB285,"%","%25"),"&amp;","%26"),"#","%23"),"+","%2B"),"=","%3D"),"?","%3F"),CHAR(34),"%22"),CHAR(10),"%0A"),CHAR(13),"")," ","+")</f>
        <v/>
      </c>
      <c r="AD285" s="32">
        <f>IF(OR(AA285="",AB285=""),"",'Start Here'!$B$20&amp;"#p="&amp;SUBSTITUTE(AA285,"+","%2B")&amp;"&amp;n="&amp;AC285&amp;"&amp;m="&amp;SUBSTITUTE('Start Here'!$B$24,"{name}",AC285))</f>
        <v/>
      </c>
      <c r="AE285" s="32">
        <f>LEN(AD285)</f>
        <v/>
      </c>
      <c r="AF285" s="32">
        <f>IF(AND(TRIM(A285&amp;"")&lt;&gt;"",OR(B285="Awaiting",B285="Not sure yet")),1,0)</f>
        <v/>
      </c>
      <c r="AG285" s="32">
        <f>N(AG284)+AF285</f>
        <v/>
      </c>
      <c r="AH285" s="32">
        <f>IF(AF285=1,AG285,"")</f>
        <v/>
      </c>
      <c r="AI285" s="32">
        <f>IF(AND(TRIM(A285&amp;"")&lt;&gt;"",L285&amp;""&lt;&gt;"",L285&amp;""=Seating!$I$3&amp;"",B285&lt;&gt;"Declined"),1,0)</f>
        <v/>
      </c>
      <c r="AJ285" s="32">
        <f>N(AJ284)+AI285</f>
        <v/>
      </c>
      <c r="AK285" s="32">
        <f>IF(AI285=1,AJ285,"")</f>
        <v/>
      </c>
    </row>
    <row r="286">
      <c r="A286" s="10" t="n"/>
      <c r="B286" s="47">
        <f>IF(TRIM(A286&amp;"")="","",IF(W286&lt;&gt;"",W286,IF(I286="","Awaiting",I286)))</f>
        <v/>
      </c>
      <c r="C286" s="60">
        <f>IF(OR(B286="Awaiting",B286="Not sure yet"),IF(AD286&lt;&gt;"",HYPERLINK(AD286,"💬 Remind"),"add mobile"),"")</f>
        <v/>
      </c>
      <c r="D286" s="58" t="n"/>
      <c r="E286" s="10" t="n"/>
      <c r="F286" s="10" t="n"/>
      <c r="G286" s="10" t="n"/>
      <c r="H286" s="10" t="n"/>
      <c r="I286" s="10" t="n"/>
      <c r="J286" s="10" t="n"/>
      <c r="K286" s="10" t="n"/>
      <c r="L286" s="56" t="n"/>
      <c r="M286" s="10" t="n"/>
      <c r="N286" s="12" t="n"/>
      <c r="O286" s="10" t="n"/>
      <c r="P286" s="10" t="n"/>
      <c r="Q286" s="61">
        <f>IF(V286="","",IF(T286="","Covered by "&amp;INDEX('Form Calc'!$B:$B,V286)&amp;"'s reply (same party)","Replied "&amp;TEXT(INDEX('Form Calc'!$A:$A,T286),"mm/dd")&amp;" · "&amp;INDEX('Form Calc'!$H:$H,T286)&amp;" adult(s), "&amp;INDEX('Form Calc'!$I:$I,T286)&amp;" child(ren)"&amp;IF(INDEX('Form Calc'!$K:$K,T286)&lt;&gt;""," · "&amp;INDEX('Form Calc'!$K:$K,T286),"")&amp;IF(INDEX('Form Calc'!$M:$M,T286)&lt;&gt;""," · “"&amp;INDEX('Form Calc'!$M:$M,T286)&amp;"”","")))</f>
        <v/>
      </c>
      <c r="R286" s="32">
        <f>SUBSTITUTE(SUBSTITUTE(SUBSTITUTE(SUBSTITUTE(SUBSTITUTE(SUBSTITUTE(SUBSTITUTE(SUBSTITUTE(D286&amp;""," ",""),"-",""),"(",""),")",""),".",""),"+",""),"/",""),CHAR(160),"")</f>
        <v/>
      </c>
      <c r="S286" s="32">
        <f>IF(LEN(R286)&gt;=10,RIGHT(R286,10),R286)</f>
        <v/>
      </c>
      <c r="T286" s="32">
        <f>IF(TRIM(A286&amp;"")="","",IF(S286&lt;&gt;"",IFERROR(MATCH(S286,'Form Calc'!$P:$P,0),IFERROR(MATCH(TRIM(A286&amp;""),'Form Calc'!$Q:$Q,0),"")),IFERROR(MATCH(TRIM(A286&amp;""),'Form Calc'!$Q:$Q,0),"")))</f>
        <v/>
      </c>
      <c r="U286" s="32">
        <f>IF(AND(T286&lt;&gt;"",TRIM(E286&amp;"")&lt;&gt;""),TRIM(E286&amp;""),"")</f>
        <v/>
      </c>
      <c r="V286" s="32">
        <f>IF(TRIM(A286&amp;"")="","",IF(T286&lt;&gt;"",T286,IF(TRIM(E286&amp;"")="","",IFERROR(INDEX($T$6:$T$505,MATCH(TRIM(E286&amp;""),$U$6:$U$505,0)),""))))</f>
        <v/>
      </c>
      <c r="W286" s="32">
        <f>IF(V286="","",INDEX('Form Calc'!$G:$G,V286))</f>
        <v/>
      </c>
      <c r="X286" s="32">
        <f>IF(TRIM(A286&amp;"")="","",IF(T286&lt;&gt;"",IF(INDEX('Form Calc'!$K:$K,T286)&lt;&gt;"",INDEX('Form Calc'!$K:$K,T286),J286&amp;""),J286&amp;""))</f>
        <v/>
      </c>
      <c r="Y286" s="32">
        <f>IF(TRIM(A286&amp;"")="","",IF(TRIM(D286&amp;"")&lt;&gt;"",TRIM(D286&amp;""),IF(T286&lt;&gt;"",INDEX('Form Calc'!$C:$C,T286)&amp;"","")))</f>
        <v/>
      </c>
      <c r="Z286" s="32">
        <f>SUBSTITUTE(SUBSTITUTE(SUBSTITUTE(SUBSTITUTE(SUBSTITUTE(SUBSTITUTE(SUBSTITUTE(SUBSTITUTE(Y286," ",""),"-",""),"(",""),")",""),".",""),"+",""),"/",""),CHAR(160),"")</f>
        <v/>
      </c>
      <c r="AA286" s="32">
        <f>IF(Z286="","",IF(LEN(Z286)=10,"+1"&amp;Z286,IF(AND(LEN(Z286)=11,LEFT(Z286,1)="1"),"+"&amp;Z286,IF(LEFT(Y286,1)="+","+"&amp;Z286,Z286))))</f>
        <v/>
      </c>
      <c r="AB286" s="32">
        <f>IF(TRIM(A286&amp;"")="","",IF(TRIM(M286&amp;"")&lt;&gt;"",TRIM(M286&amp;""),IFERROR(LEFT(TRIM(A286&amp;""),FIND(" ",TRIM(A286&amp;""))-1),TRIM(A286&amp;""))))</f>
        <v/>
      </c>
      <c r="AC286" s="32">
        <f>SUBSTITUTE(SUBSTITUTE(SUBSTITUTE(SUBSTITUTE(SUBSTITUTE(SUBSTITUTE(SUBSTITUTE(SUBSTITUTE(SUBSTITUTE(SUBSTITUTE(AB286,"%","%25"),"&amp;","%26"),"#","%23"),"+","%2B"),"=","%3D"),"?","%3F"),CHAR(34),"%22"),CHAR(10),"%0A"),CHAR(13),"")," ","+")</f>
        <v/>
      </c>
      <c r="AD286" s="32">
        <f>IF(OR(AA286="",AB286=""),"",'Start Here'!$B$20&amp;"#p="&amp;SUBSTITUTE(AA286,"+","%2B")&amp;"&amp;n="&amp;AC286&amp;"&amp;m="&amp;SUBSTITUTE('Start Here'!$B$24,"{name}",AC286))</f>
        <v/>
      </c>
      <c r="AE286" s="32">
        <f>LEN(AD286)</f>
        <v/>
      </c>
      <c r="AF286" s="32">
        <f>IF(AND(TRIM(A286&amp;"")&lt;&gt;"",OR(B286="Awaiting",B286="Not sure yet")),1,0)</f>
        <v/>
      </c>
      <c r="AG286" s="32">
        <f>N(AG285)+AF286</f>
        <v/>
      </c>
      <c r="AH286" s="32">
        <f>IF(AF286=1,AG286,"")</f>
        <v/>
      </c>
      <c r="AI286" s="32">
        <f>IF(AND(TRIM(A286&amp;"")&lt;&gt;"",L286&amp;""&lt;&gt;"",L286&amp;""=Seating!$I$3&amp;"",B286&lt;&gt;"Declined"),1,0)</f>
        <v/>
      </c>
      <c r="AJ286" s="32">
        <f>N(AJ285)+AI286</f>
        <v/>
      </c>
      <c r="AK286" s="32">
        <f>IF(AI286=1,AJ286,"")</f>
        <v/>
      </c>
    </row>
    <row r="287">
      <c r="A287" s="10" t="n"/>
      <c r="B287" s="47">
        <f>IF(TRIM(A287&amp;"")="","",IF(W287&lt;&gt;"",W287,IF(I287="","Awaiting",I287)))</f>
        <v/>
      </c>
      <c r="C287" s="60">
        <f>IF(OR(B287="Awaiting",B287="Not sure yet"),IF(AD287&lt;&gt;"",HYPERLINK(AD287,"💬 Remind"),"add mobile"),"")</f>
        <v/>
      </c>
      <c r="D287" s="58" t="n"/>
      <c r="E287" s="10" t="n"/>
      <c r="F287" s="10" t="n"/>
      <c r="G287" s="10" t="n"/>
      <c r="H287" s="10" t="n"/>
      <c r="I287" s="10" t="n"/>
      <c r="J287" s="10" t="n"/>
      <c r="K287" s="10" t="n"/>
      <c r="L287" s="56" t="n"/>
      <c r="M287" s="10" t="n"/>
      <c r="N287" s="12" t="n"/>
      <c r="O287" s="10" t="n"/>
      <c r="P287" s="10" t="n"/>
      <c r="Q287" s="61">
        <f>IF(V287="","",IF(T287="","Covered by "&amp;INDEX('Form Calc'!$B:$B,V287)&amp;"'s reply (same party)","Replied "&amp;TEXT(INDEX('Form Calc'!$A:$A,T287),"mm/dd")&amp;" · "&amp;INDEX('Form Calc'!$H:$H,T287)&amp;" adult(s), "&amp;INDEX('Form Calc'!$I:$I,T287)&amp;" child(ren)"&amp;IF(INDEX('Form Calc'!$K:$K,T287)&lt;&gt;""," · "&amp;INDEX('Form Calc'!$K:$K,T287),"")&amp;IF(INDEX('Form Calc'!$M:$M,T287)&lt;&gt;""," · “"&amp;INDEX('Form Calc'!$M:$M,T287)&amp;"”","")))</f>
        <v/>
      </c>
      <c r="R287" s="32">
        <f>SUBSTITUTE(SUBSTITUTE(SUBSTITUTE(SUBSTITUTE(SUBSTITUTE(SUBSTITUTE(SUBSTITUTE(SUBSTITUTE(D287&amp;""," ",""),"-",""),"(",""),")",""),".",""),"+",""),"/",""),CHAR(160),"")</f>
        <v/>
      </c>
      <c r="S287" s="32">
        <f>IF(LEN(R287)&gt;=10,RIGHT(R287,10),R287)</f>
        <v/>
      </c>
      <c r="T287" s="32">
        <f>IF(TRIM(A287&amp;"")="","",IF(S287&lt;&gt;"",IFERROR(MATCH(S287,'Form Calc'!$P:$P,0),IFERROR(MATCH(TRIM(A287&amp;""),'Form Calc'!$Q:$Q,0),"")),IFERROR(MATCH(TRIM(A287&amp;""),'Form Calc'!$Q:$Q,0),"")))</f>
        <v/>
      </c>
      <c r="U287" s="32">
        <f>IF(AND(T287&lt;&gt;"",TRIM(E287&amp;"")&lt;&gt;""),TRIM(E287&amp;""),"")</f>
        <v/>
      </c>
      <c r="V287" s="32">
        <f>IF(TRIM(A287&amp;"")="","",IF(T287&lt;&gt;"",T287,IF(TRIM(E287&amp;"")="","",IFERROR(INDEX($T$6:$T$505,MATCH(TRIM(E287&amp;""),$U$6:$U$505,0)),""))))</f>
        <v/>
      </c>
      <c r="W287" s="32">
        <f>IF(V287="","",INDEX('Form Calc'!$G:$G,V287))</f>
        <v/>
      </c>
      <c r="X287" s="32">
        <f>IF(TRIM(A287&amp;"")="","",IF(T287&lt;&gt;"",IF(INDEX('Form Calc'!$K:$K,T287)&lt;&gt;"",INDEX('Form Calc'!$K:$K,T287),J287&amp;""),J287&amp;""))</f>
        <v/>
      </c>
      <c r="Y287" s="32">
        <f>IF(TRIM(A287&amp;"")="","",IF(TRIM(D287&amp;"")&lt;&gt;"",TRIM(D287&amp;""),IF(T287&lt;&gt;"",INDEX('Form Calc'!$C:$C,T287)&amp;"","")))</f>
        <v/>
      </c>
      <c r="Z287" s="32">
        <f>SUBSTITUTE(SUBSTITUTE(SUBSTITUTE(SUBSTITUTE(SUBSTITUTE(SUBSTITUTE(SUBSTITUTE(SUBSTITUTE(Y287," ",""),"-",""),"(",""),")",""),".",""),"+",""),"/",""),CHAR(160),"")</f>
        <v/>
      </c>
      <c r="AA287" s="32">
        <f>IF(Z287="","",IF(LEN(Z287)=10,"+1"&amp;Z287,IF(AND(LEN(Z287)=11,LEFT(Z287,1)="1"),"+"&amp;Z287,IF(LEFT(Y287,1)="+","+"&amp;Z287,Z287))))</f>
        <v/>
      </c>
      <c r="AB287" s="32">
        <f>IF(TRIM(A287&amp;"")="","",IF(TRIM(M287&amp;"")&lt;&gt;"",TRIM(M287&amp;""),IFERROR(LEFT(TRIM(A287&amp;""),FIND(" ",TRIM(A287&amp;""))-1),TRIM(A287&amp;""))))</f>
        <v/>
      </c>
      <c r="AC287" s="32">
        <f>SUBSTITUTE(SUBSTITUTE(SUBSTITUTE(SUBSTITUTE(SUBSTITUTE(SUBSTITUTE(SUBSTITUTE(SUBSTITUTE(SUBSTITUTE(SUBSTITUTE(AB287,"%","%25"),"&amp;","%26"),"#","%23"),"+","%2B"),"=","%3D"),"?","%3F"),CHAR(34),"%22"),CHAR(10),"%0A"),CHAR(13),"")," ","+")</f>
        <v/>
      </c>
      <c r="AD287" s="32">
        <f>IF(OR(AA287="",AB287=""),"",'Start Here'!$B$20&amp;"#p="&amp;SUBSTITUTE(AA287,"+","%2B")&amp;"&amp;n="&amp;AC287&amp;"&amp;m="&amp;SUBSTITUTE('Start Here'!$B$24,"{name}",AC287))</f>
        <v/>
      </c>
      <c r="AE287" s="32">
        <f>LEN(AD287)</f>
        <v/>
      </c>
      <c r="AF287" s="32">
        <f>IF(AND(TRIM(A287&amp;"")&lt;&gt;"",OR(B287="Awaiting",B287="Not sure yet")),1,0)</f>
        <v/>
      </c>
      <c r="AG287" s="32">
        <f>N(AG286)+AF287</f>
        <v/>
      </c>
      <c r="AH287" s="32">
        <f>IF(AF287=1,AG287,"")</f>
        <v/>
      </c>
      <c r="AI287" s="32">
        <f>IF(AND(TRIM(A287&amp;"")&lt;&gt;"",L287&amp;""&lt;&gt;"",L287&amp;""=Seating!$I$3&amp;"",B287&lt;&gt;"Declined"),1,0)</f>
        <v/>
      </c>
      <c r="AJ287" s="32">
        <f>N(AJ286)+AI287</f>
        <v/>
      </c>
      <c r="AK287" s="32">
        <f>IF(AI287=1,AJ287,"")</f>
        <v/>
      </c>
    </row>
    <row r="288">
      <c r="A288" s="10" t="n"/>
      <c r="B288" s="47">
        <f>IF(TRIM(A288&amp;"")="","",IF(W288&lt;&gt;"",W288,IF(I288="","Awaiting",I288)))</f>
        <v/>
      </c>
      <c r="C288" s="60">
        <f>IF(OR(B288="Awaiting",B288="Not sure yet"),IF(AD288&lt;&gt;"",HYPERLINK(AD288,"💬 Remind"),"add mobile"),"")</f>
        <v/>
      </c>
      <c r="D288" s="58" t="n"/>
      <c r="E288" s="10" t="n"/>
      <c r="F288" s="10" t="n"/>
      <c r="G288" s="10" t="n"/>
      <c r="H288" s="10" t="n"/>
      <c r="I288" s="10" t="n"/>
      <c r="J288" s="10" t="n"/>
      <c r="K288" s="10" t="n"/>
      <c r="L288" s="56" t="n"/>
      <c r="M288" s="10" t="n"/>
      <c r="N288" s="12" t="n"/>
      <c r="O288" s="10" t="n"/>
      <c r="P288" s="10" t="n"/>
      <c r="Q288" s="61">
        <f>IF(V288="","",IF(T288="","Covered by "&amp;INDEX('Form Calc'!$B:$B,V288)&amp;"'s reply (same party)","Replied "&amp;TEXT(INDEX('Form Calc'!$A:$A,T288),"mm/dd")&amp;" · "&amp;INDEX('Form Calc'!$H:$H,T288)&amp;" adult(s), "&amp;INDEX('Form Calc'!$I:$I,T288)&amp;" child(ren)"&amp;IF(INDEX('Form Calc'!$K:$K,T288)&lt;&gt;""," · "&amp;INDEX('Form Calc'!$K:$K,T288),"")&amp;IF(INDEX('Form Calc'!$M:$M,T288)&lt;&gt;""," · “"&amp;INDEX('Form Calc'!$M:$M,T288)&amp;"”","")))</f>
        <v/>
      </c>
      <c r="R288" s="32">
        <f>SUBSTITUTE(SUBSTITUTE(SUBSTITUTE(SUBSTITUTE(SUBSTITUTE(SUBSTITUTE(SUBSTITUTE(SUBSTITUTE(D288&amp;""," ",""),"-",""),"(",""),")",""),".",""),"+",""),"/",""),CHAR(160),"")</f>
        <v/>
      </c>
      <c r="S288" s="32">
        <f>IF(LEN(R288)&gt;=10,RIGHT(R288,10),R288)</f>
        <v/>
      </c>
      <c r="T288" s="32">
        <f>IF(TRIM(A288&amp;"")="","",IF(S288&lt;&gt;"",IFERROR(MATCH(S288,'Form Calc'!$P:$P,0),IFERROR(MATCH(TRIM(A288&amp;""),'Form Calc'!$Q:$Q,0),"")),IFERROR(MATCH(TRIM(A288&amp;""),'Form Calc'!$Q:$Q,0),"")))</f>
        <v/>
      </c>
      <c r="U288" s="32">
        <f>IF(AND(T288&lt;&gt;"",TRIM(E288&amp;"")&lt;&gt;""),TRIM(E288&amp;""),"")</f>
        <v/>
      </c>
      <c r="V288" s="32">
        <f>IF(TRIM(A288&amp;"")="","",IF(T288&lt;&gt;"",T288,IF(TRIM(E288&amp;"")="","",IFERROR(INDEX($T$6:$T$505,MATCH(TRIM(E288&amp;""),$U$6:$U$505,0)),""))))</f>
        <v/>
      </c>
      <c r="W288" s="32">
        <f>IF(V288="","",INDEX('Form Calc'!$G:$G,V288))</f>
        <v/>
      </c>
      <c r="X288" s="32">
        <f>IF(TRIM(A288&amp;"")="","",IF(T288&lt;&gt;"",IF(INDEX('Form Calc'!$K:$K,T288)&lt;&gt;"",INDEX('Form Calc'!$K:$K,T288),J288&amp;""),J288&amp;""))</f>
        <v/>
      </c>
      <c r="Y288" s="32">
        <f>IF(TRIM(A288&amp;"")="","",IF(TRIM(D288&amp;"")&lt;&gt;"",TRIM(D288&amp;""),IF(T288&lt;&gt;"",INDEX('Form Calc'!$C:$C,T288)&amp;"","")))</f>
        <v/>
      </c>
      <c r="Z288" s="32">
        <f>SUBSTITUTE(SUBSTITUTE(SUBSTITUTE(SUBSTITUTE(SUBSTITUTE(SUBSTITUTE(SUBSTITUTE(SUBSTITUTE(Y288," ",""),"-",""),"(",""),")",""),".",""),"+",""),"/",""),CHAR(160),"")</f>
        <v/>
      </c>
      <c r="AA288" s="32">
        <f>IF(Z288="","",IF(LEN(Z288)=10,"+1"&amp;Z288,IF(AND(LEN(Z288)=11,LEFT(Z288,1)="1"),"+"&amp;Z288,IF(LEFT(Y288,1)="+","+"&amp;Z288,Z288))))</f>
        <v/>
      </c>
      <c r="AB288" s="32">
        <f>IF(TRIM(A288&amp;"")="","",IF(TRIM(M288&amp;"")&lt;&gt;"",TRIM(M288&amp;""),IFERROR(LEFT(TRIM(A288&amp;""),FIND(" ",TRIM(A288&amp;""))-1),TRIM(A288&amp;""))))</f>
        <v/>
      </c>
      <c r="AC288" s="32">
        <f>SUBSTITUTE(SUBSTITUTE(SUBSTITUTE(SUBSTITUTE(SUBSTITUTE(SUBSTITUTE(SUBSTITUTE(SUBSTITUTE(SUBSTITUTE(SUBSTITUTE(AB288,"%","%25"),"&amp;","%26"),"#","%23"),"+","%2B"),"=","%3D"),"?","%3F"),CHAR(34),"%22"),CHAR(10),"%0A"),CHAR(13),"")," ","+")</f>
        <v/>
      </c>
      <c r="AD288" s="32">
        <f>IF(OR(AA288="",AB288=""),"",'Start Here'!$B$20&amp;"#p="&amp;SUBSTITUTE(AA288,"+","%2B")&amp;"&amp;n="&amp;AC288&amp;"&amp;m="&amp;SUBSTITUTE('Start Here'!$B$24,"{name}",AC288))</f>
        <v/>
      </c>
      <c r="AE288" s="32">
        <f>LEN(AD288)</f>
        <v/>
      </c>
      <c r="AF288" s="32">
        <f>IF(AND(TRIM(A288&amp;"")&lt;&gt;"",OR(B288="Awaiting",B288="Not sure yet")),1,0)</f>
        <v/>
      </c>
      <c r="AG288" s="32">
        <f>N(AG287)+AF288</f>
        <v/>
      </c>
      <c r="AH288" s="32">
        <f>IF(AF288=1,AG288,"")</f>
        <v/>
      </c>
      <c r="AI288" s="32">
        <f>IF(AND(TRIM(A288&amp;"")&lt;&gt;"",L288&amp;""&lt;&gt;"",L288&amp;""=Seating!$I$3&amp;"",B288&lt;&gt;"Declined"),1,0)</f>
        <v/>
      </c>
      <c r="AJ288" s="32">
        <f>N(AJ287)+AI288</f>
        <v/>
      </c>
      <c r="AK288" s="32">
        <f>IF(AI288=1,AJ288,"")</f>
        <v/>
      </c>
    </row>
    <row r="289">
      <c r="A289" s="10" t="n"/>
      <c r="B289" s="47">
        <f>IF(TRIM(A289&amp;"")="","",IF(W289&lt;&gt;"",W289,IF(I289="","Awaiting",I289)))</f>
        <v/>
      </c>
      <c r="C289" s="60">
        <f>IF(OR(B289="Awaiting",B289="Not sure yet"),IF(AD289&lt;&gt;"",HYPERLINK(AD289,"💬 Remind"),"add mobile"),"")</f>
        <v/>
      </c>
      <c r="D289" s="58" t="n"/>
      <c r="E289" s="10" t="n"/>
      <c r="F289" s="10" t="n"/>
      <c r="G289" s="10" t="n"/>
      <c r="H289" s="10" t="n"/>
      <c r="I289" s="10" t="n"/>
      <c r="J289" s="10" t="n"/>
      <c r="K289" s="10" t="n"/>
      <c r="L289" s="56" t="n"/>
      <c r="M289" s="10" t="n"/>
      <c r="N289" s="12" t="n"/>
      <c r="O289" s="10" t="n"/>
      <c r="P289" s="10" t="n"/>
      <c r="Q289" s="61">
        <f>IF(V289="","",IF(T289="","Covered by "&amp;INDEX('Form Calc'!$B:$B,V289)&amp;"'s reply (same party)","Replied "&amp;TEXT(INDEX('Form Calc'!$A:$A,T289),"mm/dd")&amp;" · "&amp;INDEX('Form Calc'!$H:$H,T289)&amp;" adult(s), "&amp;INDEX('Form Calc'!$I:$I,T289)&amp;" child(ren)"&amp;IF(INDEX('Form Calc'!$K:$K,T289)&lt;&gt;""," · "&amp;INDEX('Form Calc'!$K:$K,T289),"")&amp;IF(INDEX('Form Calc'!$M:$M,T289)&lt;&gt;""," · “"&amp;INDEX('Form Calc'!$M:$M,T289)&amp;"”","")))</f>
        <v/>
      </c>
      <c r="R289" s="32">
        <f>SUBSTITUTE(SUBSTITUTE(SUBSTITUTE(SUBSTITUTE(SUBSTITUTE(SUBSTITUTE(SUBSTITUTE(SUBSTITUTE(D289&amp;""," ",""),"-",""),"(",""),")",""),".",""),"+",""),"/",""),CHAR(160),"")</f>
        <v/>
      </c>
      <c r="S289" s="32">
        <f>IF(LEN(R289)&gt;=10,RIGHT(R289,10),R289)</f>
        <v/>
      </c>
      <c r="T289" s="32">
        <f>IF(TRIM(A289&amp;"")="","",IF(S289&lt;&gt;"",IFERROR(MATCH(S289,'Form Calc'!$P:$P,0),IFERROR(MATCH(TRIM(A289&amp;""),'Form Calc'!$Q:$Q,0),"")),IFERROR(MATCH(TRIM(A289&amp;""),'Form Calc'!$Q:$Q,0),"")))</f>
        <v/>
      </c>
      <c r="U289" s="32">
        <f>IF(AND(T289&lt;&gt;"",TRIM(E289&amp;"")&lt;&gt;""),TRIM(E289&amp;""),"")</f>
        <v/>
      </c>
      <c r="V289" s="32">
        <f>IF(TRIM(A289&amp;"")="","",IF(T289&lt;&gt;"",T289,IF(TRIM(E289&amp;"")="","",IFERROR(INDEX($T$6:$T$505,MATCH(TRIM(E289&amp;""),$U$6:$U$505,0)),""))))</f>
        <v/>
      </c>
      <c r="W289" s="32">
        <f>IF(V289="","",INDEX('Form Calc'!$G:$G,V289))</f>
        <v/>
      </c>
      <c r="X289" s="32">
        <f>IF(TRIM(A289&amp;"")="","",IF(T289&lt;&gt;"",IF(INDEX('Form Calc'!$K:$K,T289)&lt;&gt;"",INDEX('Form Calc'!$K:$K,T289),J289&amp;""),J289&amp;""))</f>
        <v/>
      </c>
      <c r="Y289" s="32">
        <f>IF(TRIM(A289&amp;"")="","",IF(TRIM(D289&amp;"")&lt;&gt;"",TRIM(D289&amp;""),IF(T289&lt;&gt;"",INDEX('Form Calc'!$C:$C,T289)&amp;"","")))</f>
        <v/>
      </c>
      <c r="Z289" s="32">
        <f>SUBSTITUTE(SUBSTITUTE(SUBSTITUTE(SUBSTITUTE(SUBSTITUTE(SUBSTITUTE(SUBSTITUTE(SUBSTITUTE(Y289," ",""),"-",""),"(",""),")",""),".",""),"+",""),"/",""),CHAR(160),"")</f>
        <v/>
      </c>
      <c r="AA289" s="32">
        <f>IF(Z289="","",IF(LEN(Z289)=10,"+1"&amp;Z289,IF(AND(LEN(Z289)=11,LEFT(Z289,1)="1"),"+"&amp;Z289,IF(LEFT(Y289,1)="+","+"&amp;Z289,Z289))))</f>
        <v/>
      </c>
      <c r="AB289" s="32">
        <f>IF(TRIM(A289&amp;"")="","",IF(TRIM(M289&amp;"")&lt;&gt;"",TRIM(M289&amp;""),IFERROR(LEFT(TRIM(A289&amp;""),FIND(" ",TRIM(A289&amp;""))-1),TRIM(A289&amp;""))))</f>
        <v/>
      </c>
      <c r="AC289" s="32">
        <f>SUBSTITUTE(SUBSTITUTE(SUBSTITUTE(SUBSTITUTE(SUBSTITUTE(SUBSTITUTE(SUBSTITUTE(SUBSTITUTE(SUBSTITUTE(SUBSTITUTE(AB289,"%","%25"),"&amp;","%26"),"#","%23"),"+","%2B"),"=","%3D"),"?","%3F"),CHAR(34),"%22"),CHAR(10),"%0A"),CHAR(13),"")," ","+")</f>
        <v/>
      </c>
      <c r="AD289" s="32">
        <f>IF(OR(AA289="",AB289=""),"",'Start Here'!$B$20&amp;"#p="&amp;SUBSTITUTE(AA289,"+","%2B")&amp;"&amp;n="&amp;AC289&amp;"&amp;m="&amp;SUBSTITUTE('Start Here'!$B$24,"{name}",AC289))</f>
        <v/>
      </c>
      <c r="AE289" s="32">
        <f>LEN(AD289)</f>
        <v/>
      </c>
      <c r="AF289" s="32">
        <f>IF(AND(TRIM(A289&amp;"")&lt;&gt;"",OR(B289="Awaiting",B289="Not sure yet")),1,0)</f>
        <v/>
      </c>
      <c r="AG289" s="32">
        <f>N(AG288)+AF289</f>
        <v/>
      </c>
      <c r="AH289" s="32">
        <f>IF(AF289=1,AG289,"")</f>
        <v/>
      </c>
      <c r="AI289" s="32">
        <f>IF(AND(TRIM(A289&amp;"")&lt;&gt;"",L289&amp;""&lt;&gt;"",L289&amp;""=Seating!$I$3&amp;"",B289&lt;&gt;"Declined"),1,0)</f>
        <v/>
      </c>
      <c r="AJ289" s="32">
        <f>N(AJ288)+AI289</f>
        <v/>
      </c>
      <c r="AK289" s="32">
        <f>IF(AI289=1,AJ289,"")</f>
        <v/>
      </c>
    </row>
    <row r="290">
      <c r="A290" s="10" t="n"/>
      <c r="B290" s="47">
        <f>IF(TRIM(A290&amp;"")="","",IF(W290&lt;&gt;"",W290,IF(I290="","Awaiting",I290)))</f>
        <v/>
      </c>
      <c r="C290" s="60">
        <f>IF(OR(B290="Awaiting",B290="Not sure yet"),IF(AD290&lt;&gt;"",HYPERLINK(AD290,"💬 Remind"),"add mobile"),"")</f>
        <v/>
      </c>
      <c r="D290" s="58" t="n"/>
      <c r="E290" s="10" t="n"/>
      <c r="F290" s="10" t="n"/>
      <c r="G290" s="10" t="n"/>
      <c r="H290" s="10" t="n"/>
      <c r="I290" s="10" t="n"/>
      <c r="J290" s="10" t="n"/>
      <c r="K290" s="10" t="n"/>
      <c r="L290" s="56" t="n"/>
      <c r="M290" s="10" t="n"/>
      <c r="N290" s="12" t="n"/>
      <c r="O290" s="10" t="n"/>
      <c r="P290" s="10" t="n"/>
      <c r="Q290" s="61">
        <f>IF(V290="","",IF(T290="","Covered by "&amp;INDEX('Form Calc'!$B:$B,V290)&amp;"'s reply (same party)","Replied "&amp;TEXT(INDEX('Form Calc'!$A:$A,T290),"mm/dd")&amp;" · "&amp;INDEX('Form Calc'!$H:$H,T290)&amp;" adult(s), "&amp;INDEX('Form Calc'!$I:$I,T290)&amp;" child(ren)"&amp;IF(INDEX('Form Calc'!$K:$K,T290)&lt;&gt;""," · "&amp;INDEX('Form Calc'!$K:$K,T290),"")&amp;IF(INDEX('Form Calc'!$M:$M,T290)&lt;&gt;""," · “"&amp;INDEX('Form Calc'!$M:$M,T290)&amp;"”","")))</f>
        <v/>
      </c>
      <c r="R290" s="32">
        <f>SUBSTITUTE(SUBSTITUTE(SUBSTITUTE(SUBSTITUTE(SUBSTITUTE(SUBSTITUTE(SUBSTITUTE(SUBSTITUTE(D290&amp;""," ",""),"-",""),"(",""),")",""),".",""),"+",""),"/",""),CHAR(160),"")</f>
        <v/>
      </c>
      <c r="S290" s="32">
        <f>IF(LEN(R290)&gt;=10,RIGHT(R290,10),R290)</f>
        <v/>
      </c>
      <c r="T290" s="32">
        <f>IF(TRIM(A290&amp;"")="","",IF(S290&lt;&gt;"",IFERROR(MATCH(S290,'Form Calc'!$P:$P,0),IFERROR(MATCH(TRIM(A290&amp;""),'Form Calc'!$Q:$Q,0),"")),IFERROR(MATCH(TRIM(A290&amp;""),'Form Calc'!$Q:$Q,0),"")))</f>
        <v/>
      </c>
      <c r="U290" s="32">
        <f>IF(AND(T290&lt;&gt;"",TRIM(E290&amp;"")&lt;&gt;""),TRIM(E290&amp;""),"")</f>
        <v/>
      </c>
      <c r="V290" s="32">
        <f>IF(TRIM(A290&amp;"")="","",IF(T290&lt;&gt;"",T290,IF(TRIM(E290&amp;"")="","",IFERROR(INDEX($T$6:$T$505,MATCH(TRIM(E290&amp;""),$U$6:$U$505,0)),""))))</f>
        <v/>
      </c>
      <c r="W290" s="32">
        <f>IF(V290="","",INDEX('Form Calc'!$G:$G,V290))</f>
        <v/>
      </c>
      <c r="X290" s="32">
        <f>IF(TRIM(A290&amp;"")="","",IF(T290&lt;&gt;"",IF(INDEX('Form Calc'!$K:$K,T290)&lt;&gt;"",INDEX('Form Calc'!$K:$K,T290),J290&amp;""),J290&amp;""))</f>
        <v/>
      </c>
      <c r="Y290" s="32">
        <f>IF(TRIM(A290&amp;"")="","",IF(TRIM(D290&amp;"")&lt;&gt;"",TRIM(D290&amp;""),IF(T290&lt;&gt;"",INDEX('Form Calc'!$C:$C,T290)&amp;"","")))</f>
        <v/>
      </c>
      <c r="Z290" s="32">
        <f>SUBSTITUTE(SUBSTITUTE(SUBSTITUTE(SUBSTITUTE(SUBSTITUTE(SUBSTITUTE(SUBSTITUTE(SUBSTITUTE(Y290," ",""),"-",""),"(",""),")",""),".",""),"+",""),"/",""),CHAR(160),"")</f>
        <v/>
      </c>
      <c r="AA290" s="32">
        <f>IF(Z290="","",IF(LEN(Z290)=10,"+1"&amp;Z290,IF(AND(LEN(Z290)=11,LEFT(Z290,1)="1"),"+"&amp;Z290,IF(LEFT(Y290,1)="+","+"&amp;Z290,Z290))))</f>
        <v/>
      </c>
      <c r="AB290" s="32">
        <f>IF(TRIM(A290&amp;"")="","",IF(TRIM(M290&amp;"")&lt;&gt;"",TRIM(M290&amp;""),IFERROR(LEFT(TRIM(A290&amp;""),FIND(" ",TRIM(A290&amp;""))-1),TRIM(A290&amp;""))))</f>
        <v/>
      </c>
      <c r="AC290" s="32">
        <f>SUBSTITUTE(SUBSTITUTE(SUBSTITUTE(SUBSTITUTE(SUBSTITUTE(SUBSTITUTE(SUBSTITUTE(SUBSTITUTE(SUBSTITUTE(SUBSTITUTE(AB290,"%","%25"),"&amp;","%26"),"#","%23"),"+","%2B"),"=","%3D"),"?","%3F"),CHAR(34),"%22"),CHAR(10),"%0A"),CHAR(13),"")," ","+")</f>
        <v/>
      </c>
      <c r="AD290" s="32">
        <f>IF(OR(AA290="",AB290=""),"",'Start Here'!$B$20&amp;"#p="&amp;SUBSTITUTE(AA290,"+","%2B")&amp;"&amp;n="&amp;AC290&amp;"&amp;m="&amp;SUBSTITUTE('Start Here'!$B$24,"{name}",AC290))</f>
        <v/>
      </c>
      <c r="AE290" s="32">
        <f>LEN(AD290)</f>
        <v/>
      </c>
      <c r="AF290" s="32">
        <f>IF(AND(TRIM(A290&amp;"")&lt;&gt;"",OR(B290="Awaiting",B290="Not sure yet")),1,0)</f>
        <v/>
      </c>
      <c r="AG290" s="32">
        <f>N(AG289)+AF290</f>
        <v/>
      </c>
      <c r="AH290" s="32">
        <f>IF(AF290=1,AG290,"")</f>
        <v/>
      </c>
      <c r="AI290" s="32">
        <f>IF(AND(TRIM(A290&amp;"")&lt;&gt;"",L290&amp;""&lt;&gt;"",L290&amp;""=Seating!$I$3&amp;"",B290&lt;&gt;"Declined"),1,0)</f>
        <v/>
      </c>
      <c r="AJ290" s="32">
        <f>N(AJ289)+AI290</f>
        <v/>
      </c>
      <c r="AK290" s="32">
        <f>IF(AI290=1,AJ290,"")</f>
        <v/>
      </c>
    </row>
    <row r="291">
      <c r="A291" s="10" t="n"/>
      <c r="B291" s="47">
        <f>IF(TRIM(A291&amp;"")="","",IF(W291&lt;&gt;"",W291,IF(I291="","Awaiting",I291)))</f>
        <v/>
      </c>
      <c r="C291" s="60">
        <f>IF(OR(B291="Awaiting",B291="Not sure yet"),IF(AD291&lt;&gt;"",HYPERLINK(AD291,"💬 Remind"),"add mobile"),"")</f>
        <v/>
      </c>
      <c r="D291" s="58" t="n"/>
      <c r="E291" s="10" t="n"/>
      <c r="F291" s="10" t="n"/>
      <c r="G291" s="10" t="n"/>
      <c r="H291" s="10" t="n"/>
      <c r="I291" s="10" t="n"/>
      <c r="J291" s="10" t="n"/>
      <c r="K291" s="10" t="n"/>
      <c r="L291" s="56" t="n"/>
      <c r="M291" s="10" t="n"/>
      <c r="N291" s="12" t="n"/>
      <c r="O291" s="10" t="n"/>
      <c r="P291" s="10" t="n"/>
      <c r="Q291" s="61">
        <f>IF(V291="","",IF(T291="","Covered by "&amp;INDEX('Form Calc'!$B:$B,V291)&amp;"'s reply (same party)","Replied "&amp;TEXT(INDEX('Form Calc'!$A:$A,T291),"mm/dd")&amp;" · "&amp;INDEX('Form Calc'!$H:$H,T291)&amp;" adult(s), "&amp;INDEX('Form Calc'!$I:$I,T291)&amp;" child(ren)"&amp;IF(INDEX('Form Calc'!$K:$K,T291)&lt;&gt;""," · "&amp;INDEX('Form Calc'!$K:$K,T291),"")&amp;IF(INDEX('Form Calc'!$M:$M,T291)&lt;&gt;""," · “"&amp;INDEX('Form Calc'!$M:$M,T291)&amp;"”","")))</f>
        <v/>
      </c>
      <c r="R291" s="32">
        <f>SUBSTITUTE(SUBSTITUTE(SUBSTITUTE(SUBSTITUTE(SUBSTITUTE(SUBSTITUTE(SUBSTITUTE(SUBSTITUTE(D291&amp;""," ",""),"-",""),"(",""),")",""),".",""),"+",""),"/",""),CHAR(160),"")</f>
        <v/>
      </c>
      <c r="S291" s="32">
        <f>IF(LEN(R291)&gt;=10,RIGHT(R291,10),R291)</f>
        <v/>
      </c>
      <c r="T291" s="32">
        <f>IF(TRIM(A291&amp;"")="","",IF(S291&lt;&gt;"",IFERROR(MATCH(S291,'Form Calc'!$P:$P,0),IFERROR(MATCH(TRIM(A291&amp;""),'Form Calc'!$Q:$Q,0),"")),IFERROR(MATCH(TRIM(A291&amp;""),'Form Calc'!$Q:$Q,0),"")))</f>
        <v/>
      </c>
      <c r="U291" s="32">
        <f>IF(AND(T291&lt;&gt;"",TRIM(E291&amp;"")&lt;&gt;""),TRIM(E291&amp;""),"")</f>
        <v/>
      </c>
      <c r="V291" s="32">
        <f>IF(TRIM(A291&amp;"")="","",IF(T291&lt;&gt;"",T291,IF(TRIM(E291&amp;"")="","",IFERROR(INDEX($T$6:$T$505,MATCH(TRIM(E291&amp;""),$U$6:$U$505,0)),""))))</f>
        <v/>
      </c>
      <c r="W291" s="32">
        <f>IF(V291="","",INDEX('Form Calc'!$G:$G,V291))</f>
        <v/>
      </c>
      <c r="X291" s="32">
        <f>IF(TRIM(A291&amp;"")="","",IF(T291&lt;&gt;"",IF(INDEX('Form Calc'!$K:$K,T291)&lt;&gt;"",INDEX('Form Calc'!$K:$K,T291),J291&amp;""),J291&amp;""))</f>
        <v/>
      </c>
      <c r="Y291" s="32">
        <f>IF(TRIM(A291&amp;"")="","",IF(TRIM(D291&amp;"")&lt;&gt;"",TRIM(D291&amp;""),IF(T291&lt;&gt;"",INDEX('Form Calc'!$C:$C,T291)&amp;"","")))</f>
        <v/>
      </c>
      <c r="Z291" s="32">
        <f>SUBSTITUTE(SUBSTITUTE(SUBSTITUTE(SUBSTITUTE(SUBSTITUTE(SUBSTITUTE(SUBSTITUTE(SUBSTITUTE(Y291," ",""),"-",""),"(",""),")",""),".",""),"+",""),"/",""),CHAR(160),"")</f>
        <v/>
      </c>
      <c r="AA291" s="32">
        <f>IF(Z291="","",IF(LEN(Z291)=10,"+1"&amp;Z291,IF(AND(LEN(Z291)=11,LEFT(Z291,1)="1"),"+"&amp;Z291,IF(LEFT(Y291,1)="+","+"&amp;Z291,Z291))))</f>
        <v/>
      </c>
      <c r="AB291" s="32">
        <f>IF(TRIM(A291&amp;"")="","",IF(TRIM(M291&amp;"")&lt;&gt;"",TRIM(M291&amp;""),IFERROR(LEFT(TRIM(A291&amp;""),FIND(" ",TRIM(A291&amp;""))-1),TRIM(A291&amp;""))))</f>
        <v/>
      </c>
      <c r="AC291" s="32">
        <f>SUBSTITUTE(SUBSTITUTE(SUBSTITUTE(SUBSTITUTE(SUBSTITUTE(SUBSTITUTE(SUBSTITUTE(SUBSTITUTE(SUBSTITUTE(SUBSTITUTE(AB291,"%","%25"),"&amp;","%26"),"#","%23"),"+","%2B"),"=","%3D"),"?","%3F"),CHAR(34),"%22"),CHAR(10),"%0A"),CHAR(13),"")," ","+")</f>
        <v/>
      </c>
      <c r="AD291" s="32">
        <f>IF(OR(AA291="",AB291=""),"",'Start Here'!$B$20&amp;"#p="&amp;SUBSTITUTE(AA291,"+","%2B")&amp;"&amp;n="&amp;AC291&amp;"&amp;m="&amp;SUBSTITUTE('Start Here'!$B$24,"{name}",AC291))</f>
        <v/>
      </c>
      <c r="AE291" s="32">
        <f>LEN(AD291)</f>
        <v/>
      </c>
      <c r="AF291" s="32">
        <f>IF(AND(TRIM(A291&amp;"")&lt;&gt;"",OR(B291="Awaiting",B291="Not sure yet")),1,0)</f>
        <v/>
      </c>
      <c r="AG291" s="32">
        <f>N(AG290)+AF291</f>
        <v/>
      </c>
      <c r="AH291" s="32">
        <f>IF(AF291=1,AG291,"")</f>
        <v/>
      </c>
      <c r="AI291" s="32">
        <f>IF(AND(TRIM(A291&amp;"")&lt;&gt;"",L291&amp;""&lt;&gt;"",L291&amp;""=Seating!$I$3&amp;"",B291&lt;&gt;"Declined"),1,0)</f>
        <v/>
      </c>
      <c r="AJ291" s="32">
        <f>N(AJ290)+AI291</f>
        <v/>
      </c>
      <c r="AK291" s="32">
        <f>IF(AI291=1,AJ291,"")</f>
        <v/>
      </c>
    </row>
    <row r="292">
      <c r="A292" s="10" t="n"/>
      <c r="B292" s="47">
        <f>IF(TRIM(A292&amp;"")="","",IF(W292&lt;&gt;"",W292,IF(I292="","Awaiting",I292)))</f>
        <v/>
      </c>
      <c r="C292" s="60">
        <f>IF(OR(B292="Awaiting",B292="Not sure yet"),IF(AD292&lt;&gt;"",HYPERLINK(AD292,"💬 Remind"),"add mobile"),"")</f>
        <v/>
      </c>
      <c r="D292" s="58" t="n"/>
      <c r="E292" s="10" t="n"/>
      <c r="F292" s="10" t="n"/>
      <c r="G292" s="10" t="n"/>
      <c r="H292" s="10" t="n"/>
      <c r="I292" s="10" t="n"/>
      <c r="J292" s="10" t="n"/>
      <c r="K292" s="10" t="n"/>
      <c r="L292" s="56" t="n"/>
      <c r="M292" s="10" t="n"/>
      <c r="N292" s="12" t="n"/>
      <c r="O292" s="10" t="n"/>
      <c r="P292" s="10" t="n"/>
      <c r="Q292" s="61">
        <f>IF(V292="","",IF(T292="","Covered by "&amp;INDEX('Form Calc'!$B:$B,V292)&amp;"'s reply (same party)","Replied "&amp;TEXT(INDEX('Form Calc'!$A:$A,T292),"mm/dd")&amp;" · "&amp;INDEX('Form Calc'!$H:$H,T292)&amp;" adult(s), "&amp;INDEX('Form Calc'!$I:$I,T292)&amp;" child(ren)"&amp;IF(INDEX('Form Calc'!$K:$K,T292)&lt;&gt;""," · "&amp;INDEX('Form Calc'!$K:$K,T292),"")&amp;IF(INDEX('Form Calc'!$M:$M,T292)&lt;&gt;""," · “"&amp;INDEX('Form Calc'!$M:$M,T292)&amp;"”","")))</f>
        <v/>
      </c>
      <c r="R292" s="32">
        <f>SUBSTITUTE(SUBSTITUTE(SUBSTITUTE(SUBSTITUTE(SUBSTITUTE(SUBSTITUTE(SUBSTITUTE(SUBSTITUTE(D292&amp;""," ",""),"-",""),"(",""),")",""),".",""),"+",""),"/",""),CHAR(160),"")</f>
        <v/>
      </c>
      <c r="S292" s="32">
        <f>IF(LEN(R292)&gt;=10,RIGHT(R292,10),R292)</f>
        <v/>
      </c>
      <c r="T292" s="32">
        <f>IF(TRIM(A292&amp;"")="","",IF(S292&lt;&gt;"",IFERROR(MATCH(S292,'Form Calc'!$P:$P,0),IFERROR(MATCH(TRIM(A292&amp;""),'Form Calc'!$Q:$Q,0),"")),IFERROR(MATCH(TRIM(A292&amp;""),'Form Calc'!$Q:$Q,0),"")))</f>
        <v/>
      </c>
      <c r="U292" s="32">
        <f>IF(AND(T292&lt;&gt;"",TRIM(E292&amp;"")&lt;&gt;""),TRIM(E292&amp;""),"")</f>
        <v/>
      </c>
      <c r="V292" s="32">
        <f>IF(TRIM(A292&amp;"")="","",IF(T292&lt;&gt;"",T292,IF(TRIM(E292&amp;"")="","",IFERROR(INDEX($T$6:$T$505,MATCH(TRIM(E292&amp;""),$U$6:$U$505,0)),""))))</f>
        <v/>
      </c>
      <c r="W292" s="32">
        <f>IF(V292="","",INDEX('Form Calc'!$G:$G,V292))</f>
        <v/>
      </c>
      <c r="X292" s="32">
        <f>IF(TRIM(A292&amp;"")="","",IF(T292&lt;&gt;"",IF(INDEX('Form Calc'!$K:$K,T292)&lt;&gt;"",INDEX('Form Calc'!$K:$K,T292),J292&amp;""),J292&amp;""))</f>
        <v/>
      </c>
      <c r="Y292" s="32">
        <f>IF(TRIM(A292&amp;"")="","",IF(TRIM(D292&amp;"")&lt;&gt;"",TRIM(D292&amp;""),IF(T292&lt;&gt;"",INDEX('Form Calc'!$C:$C,T292)&amp;"","")))</f>
        <v/>
      </c>
      <c r="Z292" s="32">
        <f>SUBSTITUTE(SUBSTITUTE(SUBSTITUTE(SUBSTITUTE(SUBSTITUTE(SUBSTITUTE(SUBSTITUTE(SUBSTITUTE(Y292," ",""),"-",""),"(",""),")",""),".",""),"+",""),"/",""),CHAR(160),"")</f>
        <v/>
      </c>
      <c r="AA292" s="32">
        <f>IF(Z292="","",IF(LEN(Z292)=10,"+1"&amp;Z292,IF(AND(LEN(Z292)=11,LEFT(Z292,1)="1"),"+"&amp;Z292,IF(LEFT(Y292,1)="+","+"&amp;Z292,Z292))))</f>
        <v/>
      </c>
      <c r="AB292" s="32">
        <f>IF(TRIM(A292&amp;"")="","",IF(TRIM(M292&amp;"")&lt;&gt;"",TRIM(M292&amp;""),IFERROR(LEFT(TRIM(A292&amp;""),FIND(" ",TRIM(A292&amp;""))-1),TRIM(A292&amp;""))))</f>
        <v/>
      </c>
      <c r="AC292" s="32">
        <f>SUBSTITUTE(SUBSTITUTE(SUBSTITUTE(SUBSTITUTE(SUBSTITUTE(SUBSTITUTE(SUBSTITUTE(SUBSTITUTE(SUBSTITUTE(SUBSTITUTE(AB292,"%","%25"),"&amp;","%26"),"#","%23"),"+","%2B"),"=","%3D"),"?","%3F"),CHAR(34),"%22"),CHAR(10),"%0A"),CHAR(13),"")," ","+")</f>
        <v/>
      </c>
      <c r="AD292" s="32">
        <f>IF(OR(AA292="",AB292=""),"",'Start Here'!$B$20&amp;"#p="&amp;SUBSTITUTE(AA292,"+","%2B")&amp;"&amp;n="&amp;AC292&amp;"&amp;m="&amp;SUBSTITUTE('Start Here'!$B$24,"{name}",AC292))</f>
        <v/>
      </c>
      <c r="AE292" s="32">
        <f>LEN(AD292)</f>
        <v/>
      </c>
      <c r="AF292" s="32">
        <f>IF(AND(TRIM(A292&amp;"")&lt;&gt;"",OR(B292="Awaiting",B292="Not sure yet")),1,0)</f>
        <v/>
      </c>
      <c r="AG292" s="32">
        <f>N(AG291)+AF292</f>
        <v/>
      </c>
      <c r="AH292" s="32">
        <f>IF(AF292=1,AG292,"")</f>
        <v/>
      </c>
      <c r="AI292" s="32">
        <f>IF(AND(TRIM(A292&amp;"")&lt;&gt;"",L292&amp;""&lt;&gt;"",L292&amp;""=Seating!$I$3&amp;"",B292&lt;&gt;"Declined"),1,0)</f>
        <v/>
      </c>
      <c r="AJ292" s="32">
        <f>N(AJ291)+AI292</f>
        <v/>
      </c>
      <c r="AK292" s="32">
        <f>IF(AI292=1,AJ292,"")</f>
        <v/>
      </c>
    </row>
    <row r="293">
      <c r="A293" s="10" t="n"/>
      <c r="B293" s="47">
        <f>IF(TRIM(A293&amp;"")="","",IF(W293&lt;&gt;"",W293,IF(I293="","Awaiting",I293)))</f>
        <v/>
      </c>
      <c r="C293" s="60">
        <f>IF(OR(B293="Awaiting",B293="Not sure yet"),IF(AD293&lt;&gt;"",HYPERLINK(AD293,"💬 Remind"),"add mobile"),"")</f>
        <v/>
      </c>
      <c r="D293" s="58" t="n"/>
      <c r="E293" s="10" t="n"/>
      <c r="F293" s="10" t="n"/>
      <c r="G293" s="10" t="n"/>
      <c r="H293" s="10" t="n"/>
      <c r="I293" s="10" t="n"/>
      <c r="J293" s="10" t="n"/>
      <c r="K293" s="10" t="n"/>
      <c r="L293" s="56" t="n"/>
      <c r="M293" s="10" t="n"/>
      <c r="N293" s="12" t="n"/>
      <c r="O293" s="10" t="n"/>
      <c r="P293" s="10" t="n"/>
      <c r="Q293" s="61">
        <f>IF(V293="","",IF(T293="","Covered by "&amp;INDEX('Form Calc'!$B:$B,V293)&amp;"'s reply (same party)","Replied "&amp;TEXT(INDEX('Form Calc'!$A:$A,T293),"mm/dd")&amp;" · "&amp;INDEX('Form Calc'!$H:$H,T293)&amp;" adult(s), "&amp;INDEX('Form Calc'!$I:$I,T293)&amp;" child(ren)"&amp;IF(INDEX('Form Calc'!$K:$K,T293)&lt;&gt;""," · "&amp;INDEX('Form Calc'!$K:$K,T293),"")&amp;IF(INDEX('Form Calc'!$M:$M,T293)&lt;&gt;""," · “"&amp;INDEX('Form Calc'!$M:$M,T293)&amp;"”","")))</f>
        <v/>
      </c>
      <c r="R293" s="32">
        <f>SUBSTITUTE(SUBSTITUTE(SUBSTITUTE(SUBSTITUTE(SUBSTITUTE(SUBSTITUTE(SUBSTITUTE(SUBSTITUTE(D293&amp;""," ",""),"-",""),"(",""),")",""),".",""),"+",""),"/",""),CHAR(160),"")</f>
        <v/>
      </c>
      <c r="S293" s="32">
        <f>IF(LEN(R293)&gt;=10,RIGHT(R293,10),R293)</f>
        <v/>
      </c>
      <c r="T293" s="32">
        <f>IF(TRIM(A293&amp;"")="","",IF(S293&lt;&gt;"",IFERROR(MATCH(S293,'Form Calc'!$P:$P,0),IFERROR(MATCH(TRIM(A293&amp;""),'Form Calc'!$Q:$Q,0),"")),IFERROR(MATCH(TRIM(A293&amp;""),'Form Calc'!$Q:$Q,0),"")))</f>
        <v/>
      </c>
      <c r="U293" s="32">
        <f>IF(AND(T293&lt;&gt;"",TRIM(E293&amp;"")&lt;&gt;""),TRIM(E293&amp;""),"")</f>
        <v/>
      </c>
      <c r="V293" s="32">
        <f>IF(TRIM(A293&amp;"")="","",IF(T293&lt;&gt;"",T293,IF(TRIM(E293&amp;"")="","",IFERROR(INDEX($T$6:$T$505,MATCH(TRIM(E293&amp;""),$U$6:$U$505,0)),""))))</f>
        <v/>
      </c>
      <c r="W293" s="32">
        <f>IF(V293="","",INDEX('Form Calc'!$G:$G,V293))</f>
        <v/>
      </c>
      <c r="X293" s="32">
        <f>IF(TRIM(A293&amp;"")="","",IF(T293&lt;&gt;"",IF(INDEX('Form Calc'!$K:$K,T293)&lt;&gt;"",INDEX('Form Calc'!$K:$K,T293),J293&amp;""),J293&amp;""))</f>
        <v/>
      </c>
      <c r="Y293" s="32">
        <f>IF(TRIM(A293&amp;"")="","",IF(TRIM(D293&amp;"")&lt;&gt;"",TRIM(D293&amp;""),IF(T293&lt;&gt;"",INDEX('Form Calc'!$C:$C,T293)&amp;"","")))</f>
        <v/>
      </c>
      <c r="Z293" s="32">
        <f>SUBSTITUTE(SUBSTITUTE(SUBSTITUTE(SUBSTITUTE(SUBSTITUTE(SUBSTITUTE(SUBSTITUTE(SUBSTITUTE(Y293," ",""),"-",""),"(",""),")",""),".",""),"+",""),"/",""),CHAR(160),"")</f>
        <v/>
      </c>
      <c r="AA293" s="32">
        <f>IF(Z293="","",IF(LEN(Z293)=10,"+1"&amp;Z293,IF(AND(LEN(Z293)=11,LEFT(Z293,1)="1"),"+"&amp;Z293,IF(LEFT(Y293,1)="+","+"&amp;Z293,Z293))))</f>
        <v/>
      </c>
      <c r="AB293" s="32">
        <f>IF(TRIM(A293&amp;"")="","",IF(TRIM(M293&amp;"")&lt;&gt;"",TRIM(M293&amp;""),IFERROR(LEFT(TRIM(A293&amp;""),FIND(" ",TRIM(A293&amp;""))-1),TRIM(A293&amp;""))))</f>
        <v/>
      </c>
      <c r="AC293" s="32">
        <f>SUBSTITUTE(SUBSTITUTE(SUBSTITUTE(SUBSTITUTE(SUBSTITUTE(SUBSTITUTE(SUBSTITUTE(SUBSTITUTE(SUBSTITUTE(SUBSTITUTE(AB293,"%","%25"),"&amp;","%26"),"#","%23"),"+","%2B"),"=","%3D"),"?","%3F"),CHAR(34),"%22"),CHAR(10),"%0A"),CHAR(13),"")," ","+")</f>
        <v/>
      </c>
      <c r="AD293" s="32">
        <f>IF(OR(AA293="",AB293=""),"",'Start Here'!$B$20&amp;"#p="&amp;SUBSTITUTE(AA293,"+","%2B")&amp;"&amp;n="&amp;AC293&amp;"&amp;m="&amp;SUBSTITUTE('Start Here'!$B$24,"{name}",AC293))</f>
        <v/>
      </c>
      <c r="AE293" s="32">
        <f>LEN(AD293)</f>
        <v/>
      </c>
      <c r="AF293" s="32">
        <f>IF(AND(TRIM(A293&amp;"")&lt;&gt;"",OR(B293="Awaiting",B293="Not sure yet")),1,0)</f>
        <v/>
      </c>
      <c r="AG293" s="32">
        <f>N(AG292)+AF293</f>
        <v/>
      </c>
      <c r="AH293" s="32">
        <f>IF(AF293=1,AG293,"")</f>
        <v/>
      </c>
      <c r="AI293" s="32">
        <f>IF(AND(TRIM(A293&amp;"")&lt;&gt;"",L293&amp;""&lt;&gt;"",L293&amp;""=Seating!$I$3&amp;"",B293&lt;&gt;"Declined"),1,0)</f>
        <v/>
      </c>
      <c r="AJ293" s="32">
        <f>N(AJ292)+AI293</f>
        <v/>
      </c>
      <c r="AK293" s="32">
        <f>IF(AI293=1,AJ293,"")</f>
        <v/>
      </c>
    </row>
    <row r="294">
      <c r="A294" s="10" t="n"/>
      <c r="B294" s="47">
        <f>IF(TRIM(A294&amp;"")="","",IF(W294&lt;&gt;"",W294,IF(I294="","Awaiting",I294)))</f>
        <v/>
      </c>
      <c r="C294" s="60">
        <f>IF(OR(B294="Awaiting",B294="Not sure yet"),IF(AD294&lt;&gt;"",HYPERLINK(AD294,"💬 Remind"),"add mobile"),"")</f>
        <v/>
      </c>
      <c r="D294" s="58" t="n"/>
      <c r="E294" s="10" t="n"/>
      <c r="F294" s="10" t="n"/>
      <c r="G294" s="10" t="n"/>
      <c r="H294" s="10" t="n"/>
      <c r="I294" s="10" t="n"/>
      <c r="J294" s="10" t="n"/>
      <c r="K294" s="10" t="n"/>
      <c r="L294" s="56" t="n"/>
      <c r="M294" s="10" t="n"/>
      <c r="N294" s="12" t="n"/>
      <c r="O294" s="10" t="n"/>
      <c r="P294" s="10" t="n"/>
      <c r="Q294" s="61">
        <f>IF(V294="","",IF(T294="","Covered by "&amp;INDEX('Form Calc'!$B:$B,V294)&amp;"'s reply (same party)","Replied "&amp;TEXT(INDEX('Form Calc'!$A:$A,T294),"mm/dd")&amp;" · "&amp;INDEX('Form Calc'!$H:$H,T294)&amp;" adult(s), "&amp;INDEX('Form Calc'!$I:$I,T294)&amp;" child(ren)"&amp;IF(INDEX('Form Calc'!$K:$K,T294)&lt;&gt;""," · "&amp;INDEX('Form Calc'!$K:$K,T294),"")&amp;IF(INDEX('Form Calc'!$M:$M,T294)&lt;&gt;""," · “"&amp;INDEX('Form Calc'!$M:$M,T294)&amp;"”","")))</f>
        <v/>
      </c>
      <c r="R294" s="32">
        <f>SUBSTITUTE(SUBSTITUTE(SUBSTITUTE(SUBSTITUTE(SUBSTITUTE(SUBSTITUTE(SUBSTITUTE(SUBSTITUTE(D294&amp;""," ",""),"-",""),"(",""),")",""),".",""),"+",""),"/",""),CHAR(160),"")</f>
        <v/>
      </c>
      <c r="S294" s="32">
        <f>IF(LEN(R294)&gt;=10,RIGHT(R294,10),R294)</f>
        <v/>
      </c>
      <c r="T294" s="32">
        <f>IF(TRIM(A294&amp;"")="","",IF(S294&lt;&gt;"",IFERROR(MATCH(S294,'Form Calc'!$P:$P,0),IFERROR(MATCH(TRIM(A294&amp;""),'Form Calc'!$Q:$Q,0),"")),IFERROR(MATCH(TRIM(A294&amp;""),'Form Calc'!$Q:$Q,0),"")))</f>
        <v/>
      </c>
      <c r="U294" s="32">
        <f>IF(AND(T294&lt;&gt;"",TRIM(E294&amp;"")&lt;&gt;""),TRIM(E294&amp;""),"")</f>
        <v/>
      </c>
      <c r="V294" s="32">
        <f>IF(TRIM(A294&amp;"")="","",IF(T294&lt;&gt;"",T294,IF(TRIM(E294&amp;"")="","",IFERROR(INDEX($T$6:$T$505,MATCH(TRIM(E294&amp;""),$U$6:$U$505,0)),""))))</f>
        <v/>
      </c>
      <c r="W294" s="32">
        <f>IF(V294="","",INDEX('Form Calc'!$G:$G,V294))</f>
        <v/>
      </c>
      <c r="X294" s="32">
        <f>IF(TRIM(A294&amp;"")="","",IF(T294&lt;&gt;"",IF(INDEX('Form Calc'!$K:$K,T294)&lt;&gt;"",INDEX('Form Calc'!$K:$K,T294),J294&amp;""),J294&amp;""))</f>
        <v/>
      </c>
      <c r="Y294" s="32">
        <f>IF(TRIM(A294&amp;"")="","",IF(TRIM(D294&amp;"")&lt;&gt;"",TRIM(D294&amp;""),IF(T294&lt;&gt;"",INDEX('Form Calc'!$C:$C,T294)&amp;"","")))</f>
        <v/>
      </c>
      <c r="Z294" s="32">
        <f>SUBSTITUTE(SUBSTITUTE(SUBSTITUTE(SUBSTITUTE(SUBSTITUTE(SUBSTITUTE(SUBSTITUTE(SUBSTITUTE(Y294," ",""),"-",""),"(",""),")",""),".",""),"+",""),"/",""),CHAR(160),"")</f>
        <v/>
      </c>
      <c r="AA294" s="32">
        <f>IF(Z294="","",IF(LEN(Z294)=10,"+1"&amp;Z294,IF(AND(LEN(Z294)=11,LEFT(Z294,1)="1"),"+"&amp;Z294,IF(LEFT(Y294,1)="+","+"&amp;Z294,Z294))))</f>
        <v/>
      </c>
      <c r="AB294" s="32">
        <f>IF(TRIM(A294&amp;"")="","",IF(TRIM(M294&amp;"")&lt;&gt;"",TRIM(M294&amp;""),IFERROR(LEFT(TRIM(A294&amp;""),FIND(" ",TRIM(A294&amp;""))-1),TRIM(A294&amp;""))))</f>
        <v/>
      </c>
      <c r="AC294" s="32">
        <f>SUBSTITUTE(SUBSTITUTE(SUBSTITUTE(SUBSTITUTE(SUBSTITUTE(SUBSTITUTE(SUBSTITUTE(SUBSTITUTE(SUBSTITUTE(SUBSTITUTE(AB294,"%","%25"),"&amp;","%26"),"#","%23"),"+","%2B"),"=","%3D"),"?","%3F"),CHAR(34),"%22"),CHAR(10),"%0A"),CHAR(13),"")," ","+")</f>
        <v/>
      </c>
      <c r="AD294" s="32">
        <f>IF(OR(AA294="",AB294=""),"",'Start Here'!$B$20&amp;"#p="&amp;SUBSTITUTE(AA294,"+","%2B")&amp;"&amp;n="&amp;AC294&amp;"&amp;m="&amp;SUBSTITUTE('Start Here'!$B$24,"{name}",AC294))</f>
        <v/>
      </c>
      <c r="AE294" s="32">
        <f>LEN(AD294)</f>
        <v/>
      </c>
      <c r="AF294" s="32">
        <f>IF(AND(TRIM(A294&amp;"")&lt;&gt;"",OR(B294="Awaiting",B294="Not sure yet")),1,0)</f>
        <v/>
      </c>
      <c r="AG294" s="32">
        <f>N(AG293)+AF294</f>
        <v/>
      </c>
      <c r="AH294" s="32">
        <f>IF(AF294=1,AG294,"")</f>
        <v/>
      </c>
      <c r="AI294" s="32">
        <f>IF(AND(TRIM(A294&amp;"")&lt;&gt;"",L294&amp;""&lt;&gt;"",L294&amp;""=Seating!$I$3&amp;"",B294&lt;&gt;"Declined"),1,0)</f>
        <v/>
      </c>
      <c r="AJ294" s="32">
        <f>N(AJ293)+AI294</f>
        <v/>
      </c>
      <c r="AK294" s="32">
        <f>IF(AI294=1,AJ294,"")</f>
        <v/>
      </c>
    </row>
    <row r="295">
      <c r="A295" s="10" t="n"/>
      <c r="B295" s="47">
        <f>IF(TRIM(A295&amp;"")="","",IF(W295&lt;&gt;"",W295,IF(I295="","Awaiting",I295)))</f>
        <v/>
      </c>
      <c r="C295" s="60">
        <f>IF(OR(B295="Awaiting",B295="Not sure yet"),IF(AD295&lt;&gt;"",HYPERLINK(AD295,"💬 Remind"),"add mobile"),"")</f>
        <v/>
      </c>
      <c r="D295" s="58" t="n"/>
      <c r="E295" s="10" t="n"/>
      <c r="F295" s="10" t="n"/>
      <c r="G295" s="10" t="n"/>
      <c r="H295" s="10" t="n"/>
      <c r="I295" s="10" t="n"/>
      <c r="J295" s="10" t="n"/>
      <c r="K295" s="10" t="n"/>
      <c r="L295" s="56" t="n"/>
      <c r="M295" s="10" t="n"/>
      <c r="N295" s="12" t="n"/>
      <c r="O295" s="10" t="n"/>
      <c r="P295" s="10" t="n"/>
      <c r="Q295" s="61">
        <f>IF(V295="","",IF(T295="","Covered by "&amp;INDEX('Form Calc'!$B:$B,V295)&amp;"'s reply (same party)","Replied "&amp;TEXT(INDEX('Form Calc'!$A:$A,T295),"mm/dd")&amp;" · "&amp;INDEX('Form Calc'!$H:$H,T295)&amp;" adult(s), "&amp;INDEX('Form Calc'!$I:$I,T295)&amp;" child(ren)"&amp;IF(INDEX('Form Calc'!$K:$K,T295)&lt;&gt;""," · "&amp;INDEX('Form Calc'!$K:$K,T295),"")&amp;IF(INDEX('Form Calc'!$M:$M,T295)&lt;&gt;""," · “"&amp;INDEX('Form Calc'!$M:$M,T295)&amp;"”","")))</f>
        <v/>
      </c>
      <c r="R295" s="32">
        <f>SUBSTITUTE(SUBSTITUTE(SUBSTITUTE(SUBSTITUTE(SUBSTITUTE(SUBSTITUTE(SUBSTITUTE(SUBSTITUTE(D295&amp;""," ",""),"-",""),"(",""),")",""),".",""),"+",""),"/",""),CHAR(160),"")</f>
        <v/>
      </c>
      <c r="S295" s="32">
        <f>IF(LEN(R295)&gt;=10,RIGHT(R295,10),R295)</f>
        <v/>
      </c>
      <c r="T295" s="32">
        <f>IF(TRIM(A295&amp;"")="","",IF(S295&lt;&gt;"",IFERROR(MATCH(S295,'Form Calc'!$P:$P,0),IFERROR(MATCH(TRIM(A295&amp;""),'Form Calc'!$Q:$Q,0),"")),IFERROR(MATCH(TRIM(A295&amp;""),'Form Calc'!$Q:$Q,0),"")))</f>
        <v/>
      </c>
      <c r="U295" s="32">
        <f>IF(AND(T295&lt;&gt;"",TRIM(E295&amp;"")&lt;&gt;""),TRIM(E295&amp;""),"")</f>
        <v/>
      </c>
      <c r="V295" s="32">
        <f>IF(TRIM(A295&amp;"")="","",IF(T295&lt;&gt;"",T295,IF(TRIM(E295&amp;"")="","",IFERROR(INDEX($T$6:$T$505,MATCH(TRIM(E295&amp;""),$U$6:$U$505,0)),""))))</f>
        <v/>
      </c>
      <c r="W295" s="32">
        <f>IF(V295="","",INDEX('Form Calc'!$G:$G,V295))</f>
        <v/>
      </c>
      <c r="X295" s="32">
        <f>IF(TRIM(A295&amp;"")="","",IF(T295&lt;&gt;"",IF(INDEX('Form Calc'!$K:$K,T295)&lt;&gt;"",INDEX('Form Calc'!$K:$K,T295),J295&amp;""),J295&amp;""))</f>
        <v/>
      </c>
      <c r="Y295" s="32">
        <f>IF(TRIM(A295&amp;"")="","",IF(TRIM(D295&amp;"")&lt;&gt;"",TRIM(D295&amp;""),IF(T295&lt;&gt;"",INDEX('Form Calc'!$C:$C,T295)&amp;"","")))</f>
        <v/>
      </c>
      <c r="Z295" s="32">
        <f>SUBSTITUTE(SUBSTITUTE(SUBSTITUTE(SUBSTITUTE(SUBSTITUTE(SUBSTITUTE(SUBSTITUTE(SUBSTITUTE(Y295," ",""),"-",""),"(",""),")",""),".",""),"+",""),"/",""),CHAR(160),"")</f>
        <v/>
      </c>
      <c r="AA295" s="32">
        <f>IF(Z295="","",IF(LEN(Z295)=10,"+1"&amp;Z295,IF(AND(LEN(Z295)=11,LEFT(Z295,1)="1"),"+"&amp;Z295,IF(LEFT(Y295,1)="+","+"&amp;Z295,Z295))))</f>
        <v/>
      </c>
      <c r="AB295" s="32">
        <f>IF(TRIM(A295&amp;"")="","",IF(TRIM(M295&amp;"")&lt;&gt;"",TRIM(M295&amp;""),IFERROR(LEFT(TRIM(A295&amp;""),FIND(" ",TRIM(A295&amp;""))-1),TRIM(A295&amp;""))))</f>
        <v/>
      </c>
      <c r="AC295" s="32">
        <f>SUBSTITUTE(SUBSTITUTE(SUBSTITUTE(SUBSTITUTE(SUBSTITUTE(SUBSTITUTE(SUBSTITUTE(SUBSTITUTE(SUBSTITUTE(SUBSTITUTE(AB295,"%","%25"),"&amp;","%26"),"#","%23"),"+","%2B"),"=","%3D"),"?","%3F"),CHAR(34),"%22"),CHAR(10),"%0A"),CHAR(13),"")," ","+")</f>
        <v/>
      </c>
      <c r="AD295" s="32">
        <f>IF(OR(AA295="",AB295=""),"",'Start Here'!$B$20&amp;"#p="&amp;SUBSTITUTE(AA295,"+","%2B")&amp;"&amp;n="&amp;AC295&amp;"&amp;m="&amp;SUBSTITUTE('Start Here'!$B$24,"{name}",AC295))</f>
        <v/>
      </c>
      <c r="AE295" s="32">
        <f>LEN(AD295)</f>
        <v/>
      </c>
      <c r="AF295" s="32">
        <f>IF(AND(TRIM(A295&amp;"")&lt;&gt;"",OR(B295="Awaiting",B295="Not sure yet")),1,0)</f>
        <v/>
      </c>
      <c r="AG295" s="32">
        <f>N(AG294)+AF295</f>
        <v/>
      </c>
      <c r="AH295" s="32">
        <f>IF(AF295=1,AG295,"")</f>
        <v/>
      </c>
      <c r="AI295" s="32">
        <f>IF(AND(TRIM(A295&amp;"")&lt;&gt;"",L295&amp;""&lt;&gt;"",L295&amp;""=Seating!$I$3&amp;"",B295&lt;&gt;"Declined"),1,0)</f>
        <v/>
      </c>
      <c r="AJ295" s="32">
        <f>N(AJ294)+AI295</f>
        <v/>
      </c>
      <c r="AK295" s="32">
        <f>IF(AI295=1,AJ295,"")</f>
        <v/>
      </c>
    </row>
    <row r="296">
      <c r="A296" s="10" t="n"/>
      <c r="B296" s="47">
        <f>IF(TRIM(A296&amp;"")="","",IF(W296&lt;&gt;"",W296,IF(I296="","Awaiting",I296)))</f>
        <v/>
      </c>
      <c r="C296" s="60">
        <f>IF(OR(B296="Awaiting",B296="Not sure yet"),IF(AD296&lt;&gt;"",HYPERLINK(AD296,"💬 Remind"),"add mobile"),"")</f>
        <v/>
      </c>
      <c r="D296" s="58" t="n"/>
      <c r="E296" s="10" t="n"/>
      <c r="F296" s="10" t="n"/>
      <c r="G296" s="10" t="n"/>
      <c r="H296" s="10" t="n"/>
      <c r="I296" s="10" t="n"/>
      <c r="J296" s="10" t="n"/>
      <c r="K296" s="10" t="n"/>
      <c r="L296" s="56" t="n"/>
      <c r="M296" s="10" t="n"/>
      <c r="N296" s="12" t="n"/>
      <c r="O296" s="10" t="n"/>
      <c r="P296" s="10" t="n"/>
      <c r="Q296" s="61">
        <f>IF(V296="","",IF(T296="","Covered by "&amp;INDEX('Form Calc'!$B:$B,V296)&amp;"'s reply (same party)","Replied "&amp;TEXT(INDEX('Form Calc'!$A:$A,T296),"mm/dd")&amp;" · "&amp;INDEX('Form Calc'!$H:$H,T296)&amp;" adult(s), "&amp;INDEX('Form Calc'!$I:$I,T296)&amp;" child(ren)"&amp;IF(INDEX('Form Calc'!$K:$K,T296)&lt;&gt;""," · "&amp;INDEX('Form Calc'!$K:$K,T296),"")&amp;IF(INDEX('Form Calc'!$M:$M,T296)&lt;&gt;""," · “"&amp;INDEX('Form Calc'!$M:$M,T296)&amp;"”","")))</f>
        <v/>
      </c>
      <c r="R296" s="32">
        <f>SUBSTITUTE(SUBSTITUTE(SUBSTITUTE(SUBSTITUTE(SUBSTITUTE(SUBSTITUTE(SUBSTITUTE(SUBSTITUTE(D296&amp;""," ",""),"-",""),"(",""),")",""),".",""),"+",""),"/",""),CHAR(160),"")</f>
        <v/>
      </c>
      <c r="S296" s="32">
        <f>IF(LEN(R296)&gt;=10,RIGHT(R296,10),R296)</f>
        <v/>
      </c>
      <c r="T296" s="32">
        <f>IF(TRIM(A296&amp;"")="","",IF(S296&lt;&gt;"",IFERROR(MATCH(S296,'Form Calc'!$P:$P,0),IFERROR(MATCH(TRIM(A296&amp;""),'Form Calc'!$Q:$Q,0),"")),IFERROR(MATCH(TRIM(A296&amp;""),'Form Calc'!$Q:$Q,0),"")))</f>
        <v/>
      </c>
      <c r="U296" s="32">
        <f>IF(AND(T296&lt;&gt;"",TRIM(E296&amp;"")&lt;&gt;""),TRIM(E296&amp;""),"")</f>
        <v/>
      </c>
      <c r="V296" s="32">
        <f>IF(TRIM(A296&amp;"")="","",IF(T296&lt;&gt;"",T296,IF(TRIM(E296&amp;"")="","",IFERROR(INDEX($T$6:$T$505,MATCH(TRIM(E296&amp;""),$U$6:$U$505,0)),""))))</f>
        <v/>
      </c>
      <c r="W296" s="32">
        <f>IF(V296="","",INDEX('Form Calc'!$G:$G,V296))</f>
        <v/>
      </c>
      <c r="X296" s="32">
        <f>IF(TRIM(A296&amp;"")="","",IF(T296&lt;&gt;"",IF(INDEX('Form Calc'!$K:$K,T296)&lt;&gt;"",INDEX('Form Calc'!$K:$K,T296),J296&amp;""),J296&amp;""))</f>
        <v/>
      </c>
      <c r="Y296" s="32">
        <f>IF(TRIM(A296&amp;"")="","",IF(TRIM(D296&amp;"")&lt;&gt;"",TRIM(D296&amp;""),IF(T296&lt;&gt;"",INDEX('Form Calc'!$C:$C,T296)&amp;"","")))</f>
        <v/>
      </c>
      <c r="Z296" s="32">
        <f>SUBSTITUTE(SUBSTITUTE(SUBSTITUTE(SUBSTITUTE(SUBSTITUTE(SUBSTITUTE(SUBSTITUTE(SUBSTITUTE(Y296," ",""),"-",""),"(",""),")",""),".",""),"+",""),"/",""),CHAR(160),"")</f>
        <v/>
      </c>
      <c r="AA296" s="32">
        <f>IF(Z296="","",IF(LEN(Z296)=10,"+1"&amp;Z296,IF(AND(LEN(Z296)=11,LEFT(Z296,1)="1"),"+"&amp;Z296,IF(LEFT(Y296,1)="+","+"&amp;Z296,Z296))))</f>
        <v/>
      </c>
      <c r="AB296" s="32">
        <f>IF(TRIM(A296&amp;"")="","",IF(TRIM(M296&amp;"")&lt;&gt;"",TRIM(M296&amp;""),IFERROR(LEFT(TRIM(A296&amp;""),FIND(" ",TRIM(A296&amp;""))-1),TRIM(A296&amp;""))))</f>
        <v/>
      </c>
      <c r="AC296" s="32">
        <f>SUBSTITUTE(SUBSTITUTE(SUBSTITUTE(SUBSTITUTE(SUBSTITUTE(SUBSTITUTE(SUBSTITUTE(SUBSTITUTE(SUBSTITUTE(SUBSTITUTE(AB296,"%","%25"),"&amp;","%26"),"#","%23"),"+","%2B"),"=","%3D"),"?","%3F"),CHAR(34),"%22"),CHAR(10),"%0A"),CHAR(13),"")," ","+")</f>
        <v/>
      </c>
      <c r="AD296" s="32">
        <f>IF(OR(AA296="",AB296=""),"",'Start Here'!$B$20&amp;"#p="&amp;SUBSTITUTE(AA296,"+","%2B")&amp;"&amp;n="&amp;AC296&amp;"&amp;m="&amp;SUBSTITUTE('Start Here'!$B$24,"{name}",AC296))</f>
        <v/>
      </c>
      <c r="AE296" s="32">
        <f>LEN(AD296)</f>
        <v/>
      </c>
      <c r="AF296" s="32">
        <f>IF(AND(TRIM(A296&amp;"")&lt;&gt;"",OR(B296="Awaiting",B296="Not sure yet")),1,0)</f>
        <v/>
      </c>
      <c r="AG296" s="32">
        <f>N(AG295)+AF296</f>
        <v/>
      </c>
      <c r="AH296" s="32">
        <f>IF(AF296=1,AG296,"")</f>
        <v/>
      </c>
      <c r="AI296" s="32">
        <f>IF(AND(TRIM(A296&amp;"")&lt;&gt;"",L296&amp;""&lt;&gt;"",L296&amp;""=Seating!$I$3&amp;"",B296&lt;&gt;"Declined"),1,0)</f>
        <v/>
      </c>
      <c r="AJ296" s="32">
        <f>N(AJ295)+AI296</f>
        <v/>
      </c>
      <c r="AK296" s="32">
        <f>IF(AI296=1,AJ296,"")</f>
        <v/>
      </c>
    </row>
    <row r="297">
      <c r="A297" s="10" t="n"/>
      <c r="B297" s="47">
        <f>IF(TRIM(A297&amp;"")="","",IF(W297&lt;&gt;"",W297,IF(I297="","Awaiting",I297)))</f>
        <v/>
      </c>
      <c r="C297" s="60">
        <f>IF(OR(B297="Awaiting",B297="Not sure yet"),IF(AD297&lt;&gt;"",HYPERLINK(AD297,"💬 Remind"),"add mobile"),"")</f>
        <v/>
      </c>
      <c r="D297" s="58" t="n"/>
      <c r="E297" s="10" t="n"/>
      <c r="F297" s="10" t="n"/>
      <c r="G297" s="10" t="n"/>
      <c r="H297" s="10" t="n"/>
      <c r="I297" s="10" t="n"/>
      <c r="J297" s="10" t="n"/>
      <c r="K297" s="10" t="n"/>
      <c r="L297" s="56" t="n"/>
      <c r="M297" s="10" t="n"/>
      <c r="N297" s="12" t="n"/>
      <c r="O297" s="10" t="n"/>
      <c r="P297" s="10" t="n"/>
      <c r="Q297" s="61">
        <f>IF(V297="","",IF(T297="","Covered by "&amp;INDEX('Form Calc'!$B:$B,V297)&amp;"'s reply (same party)","Replied "&amp;TEXT(INDEX('Form Calc'!$A:$A,T297),"mm/dd")&amp;" · "&amp;INDEX('Form Calc'!$H:$H,T297)&amp;" adult(s), "&amp;INDEX('Form Calc'!$I:$I,T297)&amp;" child(ren)"&amp;IF(INDEX('Form Calc'!$K:$K,T297)&lt;&gt;""," · "&amp;INDEX('Form Calc'!$K:$K,T297),"")&amp;IF(INDEX('Form Calc'!$M:$M,T297)&lt;&gt;""," · “"&amp;INDEX('Form Calc'!$M:$M,T297)&amp;"”","")))</f>
        <v/>
      </c>
      <c r="R297" s="32">
        <f>SUBSTITUTE(SUBSTITUTE(SUBSTITUTE(SUBSTITUTE(SUBSTITUTE(SUBSTITUTE(SUBSTITUTE(SUBSTITUTE(D297&amp;""," ",""),"-",""),"(",""),")",""),".",""),"+",""),"/",""),CHAR(160),"")</f>
        <v/>
      </c>
      <c r="S297" s="32">
        <f>IF(LEN(R297)&gt;=10,RIGHT(R297,10),R297)</f>
        <v/>
      </c>
      <c r="T297" s="32">
        <f>IF(TRIM(A297&amp;"")="","",IF(S297&lt;&gt;"",IFERROR(MATCH(S297,'Form Calc'!$P:$P,0),IFERROR(MATCH(TRIM(A297&amp;""),'Form Calc'!$Q:$Q,0),"")),IFERROR(MATCH(TRIM(A297&amp;""),'Form Calc'!$Q:$Q,0),"")))</f>
        <v/>
      </c>
      <c r="U297" s="32">
        <f>IF(AND(T297&lt;&gt;"",TRIM(E297&amp;"")&lt;&gt;""),TRIM(E297&amp;""),"")</f>
        <v/>
      </c>
      <c r="V297" s="32">
        <f>IF(TRIM(A297&amp;"")="","",IF(T297&lt;&gt;"",T297,IF(TRIM(E297&amp;"")="","",IFERROR(INDEX($T$6:$T$505,MATCH(TRIM(E297&amp;""),$U$6:$U$505,0)),""))))</f>
        <v/>
      </c>
      <c r="W297" s="32">
        <f>IF(V297="","",INDEX('Form Calc'!$G:$G,V297))</f>
        <v/>
      </c>
      <c r="X297" s="32">
        <f>IF(TRIM(A297&amp;"")="","",IF(T297&lt;&gt;"",IF(INDEX('Form Calc'!$K:$K,T297)&lt;&gt;"",INDEX('Form Calc'!$K:$K,T297),J297&amp;""),J297&amp;""))</f>
        <v/>
      </c>
      <c r="Y297" s="32">
        <f>IF(TRIM(A297&amp;"")="","",IF(TRIM(D297&amp;"")&lt;&gt;"",TRIM(D297&amp;""),IF(T297&lt;&gt;"",INDEX('Form Calc'!$C:$C,T297)&amp;"","")))</f>
        <v/>
      </c>
      <c r="Z297" s="32">
        <f>SUBSTITUTE(SUBSTITUTE(SUBSTITUTE(SUBSTITUTE(SUBSTITUTE(SUBSTITUTE(SUBSTITUTE(SUBSTITUTE(Y297," ",""),"-",""),"(",""),")",""),".",""),"+",""),"/",""),CHAR(160),"")</f>
        <v/>
      </c>
      <c r="AA297" s="32">
        <f>IF(Z297="","",IF(LEN(Z297)=10,"+1"&amp;Z297,IF(AND(LEN(Z297)=11,LEFT(Z297,1)="1"),"+"&amp;Z297,IF(LEFT(Y297,1)="+","+"&amp;Z297,Z297))))</f>
        <v/>
      </c>
      <c r="AB297" s="32">
        <f>IF(TRIM(A297&amp;"")="","",IF(TRIM(M297&amp;"")&lt;&gt;"",TRIM(M297&amp;""),IFERROR(LEFT(TRIM(A297&amp;""),FIND(" ",TRIM(A297&amp;""))-1),TRIM(A297&amp;""))))</f>
        <v/>
      </c>
      <c r="AC297" s="32">
        <f>SUBSTITUTE(SUBSTITUTE(SUBSTITUTE(SUBSTITUTE(SUBSTITUTE(SUBSTITUTE(SUBSTITUTE(SUBSTITUTE(SUBSTITUTE(SUBSTITUTE(AB297,"%","%25"),"&amp;","%26"),"#","%23"),"+","%2B"),"=","%3D"),"?","%3F"),CHAR(34),"%22"),CHAR(10),"%0A"),CHAR(13),"")," ","+")</f>
        <v/>
      </c>
      <c r="AD297" s="32">
        <f>IF(OR(AA297="",AB297=""),"",'Start Here'!$B$20&amp;"#p="&amp;SUBSTITUTE(AA297,"+","%2B")&amp;"&amp;n="&amp;AC297&amp;"&amp;m="&amp;SUBSTITUTE('Start Here'!$B$24,"{name}",AC297))</f>
        <v/>
      </c>
      <c r="AE297" s="32">
        <f>LEN(AD297)</f>
        <v/>
      </c>
      <c r="AF297" s="32">
        <f>IF(AND(TRIM(A297&amp;"")&lt;&gt;"",OR(B297="Awaiting",B297="Not sure yet")),1,0)</f>
        <v/>
      </c>
      <c r="AG297" s="32">
        <f>N(AG296)+AF297</f>
        <v/>
      </c>
      <c r="AH297" s="32">
        <f>IF(AF297=1,AG297,"")</f>
        <v/>
      </c>
      <c r="AI297" s="32">
        <f>IF(AND(TRIM(A297&amp;"")&lt;&gt;"",L297&amp;""&lt;&gt;"",L297&amp;""=Seating!$I$3&amp;"",B297&lt;&gt;"Declined"),1,0)</f>
        <v/>
      </c>
      <c r="AJ297" s="32">
        <f>N(AJ296)+AI297</f>
        <v/>
      </c>
      <c r="AK297" s="32">
        <f>IF(AI297=1,AJ297,"")</f>
        <v/>
      </c>
    </row>
    <row r="298">
      <c r="A298" s="10" t="n"/>
      <c r="B298" s="47">
        <f>IF(TRIM(A298&amp;"")="","",IF(W298&lt;&gt;"",W298,IF(I298="","Awaiting",I298)))</f>
        <v/>
      </c>
      <c r="C298" s="60">
        <f>IF(OR(B298="Awaiting",B298="Not sure yet"),IF(AD298&lt;&gt;"",HYPERLINK(AD298,"💬 Remind"),"add mobile"),"")</f>
        <v/>
      </c>
      <c r="D298" s="58" t="n"/>
      <c r="E298" s="10" t="n"/>
      <c r="F298" s="10" t="n"/>
      <c r="G298" s="10" t="n"/>
      <c r="H298" s="10" t="n"/>
      <c r="I298" s="10" t="n"/>
      <c r="J298" s="10" t="n"/>
      <c r="K298" s="10" t="n"/>
      <c r="L298" s="56" t="n"/>
      <c r="M298" s="10" t="n"/>
      <c r="N298" s="12" t="n"/>
      <c r="O298" s="10" t="n"/>
      <c r="P298" s="10" t="n"/>
      <c r="Q298" s="61">
        <f>IF(V298="","",IF(T298="","Covered by "&amp;INDEX('Form Calc'!$B:$B,V298)&amp;"'s reply (same party)","Replied "&amp;TEXT(INDEX('Form Calc'!$A:$A,T298),"mm/dd")&amp;" · "&amp;INDEX('Form Calc'!$H:$H,T298)&amp;" adult(s), "&amp;INDEX('Form Calc'!$I:$I,T298)&amp;" child(ren)"&amp;IF(INDEX('Form Calc'!$K:$K,T298)&lt;&gt;""," · "&amp;INDEX('Form Calc'!$K:$K,T298),"")&amp;IF(INDEX('Form Calc'!$M:$M,T298)&lt;&gt;""," · “"&amp;INDEX('Form Calc'!$M:$M,T298)&amp;"”","")))</f>
        <v/>
      </c>
      <c r="R298" s="32">
        <f>SUBSTITUTE(SUBSTITUTE(SUBSTITUTE(SUBSTITUTE(SUBSTITUTE(SUBSTITUTE(SUBSTITUTE(SUBSTITUTE(D298&amp;""," ",""),"-",""),"(",""),")",""),".",""),"+",""),"/",""),CHAR(160),"")</f>
        <v/>
      </c>
      <c r="S298" s="32">
        <f>IF(LEN(R298)&gt;=10,RIGHT(R298,10),R298)</f>
        <v/>
      </c>
      <c r="T298" s="32">
        <f>IF(TRIM(A298&amp;"")="","",IF(S298&lt;&gt;"",IFERROR(MATCH(S298,'Form Calc'!$P:$P,0),IFERROR(MATCH(TRIM(A298&amp;""),'Form Calc'!$Q:$Q,0),"")),IFERROR(MATCH(TRIM(A298&amp;""),'Form Calc'!$Q:$Q,0),"")))</f>
        <v/>
      </c>
      <c r="U298" s="32">
        <f>IF(AND(T298&lt;&gt;"",TRIM(E298&amp;"")&lt;&gt;""),TRIM(E298&amp;""),"")</f>
        <v/>
      </c>
      <c r="V298" s="32">
        <f>IF(TRIM(A298&amp;"")="","",IF(T298&lt;&gt;"",T298,IF(TRIM(E298&amp;"")="","",IFERROR(INDEX($T$6:$T$505,MATCH(TRIM(E298&amp;""),$U$6:$U$505,0)),""))))</f>
        <v/>
      </c>
      <c r="W298" s="32">
        <f>IF(V298="","",INDEX('Form Calc'!$G:$G,V298))</f>
        <v/>
      </c>
      <c r="X298" s="32">
        <f>IF(TRIM(A298&amp;"")="","",IF(T298&lt;&gt;"",IF(INDEX('Form Calc'!$K:$K,T298)&lt;&gt;"",INDEX('Form Calc'!$K:$K,T298),J298&amp;""),J298&amp;""))</f>
        <v/>
      </c>
      <c r="Y298" s="32">
        <f>IF(TRIM(A298&amp;"")="","",IF(TRIM(D298&amp;"")&lt;&gt;"",TRIM(D298&amp;""),IF(T298&lt;&gt;"",INDEX('Form Calc'!$C:$C,T298)&amp;"","")))</f>
        <v/>
      </c>
      <c r="Z298" s="32">
        <f>SUBSTITUTE(SUBSTITUTE(SUBSTITUTE(SUBSTITUTE(SUBSTITUTE(SUBSTITUTE(SUBSTITUTE(SUBSTITUTE(Y298," ",""),"-",""),"(",""),")",""),".",""),"+",""),"/",""),CHAR(160),"")</f>
        <v/>
      </c>
      <c r="AA298" s="32">
        <f>IF(Z298="","",IF(LEN(Z298)=10,"+1"&amp;Z298,IF(AND(LEN(Z298)=11,LEFT(Z298,1)="1"),"+"&amp;Z298,IF(LEFT(Y298,1)="+","+"&amp;Z298,Z298))))</f>
        <v/>
      </c>
      <c r="AB298" s="32">
        <f>IF(TRIM(A298&amp;"")="","",IF(TRIM(M298&amp;"")&lt;&gt;"",TRIM(M298&amp;""),IFERROR(LEFT(TRIM(A298&amp;""),FIND(" ",TRIM(A298&amp;""))-1),TRIM(A298&amp;""))))</f>
        <v/>
      </c>
      <c r="AC298" s="32">
        <f>SUBSTITUTE(SUBSTITUTE(SUBSTITUTE(SUBSTITUTE(SUBSTITUTE(SUBSTITUTE(SUBSTITUTE(SUBSTITUTE(SUBSTITUTE(SUBSTITUTE(AB298,"%","%25"),"&amp;","%26"),"#","%23"),"+","%2B"),"=","%3D"),"?","%3F"),CHAR(34),"%22"),CHAR(10),"%0A"),CHAR(13),"")," ","+")</f>
        <v/>
      </c>
      <c r="AD298" s="32">
        <f>IF(OR(AA298="",AB298=""),"",'Start Here'!$B$20&amp;"#p="&amp;SUBSTITUTE(AA298,"+","%2B")&amp;"&amp;n="&amp;AC298&amp;"&amp;m="&amp;SUBSTITUTE('Start Here'!$B$24,"{name}",AC298))</f>
        <v/>
      </c>
      <c r="AE298" s="32">
        <f>LEN(AD298)</f>
        <v/>
      </c>
      <c r="AF298" s="32">
        <f>IF(AND(TRIM(A298&amp;"")&lt;&gt;"",OR(B298="Awaiting",B298="Not sure yet")),1,0)</f>
        <v/>
      </c>
      <c r="AG298" s="32">
        <f>N(AG297)+AF298</f>
        <v/>
      </c>
      <c r="AH298" s="32">
        <f>IF(AF298=1,AG298,"")</f>
        <v/>
      </c>
      <c r="AI298" s="32">
        <f>IF(AND(TRIM(A298&amp;"")&lt;&gt;"",L298&amp;""&lt;&gt;"",L298&amp;""=Seating!$I$3&amp;"",B298&lt;&gt;"Declined"),1,0)</f>
        <v/>
      </c>
      <c r="AJ298" s="32">
        <f>N(AJ297)+AI298</f>
        <v/>
      </c>
      <c r="AK298" s="32">
        <f>IF(AI298=1,AJ298,"")</f>
        <v/>
      </c>
    </row>
    <row r="299">
      <c r="A299" s="10" t="n"/>
      <c r="B299" s="47">
        <f>IF(TRIM(A299&amp;"")="","",IF(W299&lt;&gt;"",W299,IF(I299="","Awaiting",I299)))</f>
        <v/>
      </c>
      <c r="C299" s="60">
        <f>IF(OR(B299="Awaiting",B299="Not sure yet"),IF(AD299&lt;&gt;"",HYPERLINK(AD299,"💬 Remind"),"add mobile"),"")</f>
        <v/>
      </c>
      <c r="D299" s="58" t="n"/>
      <c r="E299" s="10" t="n"/>
      <c r="F299" s="10" t="n"/>
      <c r="G299" s="10" t="n"/>
      <c r="H299" s="10" t="n"/>
      <c r="I299" s="10" t="n"/>
      <c r="J299" s="10" t="n"/>
      <c r="K299" s="10" t="n"/>
      <c r="L299" s="56" t="n"/>
      <c r="M299" s="10" t="n"/>
      <c r="N299" s="12" t="n"/>
      <c r="O299" s="10" t="n"/>
      <c r="P299" s="10" t="n"/>
      <c r="Q299" s="61">
        <f>IF(V299="","",IF(T299="","Covered by "&amp;INDEX('Form Calc'!$B:$B,V299)&amp;"'s reply (same party)","Replied "&amp;TEXT(INDEX('Form Calc'!$A:$A,T299),"mm/dd")&amp;" · "&amp;INDEX('Form Calc'!$H:$H,T299)&amp;" adult(s), "&amp;INDEX('Form Calc'!$I:$I,T299)&amp;" child(ren)"&amp;IF(INDEX('Form Calc'!$K:$K,T299)&lt;&gt;""," · "&amp;INDEX('Form Calc'!$K:$K,T299),"")&amp;IF(INDEX('Form Calc'!$M:$M,T299)&lt;&gt;""," · “"&amp;INDEX('Form Calc'!$M:$M,T299)&amp;"”","")))</f>
        <v/>
      </c>
      <c r="R299" s="32">
        <f>SUBSTITUTE(SUBSTITUTE(SUBSTITUTE(SUBSTITUTE(SUBSTITUTE(SUBSTITUTE(SUBSTITUTE(SUBSTITUTE(D299&amp;""," ",""),"-",""),"(",""),")",""),".",""),"+",""),"/",""),CHAR(160),"")</f>
        <v/>
      </c>
      <c r="S299" s="32">
        <f>IF(LEN(R299)&gt;=10,RIGHT(R299,10),R299)</f>
        <v/>
      </c>
      <c r="T299" s="32">
        <f>IF(TRIM(A299&amp;"")="","",IF(S299&lt;&gt;"",IFERROR(MATCH(S299,'Form Calc'!$P:$P,0),IFERROR(MATCH(TRIM(A299&amp;""),'Form Calc'!$Q:$Q,0),"")),IFERROR(MATCH(TRIM(A299&amp;""),'Form Calc'!$Q:$Q,0),"")))</f>
        <v/>
      </c>
      <c r="U299" s="32">
        <f>IF(AND(T299&lt;&gt;"",TRIM(E299&amp;"")&lt;&gt;""),TRIM(E299&amp;""),"")</f>
        <v/>
      </c>
      <c r="V299" s="32">
        <f>IF(TRIM(A299&amp;"")="","",IF(T299&lt;&gt;"",T299,IF(TRIM(E299&amp;"")="","",IFERROR(INDEX($T$6:$T$505,MATCH(TRIM(E299&amp;""),$U$6:$U$505,0)),""))))</f>
        <v/>
      </c>
      <c r="W299" s="32">
        <f>IF(V299="","",INDEX('Form Calc'!$G:$G,V299))</f>
        <v/>
      </c>
      <c r="X299" s="32">
        <f>IF(TRIM(A299&amp;"")="","",IF(T299&lt;&gt;"",IF(INDEX('Form Calc'!$K:$K,T299)&lt;&gt;"",INDEX('Form Calc'!$K:$K,T299),J299&amp;""),J299&amp;""))</f>
        <v/>
      </c>
      <c r="Y299" s="32">
        <f>IF(TRIM(A299&amp;"")="","",IF(TRIM(D299&amp;"")&lt;&gt;"",TRIM(D299&amp;""),IF(T299&lt;&gt;"",INDEX('Form Calc'!$C:$C,T299)&amp;"","")))</f>
        <v/>
      </c>
      <c r="Z299" s="32">
        <f>SUBSTITUTE(SUBSTITUTE(SUBSTITUTE(SUBSTITUTE(SUBSTITUTE(SUBSTITUTE(SUBSTITUTE(SUBSTITUTE(Y299," ",""),"-",""),"(",""),")",""),".",""),"+",""),"/",""),CHAR(160),"")</f>
        <v/>
      </c>
      <c r="AA299" s="32">
        <f>IF(Z299="","",IF(LEN(Z299)=10,"+1"&amp;Z299,IF(AND(LEN(Z299)=11,LEFT(Z299,1)="1"),"+"&amp;Z299,IF(LEFT(Y299,1)="+","+"&amp;Z299,Z299))))</f>
        <v/>
      </c>
      <c r="AB299" s="32">
        <f>IF(TRIM(A299&amp;"")="","",IF(TRIM(M299&amp;"")&lt;&gt;"",TRIM(M299&amp;""),IFERROR(LEFT(TRIM(A299&amp;""),FIND(" ",TRIM(A299&amp;""))-1),TRIM(A299&amp;""))))</f>
        <v/>
      </c>
      <c r="AC299" s="32">
        <f>SUBSTITUTE(SUBSTITUTE(SUBSTITUTE(SUBSTITUTE(SUBSTITUTE(SUBSTITUTE(SUBSTITUTE(SUBSTITUTE(SUBSTITUTE(SUBSTITUTE(AB299,"%","%25"),"&amp;","%26"),"#","%23"),"+","%2B"),"=","%3D"),"?","%3F"),CHAR(34),"%22"),CHAR(10),"%0A"),CHAR(13),"")," ","+")</f>
        <v/>
      </c>
      <c r="AD299" s="32">
        <f>IF(OR(AA299="",AB299=""),"",'Start Here'!$B$20&amp;"#p="&amp;SUBSTITUTE(AA299,"+","%2B")&amp;"&amp;n="&amp;AC299&amp;"&amp;m="&amp;SUBSTITUTE('Start Here'!$B$24,"{name}",AC299))</f>
        <v/>
      </c>
      <c r="AE299" s="32">
        <f>LEN(AD299)</f>
        <v/>
      </c>
      <c r="AF299" s="32">
        <f>IF(AND(TRIM(A299&amp;"")&lt;&gt;"",OR(B299="Awaiting",B299="Not sure yet")),1,0)</f>
        <v/>
      </c>
      <c r="AG299" s="32">
        <f>N(AG298)+AF299</f>
        <v/>
      </c>
      <c r="AH299" s="32">
        <f>IF(AF299=1,AG299,"")</f>
        <v/>
      </c>
      <c r="AI299" s="32">
        <f>IF(AND(TRIM(A299&amp;"")&lt;&gt;"",L299&amp;""&lt;&gt;"",L299&amp;""=Seating!$I$3&amp;"",B299&lt;&gt;"Declined"),1,0)</f>
        <v/>
      </c>
      <c r="AJ299" s="32">
        <f>N(AJ298)+AI299</f>
        <v/>
      </c>
      <c r="AK299" s="32">
        <f>IF(AI299=1,AJ299,"")</f>
        <v/>
      </c>
    </row>
    <row r="300">
      <c r="A300" s="10" t="n"/>
      <c r="B300" s="47">
        <f>IF(TRIM(A300&amp;"")="","",IF(W300&lt;&gt;"",W300,IF(I300="","Awaiting",I300)))</f>
        <v/>
      </c>
      <c r="C300" s="60">
        <f>IF(OR(B300="Awaiting",B300="Not sure yet"),IF(AD300&lt;&gt;"",HYPERLINK(AD300,"💬 Remind"),"add mobile"),"")</f>
        <v/>
      </c>
      <c r="D300" s="58" t="n"/>
      <c r="E300" s="10" t="n"/>
      <c r="F300" s="10" t="n"/>
      <c r="G300" s="10" t="n"/>
      <c r="H300" s="10" t="n"/>
      <c r="I300" s="10" t="n"/>
      <c r="J300" s="10" t="n"/>
      <c r="K300" s="10" t="n"/>
      <c r="L300" s="56" t="n"/>
      <c r="M300" s="10" t="n"/>
      <c r="N300" s="12" t="n"/>
      <c r="O300" s="10" t="n"/>
      <c r="P300" s="10" t="n"/>
      <c r="Q300" s="61">
        <f>IF(V300="","",IF(T300="","Covered by "&amp;INDEX('Form Calc'!$B:$B,V300)&amp;"'s reply (same party)","Replied "&amp;TEXT(INDEX('Form Calc'!$A:$A,T300),"mm/dd")&amp;" · "&amp;INDEX('Form Calc'!$H:$H,T300)&amp;" adult(s), "&amp;INDEX('Form Calc'!$I:$I,T300)&amp;" child(ren)"&amp;IF(INDEX('Form Calc'!$K:$K,T300)&lt;&gt;""," · "&amp;INDEX('Form Calc'!$K:$K,T300),"")&amp;IF(INDEX('Form Calc'!$M:$M,T300)&lt;&gt;""," · “"&amp;INDEX('Form Calc'!$M:$M,T300)&amp;"”","")))</f>
        <v/>
      </c>
      <c r="R300" s="32">
        <f>SUBSTITUTE(SUBSTITUTE(SUBSTITUTE(SUBSTITUTE(SUBSTITUTE(SUBSTITUTE(SUBSTITUTE(SUBSTITUTE(D300&amp;""," ",""),"-",""),"(",""),")",""),".",""),"+",""),"/",""),CHAR(160),"")</f>
        <v/>
      </c>
      <c r="S300" s="32">
        <f>IF(LEN(R300)&gt;=10,RIGHT(R300,10),R300)</f>
        <v/>
      </c>
      <c r="T300" s="32">
        <f>IF(TRIM(A300&amp;"")="","",IF(S300&lt;&gt;"",IFERROR(MATCH(S300,'Form Calc'!$P:$P,0),IFERROR(MATCH(TRIM(A300&amp;""),'Form Calc'!$Q:$Q,0),"")),IFERROR(MATCH(TRIM(A300&amp;""),'Form Calc'!$Q:$Q,0),"")))</f>
        <v/>
      </c>
      <c r="U300" s="32">
        <f>IF(AND(T300&lt;&gt;"",TRIM(E300&amp;"")&lt;&gt;""),TRIM(E300&amp;""),"")</f>
        <v/>
      </c>
      <c r="V300" s="32">
        <f>IF(TRIM(A300&amp;"")="","",IF(T300&lt;&gt;"",T300,IF(TRIM(E300&amp;"")="","",IFERROR(INDEX($T$6:$T$505,MATCH(TRIM(E300&amp;""),$U$6:$U$505,0)),""))))</f>
        <v/>
      </c>
      <c r="W300" s="32">
        <f>IF(V300="","",INDEX('Form Calc'!$G:$G,V300))</f>
        <v/>
      </c>
      <c r="X300" s="32">
        <f>IF(TRIM(A300&amp;"")="","",IF(T300&lt;&gt;"",IF(INDEX('Form Calc'!$K:$K,T300)&lt;&gt;"",INDEX('Form Calc'!$K:$K,T300),J300&amp;""),J300&amp;""))</f>
        <v/>
      </c>
      <c r="Y300" s="32">
        <f>IF(TRIM(A300&amp;"")="","",IF(TRIM(D300&amp;"")&lt;&gt;"",TRIM(D300&amp;""),IF(T300&lt;&gt;"",INDEX('Form Calc'!$C:$C,T300)&amp;"","")))</f>
        <v/>
      </c>
      <c r="Z300" s="32">
        <f>SUBSTITUTE(SUBSTITUTE(SUBSTITUTE(SUBSTITUTE(SUBSTITUTE(SUBSTITUTE(SUBSTITUTE(SUBSTITUTE(Y300," ",""),"-",""),"(",""),")",""),".",""),"+",""),"/",""),CHAR(160),"")</f>
        <v/>
      </c>
      <c r="AA300" s="32">
        <f>IF(Z300="","",IF(LEN(Z300)=10,"+1"&amp;Z300,IF(AND(LEN(Z300)=11,LEFT(Z300,1)="1"),"+"&amp;Z300,IF(LEFT(Y300,1)="+","+"&amp;Z300,Z300))))</f>
        <v/>
      </c>
      <c r="AB300" s="32">
        <f>IF(TRIM(A300&amp;"")="","",IF(TRIM(M300&amp;"")&lt;&gt;"",TRIM(M300&amp;""),IFERROR(LEFT(TRIM(A300&amp;""),FIND(" ",TRIM(A300&amp;""))-1),TRIM(A300&amp;""))))</f>
        <v/>
      </c>
      <c r="AC300" s="32">
        <f>SUBSTITUTE(SUBSTITUTE(SUBSTITUTE(SUBSTITUTE(SUBSTITUTE(SUBSTITUTE(SUBSTITUTE(SUBSTITUTE(SUBSTITUTE(SUBSTITUTE(AB300,"%","%25"),"&amp;","%26"),"#","%23"),"+","%2B"),"=","%3D"),"?","%3F"),CHAR(34),"%22"),CHAR(10),"%0A"),CHAR(13),"")," ","+")</f>
        <v/>
      </c>
      <c r="AD300" s="32">
        <f>IF(OR(AA300="",AB300=""),"",'Start Here'!$B$20&amp;"#p="&amp;SUBSTITUTE(AA300,"+","%2B")&amp;"&amp;n="&amp;AC300&amp;"&amp;m="&amp;SUBSTITUTE('Start Here'!$B$24,"{name}",AC300))</f>
        <v/>
      </c>
      <c r="AE300" s="32">
        <f>LEN(AD300)</f>
        <v/>
      </c>
      <c r="AF300" s="32">
        <f>IF(AND(TRIM(A300&amp;"")&lt;&gt;"",OR(B300="Awaiting",B300="Not sure yet")),1,0)</f>
        <v/>
      </c>
      <c r="AG300" s="32">
        <f>N(AG299)+AF300</f>
        <v/>
      </c>
      <c r="AH300" s="32">
        <f>IF(AF300=1,AG300,"")</f>
        <v/>
      </c>
      <c r="AI300" s="32">
        <f>IF(AND(TRIM(A300&amp;"")&lt;&gt;"",L300&amp;""&lt;&gt;"",L300&amp;""=Seating!$I$3&amp;"",B300&lt;&gt;"Declined"),1,0)</f>
        <v/>
      </c>
      <c r="AJ300" s="32">
        <f>N(AJ299)+AI300</f>
        <v/>
      </c>
      <c r="AK300" s="32">
        <f>IF(AI300=1,AJ300,"")</f>
        <v/>
      </c>
    </row>
    <row r="301">
      <c r="A301" s="10" t="n"/>
      <c r="B301" s="47">
        <f>IF(TRIM(A301&amp;"")="","",IF(W301&lt;&gt;"",W301,IF(I301="","Awaiting",I301)))</f>
        <v/>
      </c>
      <c r="C301" s="60">
        <f>IF(OR(B301="Awaiting",B301="Not sure yet"),IF(AD301&lt;&gt;"",HYPERLINK(AD301,"💬 Remind"),"add mobile"),"")</f>
        <v/>
      </c>
      <c r="D301" s="58" t="n"/>
      <c r="E301" s="10" t="n"/>
      <c r="F301" s="10" t="n"/>
      <c r="G301" s="10" t="n"/>
      <c r="H301" s="10" t="n"/>
      <c r="I301" s="10" t="n"/>
      <c r="J301" s="10" t="n"/>
      <c r="K301" s="10" t="n"/>
      <c r="L301" s="56" t="n"/>
      <c r="M301" s="10" t="n"/>
      <c r="N301" s="12" t="n"/>
      <c r="O301" s="10" t="n"/>
      <c r="P301" s="10" t="n"/>
      <c r="Q301" s="61">
        <f>IF(V301="","",IF(T301="","Covered by "&amp;INDEX('Form Calc'!$B:$B,V301)&amp;"'s reply (same party)","Replied "&amp;TEXT(INDEX('Form Calc'!$A:$A,T301),"mm/dd")&amp;" · "&amp;INDEX('Form Calc'!$H:$H,T301)&amp;" adult(s), "&amp;INDEX('Form Calc'!$I:$I,T301)&amp;" child(ren)"&amp;IF(INDEX('Form Calc'!$K:$K,T301)&lt;&gt;""," · "&amp;INDEX('Form Calc'!$K:$K,T301),"")&amp;IF(INDEX('Form Calc'!$M:$M,T301)&lt;&gt;""," · “"&amp;INDEX('Form Calc'!$M:$M,T301)&amp;"”","")))</f>
        <v/>
      </c>
      <c r="R301" s="32">
        <f>SUBSTITUTE(SUBSTITUTE(SUBSTITUTE(SUBSTITUTE(SUBSTITUTE(SUBSTITUTE(SUBSTITUTE(SUBSTITUTE(D301&amp;""," ",""),"-",""),"(",""),")",""),".",""),"+",""),"/",""),CHAR(160),"")</f>
        <v/>
      </c>
      <c r="S301" s="32">
        <f>IF(LEN(R301)&gt;=10,RIGHT(R301,10),R301)</f>
        <v/>
      </c>
      <c r="T301" s="32">
        <f>IF(TRIM(A301&amp;"")="","",IF(S301&lt;&gt;"",IFERROR(MATCH(S301,'Form Calc'!$P:$P,0),IFERROR(MATCH(TRIM(A301&amp;""),'Form Calc'!$Q:$Q,0),"")),IFERROR(MATCH(TRIM(A301&amp;""),'Form Calc'!$Q:$Q,0),"")))</f>
        <v/>
      </c>
      <c r="U301" s="32">
        <f>IF(AND(T301&lt;&gt;"",TRIM(E301&amp;"")&lt;&gt;""),TRIM(E301&amp;""),"")</f>
        <v/>
      </c>
      <c r="V301" s="32">
        <f>IF(TRIM(A301&amp;"")="","",IF(T301&lt;&gt;"",T301,IF(TRIM(E301&amp;"")="","",IFERROR(INDEX($T$6:$T$505,MATCH(TRIM(E301&amp;""),$U$6:$U$505,0)),""))))</f>
        <v/>
      </c>
      <c r="W301" s="32">
        <f>IF(V301="","",INDEX('Form Calc'!$G:$G,V301))</f>
        <v/>
      </c>
      <c r="X301" s="32">
        <f>IF(TRIM(A301&amp;"")="","",IF(T301&lt;&gt;"",IF(INDEX('Form Calc'!$K:$K,T301)&lt;&gt;"",INDEX('Form Calc'!$K:$K,T301),J301&amp;""),J301&amp;""))</f>
        <v/>
      </c>
      <c r="Y301" s="32">
        <f>IF(TRIM(A301&amp;"")="","",IF(TRIM(D301&amp;"")&lt;&gt;"",TRIM(D301&amp;""),IF(T301&lt;&gt;"",INDEX('Form Calc'!$C:$C,T301)&amp;"","")))</f>
        <v/>
      </c>
      <c r="Z301" s="32">
        <f>SUBSTITUTE(SUBSTITUTE(SUBSTITUTE(SUBSTITUTE(SUBSTITUTE(SUBSTITUTE(SUBSTITUTE(SUBSTITUTE(Y301," ",""),"-",""),"(",""),")",""),".",""),"+",""),"/",""),CHAR(160),"")</f>
        <v/>
      </c>
      <c r="AA301" s="32">
        <f>IF(Z301="","",IF(LEN(Z301)=10,"+1"&amp;Z301,IF(AND(LEN(Z301)=11,LEFT(Z301,1)="1"),"+"&amp;Z301,IF(LEFT(Y301,1)="+","+"&amp;Z301,Z301))))</f>
        <v/>
      </c>
      <c r="AB301" s="32">
        <f>IF(TRIM(A301&amp;"")="","",IF(TRIM(M301&amp;"")&lt;&gt;"",TRIM(M301&amp;""),IFERROR(LEFT(TRIM(A301&amp;""),FIND(" ",TRIM(A301&amp;""))-1),TRIM(A301&amp;""))))</f>
        <v/>
      </c>
      <c r="AC301" s="32">
        <f>SUBSTITUTE(SUBSTITUTE(SUBSTITUTE(SUBSTITUTE(SUBSTITUTE(SUBSTITUTE(SUBSTITUTE(SUBSTITUTE(SUBSTITUTE(SUBSTITUTE(AB301,"%","%25"),"&amp;","%26"),"#","%23"),"+","%2B"),"=","%3D"),"?","%3F"),CHAR(34),"%22"),CHAR(10),"%0A"),CHAR(13),"")," ","+")</f>
        <v/>
      </c>
      <c r="AD301" s="32">
        <f>IF(OR(AA301="",AB301=""),"",'Start Here'!$B$20&amp;"#p="&amp;SUBSTITUTE(AA301,"+","%2B")&amp;"&amp;n="&amp;AC301&amp;"&amp;m="&amp;SUBSTITUTE('Start Here'!$B$24,"{name}",AC301))</f>
        <v/>
      </c>
      <c r="AE301" s="32">
        <f>LEN(AD301)</f>
        <v/>
      </c>
      <c r="AF301" s="32">
        <f>IF(AND(TRIM(A301&amp;"")&lt;&gt;"",OR(B301="Awaiting",B301="Not sure yet")),1,0)</f>
        <v/>
      </c>
      <c r="AG301" s="32">
        <f>N(AG300)+AF301</f>
        <v/>
      </c>
      <c r="AH301" s="32">
        <f>IF(AF301=1,AG301,"")</f>
        <v/>
      </c>
      <c r="AI301" s="32">
        <f>IF(AND(TRIM(A301&amp;"")&lt;&gt;"",L301&amp;""&lt;&gt;"",L301&amp;""=Seating!$I$3&amp;"",B301&lt;&gt;"Declined"),1,0)</f>
        <v/>
      </c>
      <c r="AJ301" s="32">
        <f>N(AJ300)+AI301</f>
        <v/>
      </c>
      <c r="AK301" s="32">
        <f>IF(AI301=1,AJ301,"")</f>
        <v/>
      </c>
    </row>
    <row r="302">
      <c r="A302" s="10" t="n"/>
      <c r="B302" s="47">
        <f>IF(TRIM(A302&amp;"")="","",IF(W302&lt;&gt;"",W302,IF(I302="","Awaiting",I302)))</f>
        <v/>
      </c>
      <c r="C302" s="60">
        <f>IF(OR(B302="Awaiting",B302="Not sure yet"),IF(AD302&lt;&gt;"",HYPERLINK(AD302,"💬 Remind"),"add mobile"),"")</f>
        <v/>
      </c>
      <c r="D302" s="58" t="n"/>
      <c r="E302" s="10" t="n"/>
      <c r="F302" s="10" t="n"/>
      <c r="G302" s="10" t="n"/>
      <c r="H302" s="10" t="n"/>
      <c r="I302" s="10" t="n"/>
      <c r="J302" s="10" t="n"/>
      <c r="K302" s="10" t="n"/>
      <c r="L302" s="56" t="n"/>
      <c r="M302" s="10" t="n"/>
      <c r="N302" s="12" t="n"/>
      <c r="O302" s="10" t="n"/>
      <c r="P302" s="10" t="n"/>
      <c r="Q302" s="61">
        <f>IF(V302="","",IF(T302="","Covered by "&amp;INDEX('Form Calc'!$B:$B,V302)&amp;"'s reply (same party)","Replied "&amp;TEXT(INDEX('Form Calc'!$A:$A,T302),"mm/dd")&amp;" · "&amp;INDEX('Form Calc'!$H:$H,T302)&amp;" adult(s), "&amp;INDEX('Form Calc'!$I:$I,T302)&amp;" child(ren)"&amp;IF(INDEX('Form Calc'!$K:$K,T302)&lt;&gt;""," · "&amp;INDEX('Form Calc'!$K:$K,T302),"")&amp;IF(INDEX('Form Calc'!$M:$M,T302)&lt;&gt;""," · “"&amp;INDEX('Form Calc'!$M:$M,T302)&amp;"”","")))</f>
        <v/>
      </c>
      <c r="R302" s="32">
        <f>SUBSTITUTE(SUBSTITUTE(SUBSTITUTE(SUBSTITUTE(SUBSTITUTE(SUBSTITUTE(SUBSTITUTE(SUBSTITUTE(D302&amp;""," ",""),"-",""),"(",""),")",""),".",""),"+",""),"/",""),CHAR(160),"")</f>
        <v/>
      </c>
      <c r="S302" s="32">
        <f>IF(LEN(R302)&gt;=10,RIGHT(R302,10),R302)</f>
        <v/>
      </c>
      <c r="T302" s="32">
        <f>IF(TRIM(A302&amp;"")="","",IF(S302&lt;&gt;"",IFERROR(MATCH(S302,'Form Calc'!$P:$P,0),IFERROR(MATCH(TRIM(A302&amp;""),'Form Calc'!$Q:$Q,0),"")),IFERROR(MATCH(TRIM(A302&amp;""),'Form Calc'!$Q:$Q,0),"")))</f>
        <v/>
      </c>
      <c r="U302" s="32">
        <f>IF(AND(T302&lt;&gt;"",TRIM(E302&amp;"")&lt;&gt;""),TRIM(E302&amp;""),"")</f>
        <v/>
      </c>
      <c r="V302" s="32">
        <f>IF(TRIM(A302&amp;"")="","",IF(T302&lt;&gt;"",T302,IF(TRIM(E302&amp;"")="","",IFERROR(INDEX($T$6:$T$505,MATCH(TRIM(E302&amp;""),$U$6:$U$505,0)),""))))</f>
        <v/>
      </c>
      <c r="W302" s="32">
        <f>IF(V302="","",INDEX('Form Calc'!$G:$G,V302))</f>
        <v/>
      </c>
      <c r="X302" s="32">
        <f>IF(TRIM(A302&amp;"")="","",IF(T302&lt;&gt;"",IF(INDEX('Form Calc'!$K:$K,T302)&lt;&gt;"",INDEX('Form Calc'!$K:$K,T302),J302&amp;""),J302&amp;""))</f>
        <v/>
      </c>
      <c r="Y302" s="32">
        <f>IF(TRIM(A302&amp;"")="","",IF(TRIM(D302&amp;"")&lt;&gt;"",TRIM(D302&amp;""),IF(T302&lt;&gt;"",INDEX('Form Calc'!$C:$C,T302)&amp;"","")))</f>
        <v/>
      </c>
      <c r="Z302" s="32">
        <f>SUBSTITUTE(SUBSTITUTE(SUBSTITUTE(SUBSTITUTE(SUBSTITUTE(SUBSTITUTE(SUBSTITUTE(SUBSTITUTE(Y302," ",""),"-",""),"(",""),")",""),".",""),"+",""),"/",""),CHAR(160),"")</f>
        <v/>
      </c>
      <c r="AA302" s="32">
        <f>IF(Z302="","",IF(LEN(Z302)=10,"+1"&amp;Z302,IF(AND(LEN(Z302)=11,LEFT(Z302,1)="1"),"+"&amp;Z302,IF(LEFT(Y302,1)="+","+"&amp;Z302,Z302))))</f>
        <v/>
      </c>
      <c r="AB302" s="32">
        <f>IF(TRIM(A302&amp;"")="","",IF(TRIM(M302&amp;"")&lt;&gt;"",TRIM(M302&amp;""),IFERROR(LEFT(TRIM(A302&amp;""),FIND(" ",TRIM(A302&amp;""))-1),TRIM(A302&amp;""))))</f>
        <v/>
      </c>
      <c r="AC302" s="32">
        <f>SUBSTITUTE(SUBSTITUTE(SUBSTITUTE(SUBSTITUTE(SUBSTITUTE(SUBSTITUTE(SUBSTITUTE(SUBSTITUTE(SUBSTITUTE(SUBSTITUTE(AB302,"%","%25"),"&amp;","%26"),"#","%23"),"+","%2B"),"=","%3D"),"?","%3F"),CHAR(34),"%22"),CHAR(10),"%0A"),CHAR(13),"")," ","+")</f>
        <v/>
      </c>
      <c r="AD302" s="32">
        <f>IF(OR(AA302="",AB302=""),"",'Start Here'!$B$20&amp;"#p="&amp;SUBSTITUTE(AA302,"+","%2B")&amp;"&amp;n="&amp;AC302&amp;"&amp;m="&amp;SUBSTITUTE('Start Here'!$B$24,"{name}",AC302))</f>
        <v/>
      </c>
      <c r="AE302" s="32">
        <f>LEN(AD302)</f>
        <v/>
      </c>
      <c r="AF302" s="32">
        <f>IF(AND(TRIM(A302&amp;"")&lt;&gt;"",OR(B302="Awaiting",B302="Not sure yet")),1,0)</f>
        <v/>
      </c>
      <c r="AG302" s="32">
        <f>N(AG301)+AF302</f>
        <v/>
      </c>
      <c r="AH302" s="32">
        <f>IF(AF302=1,AG302,"")</f>
        <v/>
      </c>
      <c r="AI302" s="32">
        <f>IF(AND(TRIM(A302&amp;"")&lt;&gt;"",L302&amp;""&lt;&gt;"",L302&amp;""=Seating!$I$3&amp;"",B302&lt;&gt;"Declined"),1,0)</f>
        <v/>
      </c>
      <c r="AJ302" s="32">
        <f>N(AJ301)+AI302</f>
        <v/>
      </c>
      <c r="AK302" s="32">
        <f>IF(AI302=1,AJ302,"")</f>
        <v/>
      </c>
    </row>
    <row r="303">
      <c r="A303" s="10" t="n"/>
      <c r="B303" s="47">
        <f>IF(TRIM(A303&amp;"")="","",IF(W303&lt;&gt;"",W303,IF(I303="","Awaiting",I303)))</f>
        <v/>
      </c>
      <c r="C303" s="60">
        <f>IF(OR(B303="Awaiting",B303="Not sure yet"),IF(AD303&lt;&gt;"",HYPERLINK(AD303,"💬 Remind"),"add mobile"),"")</f>
        <v/>
      </c>
      <c r="D303" s="58" t="n"/>
      <c r="E303" s="10" t="n"/>
      <c r="F303" s="10" t="n"/>
      <c r="G303" s="10" t="n"/>
      <c r="H303" s="10" t="n"/>
      <c r="I303" s="10" t="n"/>
      <c r="J303" s="10" t="n"/>
      <c r="K303" s="10" t="n"/>
      <c r="L303" s="56" t="n"/>
      <c r="M303" s="10" t="n"/>
      <c r="N303" s="12" t="n"/>
      <c r="O303" s="10" t="n"/>
      <c r="P303" s="10" t="n"/>
      <c r="Q303" s="61">
        <f>IF(V303="","",IF(T303="","Covered by "&amp;INDEX('Form Calc'!$B:$B,V303)&amp;"'s reply (same party)","Replied "&amp;TEXT(INDEX('Form Calc'!$A:$A,T303),"mm/dd")&amp;" · "&amp;INDEX('Form Calc'!$H:$H,T303)&amp;" adult(s), "&amp;INDEX('Form Calc'!$I:$I,T303)&amp;" child(ren)"&amp;IF(INDEX('Form Calc'!$K:$K,T303)&lt;&gt;""," · "&amp;INDEX('Form Calc'!$K:$K,T303),"")&amp;IF(INDEX('Form Calc'!$M:$M,T303)&lt;&gt;""," · “"&amp;INDEX('Form Calc'!$M:$M,T303)&amp;"”","")))</f>
        <v/>
      </c>
      <c r="R303" s="32">
        <f>SUBSTITUTE(SUBSTITUTE(SUBSTITUTE(SUBSTITUTE(SUBSTITUTE(SUBSTITUTE(SUBSTITUTE(SUBSTITUTE(D303&amp;""," ",""),"-",""),"(",""),")",""),".",""),"+",""),"/",""),CHAR(160),"")</f>
        <v/>
      </c>
      <c r="S303" s="32">
        <f>IF(LEN(R303)&gt;=10,RIGHT(R303,10),R303)</f>
        <v/>
      </c>
      <c r="T303" s="32">
        <f>IF(TRIM(A303&amp;"")="","",IF(S303&lt;&gt;"",IFERROR(MATCH(S303,'Form Calc'!$P:$P,0),IFERROR(MATCH(TRIM(A303&amp;""),'Form Calc'!$Q:$Q,0),"")),IFERROR(MATCH(TRIM(A303&amp;""),'Form Calc'!$Q:$Q,0),"")))</f>
        <v/>
      </c>
      <c r="U303" s="32">
        <f>IF(AND(T303&lt;&gt;"",TRIM(E303&amp;"")&lt;&gt;""),TRIM(E303&amp;""),"")</f>
        <v/>
      </c>
      <c r="V303" s="32">
        <f>IF(TRIM(A303&amp;"")="","",IF(T303&lt;&gt;"",T303,IF(TRIM(E303&amp;"")="","",IFERROR(INDEX($T$6:$T$505,MATCH(TRIM(E303&amp;""),$U$6:$U$505,0)),""))))</f>
        <v/>
      </c>
      <c r="W303" s="32">
        <f>IF(V303="","",INDEX('Form Calc'!$G:$G,V303))</f>
        <v/>
      </c>
      <c r="X303" s="32">
        <f>IF(TRIM(A303&amp;"")="","",IF(T303&lt;&gt;"",IF(INDEX('Form Calc'!$K:$K,T303)&lt;&gt;"",INDEX('Form Calc'!$K:$K,T303),J303&amp;""),J303&amp;""))</f>
        <v/>
      </c>
      <c r="Y303" s="32">
        <f>IF(TRIM(A303&amp;"")="","",IF(TRIM(D303&amp;"")&lt;&gt;"",TRIM(D303&amp;""),IF(T303&lt;&gt;"",INDEX('Form Calc'!$C:$C,T303)&amp;"","")))</f>
        <v/>
      </c>
      <c r="Z303" s="32">
        <f>SUBSTITUTE(SUBSTITUTE(SUBSTITUTE(SUBSTITUTE(SUBSTITUTE(SUBSTITUTE(SUBSTITUTE(SUBSTITUTE(Y303," ",""),"-",""),"(",""),")",""),".",""),"+",""),"/",""),CHAR(160),"")</f>
        <v/>
      </c>
      <c r="AA303" s="32">
        <f>IF(Z303="","",IF(LEN(Z303)=10,"+1"&amp;Z303,IF(AND(LEN(Z303)=11,LEFT(Z303,1)="1"),"+"&amp;Z303,IF(LEFT(Y303,1)="+","+"&amp;Z303,Z303))))</f>
        <v/>
      </c>
      <c r="AB303" s="32">
        <f>IF(TRIM(A303&amp;"")="","",IF(TRIM(M303&amp;"")&lt;&gt;"",TRIM(M303&amp;""),IFERROR(LEFT(TRIM(A303&amp;""),FIND(" ",TRIM(A303&amp;""))-1),TRIM(A303&amp;""))))</f>
        <v/>
      </c>
      <c r="AC303" s="32">
        <f>SUBSTITUTE(SUBSTITUTE(SUBSTITUTE(SUBSTITUTE(SUBSTITUTE(SUBSTITUTE(SUBSTITUTE(SUBSTITUTE(SUBSTITUTE(SUBSTITUTE(AB303,"%","%25"),"&amp;","%26"),"#","%23"),"+","%2B"),"=","%3D"),"?","%3F"),CHAR(34),"%22"),CHAR(10),"%0A"),CHAR(13),"")," ","+")</f>
        <v/>
      </c>
      <c r="AD303" s="32">
        <f>IF(OR(AA303="",AB303=""),"",'Start Here'!$B$20&amp;"#p="&amp;SUBSTITUTE(AA303,"+","%2B")&amp;"&amp;n="&amp;AC303&amp;"&amp;m="&amp;SUBSTITUTE('Start Here'!$B$24,"{name}",AC303))</f>
        <v/>
      </c>
      <c r="AE303" s="32">
        <f>LEN(AD303)</f>
        <v/>
      </c>
      <c r="AF303" s="32">
        <f>IF(AND(TRIM(A303&amp;"")&lt;&gt;"",OR(B303="Awaiting",B303="Not sure yet")),1,0)</f>
        <v/>
      </c>
      <c r="AG303" s="32">
        <f>N(AG302)+AF303</f>
        <v/>
      </c>
      <c r="AH303" s="32">
        <f>IF(AF303=1,AG303,"")</f>
        <v/>
      </c>
      <c r="AI303" s="32">
        <f>IF(AND(TRIM(A303&amp;"")&lt;&gt;"",L303&amp;""&lt;&gt;"",L303&amp;""=Seating!$I$3&amp;"",B303&lt;&gt;"Declined"),1,0)</f>
        <v/>
      </c>
      <c r="AJ303" s="32">
        <f>N(AJ302)+AI303</f>
        <v/>
      </c>
      <c r="AK303" s="32">
        <f>IF(AI303=1,AJ303,"")</f>
        <v/>
      </c>
    </row>
    <row r="304">
      <c r="A304" s="10" t="n"/>
      <c r="B304" s="47">
        <f>IF(TRIM(A304&amp;"")="","",IF(W304&lt;&gt;"",W304,IF(I304="","Awaiting",I304)))</f>
        <v/>
      </c>
      <c r="C304" s="60">
        <f>IF(OR(B304="Awaiting",B304="Not sure yet"),IF(AD304&lt;&gt;"",HYPERLINK(AD304,"💬 Remind"),"add mobile"),"")</f>
        <v/>
      </c>
      <c r="D304" s="58" t="n"/>
      <c r="E304" s="10" t="n"/>
      <c r="F304" s="10" t="n"/>
      <c r="G304" s="10" t="n"/>
      <c r="H304" s="10" t="n"/>
      <c r="I304" s="10" t="n"/>
      <c r="J304" s="10" t="n"/>
      <c r="K304" s="10" t="n"/>
      <c r="L304" s="56" t="n"/>
      <c r="M304" s="10" t="n"/>
      <c r="N304" s="12" t="n"/>
      <c r="O304" s="10" t="n"/>
      <c r="P304" s="10" t="n"/>
      <c r="Q304" s="61">
        <f>IF(V304="","",IF(T304="","Covered by "&amp;INDEX('Form Calc'!$B:$B,V304)&amp;"'s reply (same party)","Replied "&amp;TEXT(INDEX('Form Calc'!$A:$A,T304),"mm/dd")&amp;" · "&amp;INDEX('Form Calc'!$H:$H,T304)&amp;" adult(s), "&amp;INDEX('Form Calc'!$I:$I,T304)&amp;" child(ren)"&amp;IF(INDEX('Form Calc'!$K:$K,T304)&lt;&gt;""," · "&amp;INDEX('Form Calc'!$K:$K,T304),"")&amp;IF(INDEX('Form Calc'!$M:$M,T304)&lt;&gt;""," · “"&amp;INDEX('Form Calc'!$M:$M,T304)&amp;"”","")))</f>
        <v/>
      </c>
      <c r="R304" s="32">
        <f>SUBSTITUTE(SUBSTITUTE(SUBSTITUTE(SUBSTITUTE(SUBSTITUTE(SUBSTITUTE(SUBSTITUTE(SUBSTITUTE(D304&amp;""," ",""),"-",""),"(",""),")",""),".",""),"+",""),"/",""),CHAR(160),"")</f>
        <v/>
      </c>
      <c r="S304" s="32">
        <f>IF(LEN(R304)&gt;=10,RIGHT(R304,10),R304)</f>
        <v/>
      </c>
      <c r="T304" s="32">
        <f>IF(TRIM(A304&amp;"")="","",IF(S304&lt;&gt;"",IFERROR(MATCH(S304,'Form Calc'!$P:$P,0),IFERROR(MATCH(TRIM(A304&amp;""),'Form Calc'!$Q:$Q,0),"")),IFERROR(MATCH(TRIM(A304&amp;""),'Form Calc'!$Q:$Q,0),"")))</f>
        <v/>
      </c>
      <c r="U304" s="32">
        <f>IF(AND(T304&lt;&gt;"",TRIM(E304&amp;"")&lt;&gt;""),TRIM(E304&amp;""),"")</f>
        <v/>
      </c>
      <c r="V304" s="32">
        <f>IF(TRIM(A304&amp;"")="","",IF(T304&lt;&gt;"",T304,IF(TRIM(E304&amp;"")="","",IFERROR(INDEX($T$6:$T$505,MATCH(TRIM(E304&amp;""),$U$6:$U$505,0)),""))))</f>
        <v/>
      </c>
      <c r="W304" s="32">
        <f>IF(V304="","",INDEX('Form Calc'!$G:$G,V304))</f>
        <v/>
      </c>
      <c r="X304" s="32">
        <f>IF(TRIM(A304&amp;"")="","",IF(T304&lt;&gt;"",IF(INDEX('Form Calc'!$K:$K,T304)&lt;&gt;"",INDEX('Form Calc'!$K:$K,T304),J304&amp;""),J304&amp;""))</f>
        <v/>
      </c>
      <c r="Y304" s="32">
        <f>IF(TRIM(A304&amp;"")="","",IF(TRIM(D304&amp;"")&lt;&gt;"",TRIM(D304&amp;""),IF(T304&lt;&gt;"",INDEX('Form Calc'!$C:$C,T304)&amp;"","")))</f>
        <v/>
      </c>
      <c r="Z304" s="32">
        <f>SUBSTITUTE(SUBSTITUTE(SUBSTITUTE(SUBSTITUTE(SUBSTITUTE(SUBSTITUTE(SUBSTITUTE(SUBSTITUTE(Y304," ",""),"-",""),"(",""),")",""),".",""),"+",""),"/",""),CHAR(160),"")</f>
        <v/>
      </c>
      <c r="AA304" s="32">
        <f>IF(Z304="","",IF(LEN(Z304)=10,"+1"&amp;Z304,IF(AND(LEN(Z304)=11,LEFT(Z304,1)="1"),"+"&amp;Z304,IF(LEFT(Y304,1)="+","+"&amp;Z304,Z304))))</f>
        <v/>
      </c>
      <c r="AB304" s="32">
        <f>IF(TRIM(A304&amp;"")="","",IF(TRIM(M304&amp;"")&lt;&gt;"",TRIM(M304&amp;""),IFERROR(LEFT(TRIM(A304&amp;""),FIND(" ",TRIM(A304&amp;""))-1),TRIM(A304&amp;""))))</f>
        <v/>
      </c>
      <c r="AC304" s="32">
        <f>SUBSTITUTE(SUBSTITUTE(SUBSTITUTE(SUBSTITUTE(SUBSTITUTE(SUBSTITUTE(SUBSTITUTE(SUBSTITUTE(SUBSTITUTE(SUBSTITUTE(AB304,"%","%25"),"&amp;","%26"),"#","%23"),"+","%2B"),"=","%3D"),"?","%3F"),CHAR(34),"%22"),CHAR(10),"%0A"),CHAR(13),"")," ","+")</f>
        <v/>
      </c>
      <c r="AD304" s="32">
        <f>IF(OR(AA304="",AB304=""),"",'Start Here'!$B$20&amp;"#p="&amp;SUBSTITUTE(AA304,"+","%2B")&amp;"&amp;n="&amp;AC304&amp;"&amp;m="&amp;SUBSTITUTE('Start Here'!$B$24,"{name}",AC304))</f>
        <v/>
      </c>
      <c r="AE304" s="32">
        <f>LEN(AD304)</f>
        <v/>
      </c>
      <c r="AF304" s="32">
        <f>IF(AND(TRIM(A304&amp;"")&lt;&gt;"",OR(B304="Awaiting",B304="Not sure yet")),1,0)</f>
        <v/>
      </c>
      <c r="AG304" s="32">
        <f>N(AG303)+AF304</f>
        <v/>
      </c>
      <c r="AH304" s="32">
        <f>IF(AF304=1,AG304,"")</f>
        <v/>
      </c>
      <c r="AI304" s="32">
        <f>IF(AND(TRIM(A304&amp;"")&lt;&gt;"",L304&amp;""&lt;&gt;"",L304&amp;""=Seating!$I$3&amp;"",B304&lt;&gt;"Declined"),1,0)</f>
        <v/>
      </c>
      <c r="AJ304" s="32">
        <f>N(AJ303)+AI304</f>
        <v/>
      </c>
      <c r="AK304" s="32">
        <f>IF(AI304=1,AJ304,"")</f>
        <v/>
      </c>
    </row>
    <row r="305">
      <c r="A305" s="10" t="n"/>
      <c r="B305" s="47">
        <f>IF(TRIM(A305&amp;"")="","",IF(W305&lt;&gt;"",W305,IF(I305="","Awaiting",I305)))</f>
        <v/>
      </c>
      <c r="C305" s="60">
        <f>IF(OR(B305="Awaiting",B305="Not sure yet"),IF(AD305&lt;&gt;"",HYPERLINK(AD305,"💬 Remind"),"add mobile"),"")</f>
        <v/>
      </c>
      <c r="D305" s="58" t="n"/>
      <c r="E305" s="10" t="n"/>
      <c r="F305" s="10" t="n"/>
      <c r="G305" s="10" t="n"/>
      <c r="H305" s="10" t="n"/>
      <c r="I305" s="10" t="n"/>
      <c r="J305" s="10" t="n"/>
      <c r="K305" s="10" t="n"/>
      <c r="L305" s="56" t="n"/>
      <c r="M305" s="10" t="n"/>
      <c r="N305" s="12" t="n"/>
      <c r="O305" s="10" t="n"/>
      <c r="P305" s="10" t="n"/>
      <c r="Q305" s="61">
        <f>IF(V305="","",IF(T305="","Covered by "&amp;INDEX('Form Calc'!$B:$B,V305)&amp;"'s reply (same party)","Replied "&amp;TEXT(INDEX('Form Calc'!$A:$A,T305),"mm/dd")&amp;" · "&amp;INDEX('Form Calc'!$H:$H,T305)&amp;" adult(s), "&amp;INDEX('Form Calc'!$I:$I,T305)&amp;" child(ren)"&amp;IF(INDEX('Form Calc'!$K:$K,T305)&lt;&gt;""," · "&amp;INDEX('Form Calc'!$K:$K,T305),"")&amp;IF(INDEX('Form Calc'!$M:$M,T305)&lt;&gt;""," · “"&amp;INDEX('Form Calc'!$M:$M,T305)&amp;"”","")))</f>
        <v/>
      </c>
      <c r="R305" s="32">
        <f>SUBSTITUTE(SUBSTITUTE(SUBSTITUTE(SUBSTITUTE(SUBSTITUTE(SUBSTITUTE(SUBSTITUTE(SUBSTITUTE(D305&amp;""," ",""),"-",""),"(",""),")",""),".",""),"+",""),"/",""),CHAR(160),"")</f>
        <v/>
      </c>
      <c r="S305" s="32">
        <f>IF(LEN(R305)&gt;=10,RIGHT(R305,10),R305)</f>
        <v/>
      </c>
      <c r="T305" s="32">
        <f>IF(TRIM(A305&amp;"")="","",IF(S305&lt;&gt;"",IFERROR(MATCH(S305,'Form Calc'!$P:$P,0),IFERROR(MATCH(TRIM(A305&amp;""),'Form Calc'!$Q:$Q,0),"")),IFERROR(MATCH(TRIM(A305&amp;""),'Form Calc'!$Q:$Q,0),"")))</f>
        <v/>
      </c>
      <c r="U305" s="32">
        <f>IF(AND(T305&lt;&gt;"",TRIM(E305&amp;"")&lt;&gt;""),TRIM(E305&amp;""),"")</f>
        <v/>
      </c>
      <c r="V305" s="32">
        <f>IF(TRIM(A305&amp;"")="","",IF(T305&lt;&gt;"",T305,IF(TRIM(E305&amp;"")="","",IFERROR(INDEX($T$6:$T$505,MATCH(TRIM(E305&amp;""),$U$6:$U$505,0)),""))))</f>
        <v/>
      </c>
      <c r="W305" s="32">
        <f>IF(V305="","",INDEX('Form Calc'!$G:$G,V305))</f>
        <v/>
      </c>
      <c r="X305" s="32">
        <f>IF(TRIM(A305&amp;"")="","",IF(T305&lt;&gt;"",IF(INDEX('Form Calc'!$K:$K,T305)&lt;&gt;"",INDEX('Form Calc'!$K:$K,T305),J305&amp;""),J305&amp;""))</f>
        <v/>
      </c>
      <c r="Y305" s="32">
        <f>IF(TRIM(A305&amp;"")="","",IF(TRIM(D305&amp;"")&lt;&gt;"",TRIM(D305&amp;""),IF(T305&lt;&gt;"",INDEX('Form Calc'!$C:$C,T305)&amp;"","")))</f>
        <v/>
      </c>
      <c r="Z305" s="32">
        <f>SUBSTITUTE(SUBSTITUTE(SUBSTITUTE(SUBSTITUTE(SUBSTITUTE(SUBSTITUTE(SUBSTITUTE(SUBSTITUTE(Y305," ",""),"-",""),"(",""),")",""),".",""),"+",""),"/",""),CHAR(160),"")</f>
        <v/>
      </c>
      <c r="AA305" s="32">
        <f>IF(Z305="","",IF(LEN(Z305)=10,"+1"&amp;Z305,IF(AND(LEN(Z305)=11,LEFT(Z305,1)="1"),"+"&amp;Z305,IF(LEFT(Y305,1)="+","+"&amp;Z305,Z305))))</f>
        <v/>
      </c>
      <c r="AB305" s="32">
        <f>IF(TRIM(A305&amp;"")="","",IF(TRIM(M305&amp;"")&lt;&gt;"",TRIM(M305&amp;""),IFERROR(LEFT(TRIM(A305&amp;""),FIND(" ",TRIM(A305&amp;""))-1),TRIM(A305&amp;""))))</f>
        <v/>
      </c>
      <c r="AC305" s="32">
        <f>SUBSTITUTE(SUBSTITUTE(SUBSTITUTE(SUBSTITUTE(SUBSTITUTE(SUBSTITUTE(SUBSTITUTE(SUBSTITUTE(SUBSTITUTE(SUBSTITUTE(AB305,"%","%25"),"&amp;","%26"),"#","%23"),"+","%2B"),"=","%3D"),"?","%3F"),CHAR(34),"%22"),CHAR(10),"%0A"),CHAR(13),"")," ","+")</f>
        <v/>
      </c>
      <c r="AD305" s="32">
        <f>IF(OR(AA305="",AB305=""),"",'Start Here'!$B$20&amp;"#p="&amp;SUBSTITUTE(AA305,"+","%2B")&amp;"&amp;n="&amp;AC305&amp;"&amp;m="&amp;SUBSTITUTE('Start Here'!$B$24,"{name}",AC305))</f>
        <v/>
      </c>
      <c r="AE305" s="32">
        <f>LEN(AD305)</f>
        <v/>
      </c>
      <c r="AF305" s="32">
        <f>IF(AND(TRIM(A305&amp;"")&lt;&gt;"",OR(B305="Awaiting",B305="Not sure yet")),1,0)</f>
        <v/>
      </c>
      <c r="AG305" s="32">
        <f>N(AG304)+AF305</f>
        <v/>
      </c>
      <c r="AH305" s="32">
        <f>IF(AF305=1,AG305,"")</f>
        <v/>
      </c>
      <c r="AI305" s="32">
        <f>IF(AND(TRIM(A305&amp;"")&lt;&gt;"",L305&amp;""&lt;&gt;"",L305&amp;""=Seating!$I$3&amp;"",B305&lt;&gt;"Declined"),1,0)</f>
        <v/>
      </c>
      <c r="AJ305" s="32">
        <f>N(AJ304)+AI305</f>
        <v/>
      </c>
      <c r="AK305" s="32">
        <f>IF(AI305=1,AJ305,"")</f>
        <v/>
      </c>
    </row>
    <row r="306">
      <c r="A306" s="10" t="n"/>
      <c r="B306" s="47">
        <f>IF(TRIM(A306&amp;"")="","",IF(W306&lt;&gt;"",W306,IF(I306="","Awaiting",I306)))</f>
        <v/>
      </c>
      <c r="C306" s="60">
        <f>IF(OR(B306="Awaiting",B306="Not sure yet"),IF(AD306&lt;&gt;"",HYPERLINK(AD306,"💬 Remind"),"add mobile"),"")</f>
        <v/>
      </c>
      <c r="D306" s="58" t="n"/>
      <c r="E306" s="10" t="n"/>
      <c r="F306" s="10" t="n"/>
      <c r="G306" s="10" t="n"/>
      <c r="H306" s="10" t="n"/>
      <c r="I306" s="10" t="n"/>
      <c r="J306" s="10" t="n"/>
      <c r="K306" s="10" t="n"/>
      <c r="L306" s="56" t="n"/>
      <c r="M306" s="10" t="n"/>
      <c r="N306" s="12" t="n"/>
      <c r="O306" s="10" t="n"/>
      <c r="P306" s="10" t="n"/>
      <c r="Q306" s="61">
        <f>IF(V306="","",IF(T306="","Covered by "&amp;INDEX('Form Calc'!$B:$B,V306)&amp;"'s reply (same party)","Replied "&amp;TEXT(INDEX('Form Calc'!$A:$A,T306),"mm/dd")&amp;" · "&amp;INDEX('Form Calc'!$H:$H,T306)&amp;" adult(s), "&amp;INDEX('Form Calc'!$I:$I,T306)&amp;" child(ren)"&amp;IF(INDEX('Form Calc'!$K:$K,T306)&lt;&gt;""," · "&amp;INDEX('Form Calc'!$K:$K,T306),"")&amp;IF(INDEX('Form Calc'!$M:$M,T306)&lt;&gt;""," · “"&amp;INDEX('Form Calc'!$M:$M,T306)&amp;"”","")))</f>
        <v/>
      </c>
      <c r="R306" s="32">
        <f>SUBSTITUTE(SUBSTITUTE(SUBSTITUTE(SUBSTITUTE(SUBSTITUTE(SUBSTITUTE(SUBSTITUTE(SUBSTITUTE(D306&amp;""," ",""),"-",""),"(",""),")",""),".",""),"+",""),"/",""),CHAR(160),"")</f>
        <v/>
      </c>
      <c r="S306" s="32">
        <f>IF(LEN(R306)&gt;=10,RIGHT(R306,10),R306)</f>
        <v/>
      </c>
      <c r="T306" s="32">
        <f>IF(TRIM(A306&amp;"")="","",IF(S306&lt;&gt;"",IFERROR(MATCH(S306,'Form Calc'!$P:$P,0),IFERROR(MATCH(TRIM(A306&amp;""),'Form Calc'!$Q:$Q,0),"")),IFERROR(MATCH(TRIM(A306&amp;""),'Form Calc'!$Q:$Q,0),"")))</f>
        <v/>
      </c>
      <c r="U306" s="32">
        <f>IF(AND(T306&lt;&gt;"",TRIM(E306&amp;"")&lt;&gt;""),TRIM(E306&amp;""),"")</f>
        <v/>
      </c>
      <c r="V306" s="32">
        <f>IF(TRIM(A306&amp;"")="","",IF(T306&lt;&gt;"",T306,IF(TRIM(E306&amp;"")="","",IFERROR(INDEX($T$6:$T$505,MATCH(TRIM(E306&amp;""),$U$6:$U$505,0)),""))))</f>
        <v/>
      </c>
      <c r="W306" s="32">
        <f>IF(V306="","",INDEX('Form Calc'!$G:$G,V306))</f>
        <v/>
      </c>
      <c r="X306" s="32">
        <f>IF(TRIM(A306&amp;"")="","",IF(T306&lt;&gt;"",IF(INDEX('Form Calc'!$K:$K,T306)&lt;&gt;"",INDEX('Form Calc'!$K:$K,T306),J306&amp;""),J306&amp;""))</f>
        <v/>
      </c>
      <c r="Y306" s="32">
        <f>IF(TRIM(A306&amp;"")="","",IF(TRIM(D306&amp;"")&lt;&gt;"",TRIM(D306&amp;""),IF(T306&lt;&gt;"",INDEX('Form Calc'!$C:$C,T306)&amp;"","")))</f>
        <v/>
      </c>
      <c r="Z306" s="32">
        <f>SUBSTITUTE(SUBSTITUTE(SUBSTITUTE(SUBSTITUTE(SUBSTITUTE(SUBSTITUTE(SUBSTITUTE(SUBSTITUTE(Y306," ",""),"-",""),"(",""),")",""),".",""),"+",""),"/",""),CHAR(160),"")</f>
        <v/>
      </c>
      <c r="AA306" s="32">
        <f>IF(Z306="","",IF(LEN(Z306)=10,"+1"&amp;Z306,IF(AND(LEN(Z306)=11,LEFT(Z306,1)="1"),"+"&amp;Z306,IF(LEFT(Y306,1)="+","+"&amp;Z306,Z306))))</f>
        <v/>
      </c>
      <c r="AB306" s="32">
        <f>IF(TRIM(A306&amp;"")="","",IF(TRIM(M306&amp;"")&lt;&gt;"",TRIM(M306&amp;""),IFERROR(LEFT(TRIM(A306&amp;""),FIND(" ",TRIM(A306&amp;""))-1),TRIM(A306&amp;""))))</f>
        <v/>
      </c>
      <c r="AC306" s="32">
        <f>SUBSTITUTE(SUBSTITUTE(SUBSTITUTE(SUBSTITUTE(SUBSTITUTE(SUBSTITUTE(SUBSTITUTE(SUBSTITUTE(SUBSTITUTE(SUBSTITUTE(AB306,"%","%25"),"&amp;","%26"),"#","%23"),"+","%2B"),"=","%3D"),"?","%3F"),CHAR(34),"%22"),CHAR(10),"%0A"),CHAR(13),"")," ","+")</f>
        <v/>
      </c>
      <c r="AD306" s="32">
        <f>IF(OR(AA306="",AB306=""),"",'Start Here'!$B$20&amp;"#p="&amp;SUBSTITUTE(AA306,"+","%2B")&amp;"&amp;n="&amp;AC306&amp;"&amp;m="&amp;SUBSTITUTE('Start Here'!$B$24,"{name}",AC306))</f>
        <v/>
      </c>
      <c r="AE306" s="32">
        <f>LEN(AD306)</f>
        <v/>
      </c>
      <c r="AF306" s="32">
        <f>IF(AND(TRIM(A306&amp;"")&lt;&gt;"",OR(B306="Awaiting",B306="Not sure yet")),1,0)</f>
        <v/>
      </c>
      <c r="AG306" s="32">
        <f>N(AG305)+AF306</f>
        <v/>
      </c>
      <c r="AH306" s="32">
        <f>IF(AF306=1,AG306,"")</f>
        <v/>
      </c>
      <c r="AI306" s="32">
        <f>IF(AND(TRIM(A306&amp;"")&lt;&gt;"",L306&amp;""&lt;&gt;"",L306&amp;""=Seating!$I$3&amp;"",B306&lt;&gt;"Declined"),1,0)</f>
        <v/>
      </c>
      <c r="AJ306" s="32">
        <f>N(AJ305)+AI306</f>
        <v/>
      </c>
      <c r="AK306" s="32">
        <f>IF(AI306=1,AJ306,"")</f>
        <v/>
      </c>
    </row>
    <row r="307">
      <c r="A307" s="10" t="n"/>
      <c r="B307" s="47">
        <f>IF(TRIM(A307&amp;"")="","",IF(W307&lt;&gt;"",W307,IF(I307="","Awaiting",I307)))</f>
        <v/>
      </c>
      <c r="C307" s="60">
        <f>IF(OR(B307="Awaiting",B307="Not sure yet"),IF(AD307&lt;&gt;"",HYPERLINK(AD307,"💬 Remind"),"add mobile"),"")</f>
        <v/>
      </c>
      <c r="D307" s="58" t="n"/>
      <c r="E307" s="10" t="n"/>
      <c r="F307" s="10" t="n"/>
      <c r="G307" s="10" t="n"/>
      <c r="H307" s="10" t="n"/>
      <c r="I307" s="10" t="n"/>
      <c r="J307" s="10" t="n"/>
      <c r="K307" s="10" t="n"/>
      <c r="L307" s="56" t="n"/>
      <c r="M307" s="10" t="n"/>
      <c r="N307" s="12" t="n"/>
      <c r="O307" s="10" t="n"/>
      <c r="P307" s="10" t="n"/>
      <c r="Q307" s="61">
        <f>IF(V307="","",IF(T307="","Covered by "&amp;INDEX('Form Calc'!$B:$B,V307)&amp;"'s reply (same party)","Replied "&amp;TEXT(INDEX('Form Calc'!$A:$A,T307),"mm/dd")&amp;" · "&amp;INDEX('Form Calc'!$H:$H,T307)&amp;" adult(s), "&amp;INDEX('Form Calc'!$I:$I,T307)&amp;" child(ren)"&amp;IF(INDEX('Form Calc'!$K:$K,T307)&lt;&gt;""," · "&amp;INDEX('Form Calc'!$K:$K,T307),"")&amp;IF(INDEX('Form Calc'!$M:$M,T307)&lt;&gt;""," · “"&amp;INDEX('Form Calc'!$M:$M,T307)&amp;"”","")))</f>
        <v/>
      </c>
      <c r="R307" s="32">
        <f>SUBSTITUTE(SUBSTITUTE(SUBSTITUTE(SUBSTITUTE(SUBSTITUTE(SUBSTITUTE(SUBSTITUTE(SUBSTITUTE(D307&amp;""," ",""),"-",""),"(",""),")",""),".",""),"+",""),"/",""),CHAR(160),"")</f>
        <v/>
      </c>
      <c r="S307" s="32">
        <f>IF(LEN(R307)&gt;=10,RIGHT(R307,10),R307)</f>
        <v/>
      </c>
      <c r="T307" s="32">
        <f>IF(TRIM(A307&amp;"")="","",IF(S307&lt;&gt;"",IFERROR(MATCH(S307,'Form Calc'!$P:$P,0),IFERROR(MATCH(TRIM(A307&amp;""),'Form Calc'!$Q:$Q,0),"")),IFERROR(MATCH(TRIM(A307&amp;""),'Form Calc'!$Q:$Q,0),"")))</f>
        <v/>
      </c>
      <c r="U307" s="32">
        <f>IF(AND(T307&lt;&gt;"",TRIM(E307&amp;"")&lt;&gt;""),TRIM(E307&amp;""),"")</f>
        <v/>
      </c>
      <c r="V307" s="32">
        <f>IF(TRIM(A307&amp;"")="","",IF(T307&lt;&gt;"",T307,IF(TRIM(E307&amp;"")="","",IFERROR(INDEX($T$6:$T$505,MATCH(TRIM(E307&amp;""),$U$6:$U$505,0)),""))))</f>
        <v/>
      </c>
      <c r="W307" s="32">
        <f>IF(V307="","",INDEX('Form Calc'!$G:$G,V307))</f>
        <v/>
      </c>
      <c r="X307" s="32">
        <f>IF(TRIM(A307&amp;"")="","",IF(T307&lt;&gt;"",IF(INDEX('Form Calc'!$K:$K,T307)&lt;&gt;"",INDEX('Form Calc'!$K:$K,T307),J307&amp;""),J307&amp;""))</f>
        <v/>
      </c>
      <c r="Y307" s="32">
        <f>IF(TRIM(A307&amp;"")="","",IF(TRIM(D307&amp;"")&lt;&gt;"",TRIM(D307&amp;""),IF(T307&lt;&gt;"",INDEX('Form Calc'!$C:$C,T307)&amp;"","")))</f>
        <v/>
      </c>
      <c r="Z307" s="32">
        <f>SUBSTITUTE(SUBSTITUTE(SUBSTITUTE(SUBSTITUTE(SUBSTITUTE(SUBSTITUTE(SUBSTITUTE(SUBSTITUTE(Y307," ",""),"-",""),"(",""),")",""),".",""),"+",""),"/",""),CHAR(160),"")</f>
        <v/>
      </c>
      <c r="AA307" s="32">
        <f>IF(Z307="","",IF(LEN(Z307)=10,"+1"&amp;Z307,IF(AND(LEN(Z307)=11,LEFT(Z307,1)="1"),"+"&amp;Z307,IF(LEFT(Y307,1)="+","+"&amp;Z307,Z307))))</f>
        <v/>
      </c>
      <c r="AB307" s="32">
        <f>IF(TRIM(A307&amp;"")="","",IF(TRIM(M307&amp;"")&lt;&gt;"",TRIM(M307&amp;""),IFERROR(LEFT(TRIM(A307&amp;""),FIND(" ",TRIM(A307&amp;""))-1),TRIM(A307&amp;""))))</f>
        <v/>
      </c>
      <c r="AC307" s="32">
        <f>SUBSTITUTE(SUBSTITUTE(SUBSTITUTE(SUBSTITUTE(SUBSTITUTE(SUBSTITUTE(SUBSTITUTE(SUBSTITUTE(SUBSTITUTE(SUBSTITUTE(AB307,"%","%25"),"&amp;","%26"),"#","%23"),"+","%2B"),"=","%3D"),"?","%3F"),CHAR(34),"%22"),CHAR(10),"%0A"),CHAR(13),"")," ","+")</f>
        <v/>
      </c>
      <c r="AD307" s="32">
        <f>IF(OR(AA307="",AB307=""),"",'Start Here'!$B$20&amp;"#p="&amp;SUBSTITUTE(AA307,"+","%2B")&amp;"&amp;n="&amp;AC307&amp;"&amp;m="&amp;SUBSTITUTE('Start Here'!$B$24,"{name}",AC307))</f>
        <v/>
      </c>
      <c r="AE307" s="32">
        <f>LEN(AD307)</f>
        <v/>
      </c>
      <c r="AF307" s="32">
        <f>IF(AND(TRIM(A307&amp;"")&lt;&gt;"",OR(B307="Awaiting",B307="Not sure yet")),1,0)</f>
        <v/>
      </c>
      <c r="AG307" s="32">
        <f>N(AG306)+AF307</f>
        <v/>
      </c>
      <c r="AH307" s="32">
        <f>IF(AF307=1,AG307,"")</f>
        <v/>
      </c>
      <c r="AI307" s="32">
        <f>IF(AND(TRIM(A307&amp;"")&lt;&gt;"",L307&amp;""&lt;&gt;"",L307&amp;""=Seating!$I$3&amp;"",B307&lt;&gt;"Declined"),1,0)</f>
        <v/>
      </c>
      <c r="AJ307" s="32">
        <f>N(AJ306)+AI307</f>
        <v/>
      </c>
      <c r="AK307" s="32">
        <f>IF(AI307=1,AJ307,"")</f>
        <v/>
      </c>
    </row>
    <row r="308">
      <c r="A308" s="10" t="n"/>
      <c r="B308" s="47">
        <f>IF(TRIM(A308&amp;"")="","",IF(W308&lt;&gt;"",W308,IF(I308="","Awaiting",I308)))</f>
        <v/>
      </c>
      <c r="C308" s="60">
        <f>IF(OR(B308="Awaiting",B308="Not sure yet"),IF(AD308&lt;&gt;"",HYPERLINK(AD308,"💬 Remind"),"add mobile"),"")</f>
        <v/>
      </c>
      <c r="D308" s="58" t="n"/>
      <c r="E308" s="10" t="n"/>
      <c r="F308" s="10" t="n"/>
      <c r="G308" s="10" t="n"/>
      <c r="H308" s="10" t="n"/>
      <c r="I308" s="10" t="n"/>
      <c r="J308" s="10" t="n"/>
      <c r="K308" s="10" t="n"/>
      <c r="L308" s="56" t="n"/>
      <c r="M308" s="10" t="n"/>
      <c r="N308" s="12" t="n"/>
      <c r="O308" s="10" t="n"/>
      <c r="P308" s="10" t="n"/>
      <c r="Q308" s="61">
        <f>IF(V308="","",IF(T308="","Covered by "&amp;INDEX('Form Calc'!$B:$B,V308)&amp;"'s reply (same party)","Replied "&amp;TEXT(INDEX('Form Calc'!$A:$A,T308),"mm/dd")&amp;" · "&amp;INDEX('Form Calc'!$H:$H,T308)&amp;" adult(s), "&amp;INDEX('Form Calc'!$I:$I,T308)&amp;" child(ren)"&amp;IF(INDEX('Form Calc'!$K:$K,T308)&lt;&gt;""," · "&amp;INDEX('Form Calc'!$K:$K,T308),"")&amp;IF(INDEX('Form Calc'!$M:$M,T308)&lt;&gt;""," · “"&amp;INDEX('Form Calc'!$M:$M,T308)&amp;"”","")))</f>
        <v/>
      </c>
      <c r="R308" s="32">
        <f>SUBSTITUTE(SUBSTITUTE(SUBSTITUTE(SUBSTITUTE(SUBSTITUTE(SUBSTITUTE(SUBSTITUTE(SUBSTITUTE(D308&amp;""," ",""),"-",""),"(",""),")",""),".",""),"+",""),"/",""),CHAR(160),"")</f>
        <v/>
      </c>
      <c r="S308" s="32">
        <f>IF(LEN(R308)&gt;=10,RIGHT(R308,10),R308)</f>
        <v/>
      </c>
      <c r="T308" s="32">
        <f>IF(TRIM(A308&amp;"")="","",IF(S308&lt;&gt;"",IFERROR(MATCH(S308,'Form Calc'!$P:$P,0),IFERROR(MATCH(TRIM(A308&amp;""),'Form Calc'!$Q:$Q,0),"")),IFERROR(MATCH(TRIM(A308&amp;""),'Form Calc'!$Q:$Q,0),"")))</f>
        <v/>
      </c>
      <c r="U308" s="32">
        <f>IF(AND(T308&lt;&gt;"",TRIM(E308&amp;"")&lt;&gt;""),TRIM(E308&amp;""),"")</f>
        <v/>
      </c>
      <c r="V308" s="32">
        <f>IF(TRIM(A308&amp;"")="","",IF(T308&lt;&gt;"",T308,IF(TRIM(E308&amp;"")="","",IFERROR(INDEX($T$6:$T$505,MATCH(TRIM(E308&amp;""),$U$6:$U$505,0)),""))))</f>
        <v/>
      </c>
      <c r="W308" s="32">
        <f>IF(V308="","",INDEX('Form Calc'!$G:$G,V308))</f>
        <v/>
      </c>
      <c r="X308" s="32">
        <f>IF(TRIM(A308&amp;"")="","",IF(T308&lt;&gt;"",IF(INDEX('Form Calc'!$K:$K,T308)&lt;&gt;"",INDEX('Form Calc'!$K:$K,T308),J308&amp;""),J308&amp;""))</f>
        <v/>
      </c>
      <c r="Y308" s="32">
        <f>IF(TRIM(A308&amp;"")="","",IF(TRIM(D308&amp;"")&lt;&gt;"",TRIM(D308&amp;""),IF(T308&lt;&gt;"",INDEX('Form Calc'!$C:$C,T308)&amp;"","")))</f>
        <v/>
      </c>
      <c r="Z308" s="32">
        <f>SUBSTITUTE(SUBSTITUTE(SUBSTITUTE(SUBSTITUTE(SUBSTITUTE(SUBSTITUTE(SUBSTITUTE(SUBSTITUTE(Y308," ",""),"-",""),"(",""),")",""),".",""),"+",""),"/",""),CHAR(160),"")</f>
        <v/>
      </c>
      <c r="AA308" s="32">
        <f>IF(Z308="","",IF(LEN(Z308)=10,"+1"&amp;Z308,IF(AND(LEN(Z308)=11,LEFT(Z308,1)="1"),"+"&amp;Z308,IF(LEFT(Y308,1)="+","+"&amp;Z308,Z308))))</f>
        <v/>
      </c>
      <c r="AB308" s="32">
        <f>IF(TRIM(A308&amp;"")="","",IF(TRIM(M308&amp;"")&lt;&gt;"",TRIM(M308&amp;""),IFERROR(LEFT(TRIM(A308&amp;""),FIND(" ",TRIM(A308&amp;""))-1),TRIM(A308&amp;""))))</f>
        <v/>
      </c>
      <c r="AC308" s="32">
        <f>SUBSTITUTE(SUBSTITUTE(SUBSTITUTE(SUBSTITUTE(SUBSTITUTE(SUBSTITUTE(SUBSTITUTE(SUBSTITUTE(SUBSTITUTE(SUBSTITUTE(AB308,"%","%25"),"&amp;","%26"),"#","%23"),"+","%2B"),"=","%3D"),"?","%3F"),CHAR(34),"%22"),CHAR(10),"%0A"),CHAR(13),"")," ","+")</f>
        <v/>
      </c>
      <c r="AD308" s="32">
        <f>IF(OR(AA308="",AB308=""),"",'Start Here'!$B$20&amp;"#p="&amp;SUBSTITUTE(AA308,"+","%2B")&amp;"&amp;n="&amp;AC308&amp;"&amp;m="&amp;SUBSTITUTE('Start Here'!$B$24,"{name}",AC308))</f>
        <v/>
      </c>
      <c r="AE308" s="32">
        <f>LEN(AD308)</f>
        <v/>
      </c>
      <c r="AF308" s="32">
        <f>IF(AND(TRIM(A308&amp;"")&lt;&gt;"",OR(B308="Awaiting",B308="Not sure yet")),1,0)</f>
        <v/>
      </c>
      <c r="AG308" s="32">
        <f>N(AG307)+AF308</f>
        <v/>
      </c>
      <c r="AH308" s="32">
        <f>IF(AF308=1,AG308,"")</f>
        <v/>
      </c>
      <c r="AI308" s="32">
        <f>IF(AND(TRIM(A308&amp;"")&lt;&gt;"",L308&amp;""&lt;&gt;"",L308&amp;""=Seating!$I$3&amp;"",B308&lt;&gt;"Declined"),1,0)</f>
        <v/>
      </c>
      <c r="AJ308" s="32">
        <f>N(AJ307)+AI308</f>
        <v/>
      </c>
      <c r="AK308" s="32">
        <f>IF(AI308=1,AJ308,"")</f>
        <v/>
      </c>
    </row>
    <row r="309">
      <c r="A309" s="10" t="n"/>
      <c r="B309" s="47">
        <f>IF(TRIM(A309&amp;"")="","",IF(W309&lt;&gt;"",W309,IF(I309="","Awaiting",I309)))</f>
        <v/>
      </c>
      <c r="C309" s="60">
        <f>IF(OR(B309="Awaiting",B309="Not sure yet"),IF(AD309&lt;&gt;"",HYPERLINK(AD309,"💬 Remind"),"add mobile"),"")</f>
        <v/>
      </c>
      <c r="D309" s="58" t="n"/>
      <c r="E309" s="10" t="n"/>
      <c r="F309" s="10" t="n"/>
      <c r="G309" s="10" t="n"/>
      <c r="H309" s="10" t="n"/>
      <c r="I309" s="10" t="n"/>
      <c r="J309" s="10" t="n"/>
      <c r="K309" s="10" t="n"/>
      <c r="L309" s="56" t="n"/>
      <c r="M309" s="10" t="n"/>
      <c r="N309" s="12" t="n"/>
      <c r="O309" s="10" t="n"/>
      <c r="P309" s="10" t="n"/>
      <c r="Q309" s="61">
        <f>IF(V309="","",IF(T309="","Covered by "&amp;INDEX('Form Calc'!$B:$B,V309)&amp;"'s reply (same party)","Replied "&amp;TEXT(INDEX('Form Calc'!$A:$A,T309),"mm/dd")&amp;" · "&amp;INDEX('Form Calc'!$H:$H,T309)&amp;" adult(s), "&amp;INDEX('Form Calc'!$I:$I,T309)&amp;" child(ren)"&amp;IF(INDEX('Form Calc'!$K:$K,T309)&lt;&gt;""," · "&amp;INDEX('Form Calc'!$K:$K,T309),"")&amp;IF(INDEX('Form Calc'!$M:$M,T309)&lt;&gt;""," · “"&amp;INDEX('Form Calc'!$M:$M,T309)&amp;"”","")))</f>
        <v/>
      </c>
      <c r="R309" s="32">
        <f>SUBSTITUTE(SUBSTITUTE(SUBSTITUTE(SUBSTITUTE(SUBSTITUTE(SUBSTITUTE(SUBSTITUTE(SUBSTITUTE(D309&amp;""," ",""),"-",""),"(",""),")",""),".",""),"+",""),"/",""),CHAR(160),"")</f>
        <v/>
      </c>
      <c r="S309" s="32">
        <f>IF(LEN(R309)&gt;=10,RIGHT(R309,10),R309)</f>
        <v/>
      </c>
      <c r="T309" s="32">
        <f>IF(TRIM(A309&amp;"")="","",IF(S309&lt;&gt;"",IFERROR(MATCH(S309,'Form Calc'!$P:$P,0),IFERROR(MATCH(TRIM(A309&amp;""),'Form Calc'!$Q:$Q,0),"")),IFERROR(MATCH(TRIM(A309&amp;""),'Form Calc'!$Q:$Q,0),"")))</f>
        <v/>
      </c>
      <c r="U309" s="32">
        <f>IF(AND(T309&lt;&gt;"",TRIM(E309&amp;"")&lt;&gt;""),TRIM(E309&amp;""),"")</f>
        <v/>
      </c>
      <c r="V309" s="32">
        <f>IF(TRIM(A309&amp;"")="","",IF(T309&lt;&gt;"",T309,IF(TRIM(E309&amp;"")="","",IFERROR(INDEX($T$6:$T$505,MATCH(TRIM(E309&amp;""),$U$6:$U$505,0)),""))))</f>
        <v/>
      </c>
      <c r="W309" s="32">
        <f>IF(V309="","",INDEX('Form Calc'!$G:$G,V309))</f>
        <v/>
      </c>
      <c r="X309" s="32">
        <f>IF(TRIM(A309&amp;"")="","",IF(T309&lt;&gt;"",IF(INDEX('Form Calc'!$K:$K,T309)&lt;&gt;"",INDEX('Form Calc'!$K:$K,T309),J309&amp;""),J309&amp;""))</f>
        <v/>
      </c>
      <c r="Y309" s="32">
        <f>IF(TRIM(A309&amp;"")="","",IF(TRIM(D309&amp;"")&lt;&gt;"",TRIM(D309&amp;""),IF(T309&lt;&gt;"",INDEX('Form Calc'!$C:$C,T309)&amp;"","")))</f>
        <v/>
      </c>
      <c r="Z309" s="32">
        <f>SUBSTITUTE(SUBSTITUTE(SUBSTITUTE(SUBSTITUTE(SUBSTITUTE(SUBSTITUTE(SUBSTITUTE(SUBSTITUTE(Y309," ",""),"-",""),"(",""),")",""),".",""),"+",""),"/",""),CHAR(160),"")</f>
        <v/>
      </c>
      <c r="AA309" s="32">
        <f>IF(Z309="","",IF(LEN(Z309)=10,"+1"&amp;Z309,IF(AND(LEN(Z309)=11,LEFT(Z309,1)="1"),"+"&amp;Z309,IF(LEFT(Y309,1)="+","+"&amp;Z309,Z309))))</f>
        <v/>
      </c>
      <c r="AB309" s="32">
        <f>IF(TRIM(A309&amp;"")="","",IF(TRIM(M309&amp;"")&lt;&gt;"",TRIM(M309&amp;""),IFERROR(LEFT(TRIM(A309&amp;""),FIND(" ",TRIM(A309&amp;""))-1),TRIM(A309&amp;""))))</f>
        <v/>
      </c>
      <c r="AC309" s="32">
        <f>SUBSTITUTE(SUBSTITUTE(SUBSTITUTE(SUBSTITUTE(SUBSTITUTE(SUBSTITUTE(SUBSTITUTE(SUBSTITUTE(SUBSTITUTE(SUBSTITUTE(AB309,"%","%25"),"&amp;","%26"),"#","%23"),"+","%2B"),"=","%3D"),"?","%3F"),CHAR(34),"%22"),CHAR(10),"%0A"),CHAR(13),"")," ","+")</f>
        <v/>
      </c>
      <c r="AD309" s="32">
        <f>IF(OR(AA309="",AB309=""),"",'Start Here'!$B$20&amp;"#p="&amp;SUBSTITUTE(AA309,"+","%2B")&amp;"&amp;n="&amp;AC309&amp;"&amp;m="&amp;SUBSTITUTE('Start Here'!$B$24,"{name}",AC309))</f>
        <v/>
      </c>
      <c r="AE309" s="32">
        <f>LEN(AD309)</f>
        <v/>
      </c>
      <c r="AF309" s="32">
        <f>IF(AND(TRIM(A309&amp;"")&lt;&gt;"",OR(B309="Awaiting",B309="Not sure yet")),1,0)</f>
        <v/>
      </c>
      <c r="AG309" s="32">
        <f>N(AG308)+AF309</f>
        <v/>
      </c>
      <c r="AH309" s="32">
        <f>IF(AF309=1,AG309,"")</f>
        <v/>
      </c>
      <c r="AI309" s="32">
        <f>IF(AND(TRIM(A309&amp;"")&lt;&gt;"",L309&amp;""&lt;&gt;"",L309&amp;""=Seating!$I$3&amp;"",B309&lt;&gt;"Declined"),1,0)</f>
        <v/>
      </c>
      <c r="AJ309" s="32">
        <f>N(AJ308)+AI309</f>
        <v/>
      </c>
      <c r="AK309" s="32">
        <f>IF(AI309=1,AJ309,"")</f>
        <v/>
      </c>
    </row>
    <row r="310">
      <c r="A310" s="10" t="n"/>
      <c r="B310" s="47">
        <f>IF(TRIM(A310&amp;"")="","",IF(W310&lt;&gt;"",W310,IF(I310="","Awaiting",I310)))</f>
        <v/>
      </c>
      <c r="C310" s="60">
        <f>IF(OR(B310="Awaiting",B310="Not sure yet"),IF(AD310&lt;&gt;"",HYPERLINK(AD310,"💬 Remind"),"add mobile"),"")</f>
        <v/>
      </c>
      <c r="D310" s="58" t="n"/>
      <c r="E310" s="10" t="n"/>
      <c r="F310" s="10" t="n"/>
      <c r="G310" s="10" t="n"/>
      <c r="H310" s="10" t="n"/>
      <c r="I310" s="10" t="n"/>
      <c r="J310" s="10" t="n"/>
      <c r="K310" s="10" t="n"/>
      <c r="L310" s="56" t="n"/>
      <c r="M310" s="10" t="n"/>
      <c r="N310" s="12" t="n"/>
      <c r="O310" s="10" t="n"/>
      <c r="P310" s="10" t="n"/>
      <c r="Q310" s="61">
        <f>IF(V310="","",IF(T310="","Covered by "&amp;INDEX('Form Calc'!$B:$B,V310)&amp;"'s reply (same party)","Replied "&amp;TEXT(INDEX('Form Calc'!$A:$A,T310),"mm/dd")&amp;" · "&amp;INDEX('Form Calc'!$H:$H,T310)&amp;" adult(s), "&amp;INDEX('Form Calc'!$I:$I,T310)&amp;" child(ren)"&amp;IF(INDEX('Form Calc'!$K:$K,T310)&lt;&gt;""," · "&amp;INDEX('Form Calc'!$K:$K,T310),"")&amp;IF(INDEX('Form Calc'!$M:$M,T310)&lt;&gt;""," · “"&amp;INDEX('Form Calc'!$M:$M,T310)&amp;"”","")))</f>
        <v/>
      </c>
      <c r="R310" s="32">
        <f>SUBSTITUTE(SUBSTITUTE(SUBSTITUTE(SUBSTITUTE(SUBSTITUTE(SUBSTITUTE(SUBSTITUTE(SUBSTITUTE(D310&amp;""," ",""),"-",""),"(",""),")",""),".",""),"+",""),"/",""),CHAR(160),"")</f>
        <v/>
      </c>
      <c r="S310" s="32">
        <f>IF(LEN(R310)&gt;=10,RIGHT(R310,10),R310)</f>
        <v/>
      </c>
      <c r="T310" s="32">
        <f>IF(TRIM(A310&amp;"")="","",IF(S310&lt;&gt;"",IFERROR(MATCH(S310,'Form Calc'!$P:$P,0),IFERROR(MATCH(TRIM(A310&amp;""),'Form Calc'!$Q:$Q,0),"")),IFERROR(MATCH(TRIM(A310&amp;""),'Form Calc'!$Q:$Q,0),"")))</f>
        <v/>
      </c>
      <c r="U310" s="32">
        <f>IF(AND(T310&lt;&gt;"",TRIM(E310&amp;"")&lt;&gt;""),TRIM(E310&amp;""),"")</f>
        <v/>
      </c>
      <c r="V310" s="32">
        <f>IF(TRIM(A310&amp;"")="","",IF(T310&lt;&gt;"",T310,IF(TRIM(E310&amp;"")="","",IFERROR(INDEX($T$6:$T$505,MATCH(TRIM(E310&amp;""),$U$6:$U$505,0)),""))))</f>
        <v/>
      </c>
      <c r="W310" s="32">
        <f>IF(V310="","",INDEX('Form Calc'!$G:$G,V310))</f>
        <v/>
      </c>
      <c r="X310" s="32">
        <f>IF(TRIM(A310&amp;"")="","",IF(T310&lt;&gt;"",IF(INDEX('Form Calc'!$K:$K,T310)&lt;&gt;"",INDEX('Form Calc'!$K:$K,T310),J310&amp;""),J310&amp;""))</f>
        <v/>
      </c>
      <c r="Y310" s="32">
        <f>IF(TRIM(A310&amp;"")="","",IF(TRIM(D310&amp;"")&lt;&gt;"",TRIM(D310&amp;""),IF(T310&lt;&gt;"",INDEX('Form Calc'!$C:$C,T310)&amp;"","")))</f>
        <v/>
      </c>
      <c r="Z310" s="32">
        <f>SUBSTITUTE(SUBSTITUTE(SUBSTITUTE(SUBSTITUTE(SUBSTITUTE(SUBSTITUTE(SUBSTITUTE(SUBSTITUTE(Y310," ",""),"-",""),"(",""),")",""),".",""),"+",""),"/",""),CHAR(160),"")</f>
        <v/>
      </c>
      <c r="AA310" s="32">
        <f>IF(Z310="","",IF(LEN(Z310)=10,"+1"&amp;Z310,IF(AND(LEN(Z310)=11,LEFT(Z310,1)="1"),"+"&amp;Z310,IF(LEFT(Y310,1)="+","+"&amp;Z310,Z310))))</f>
        <v/>
      </c>
      <c r="AB310" s="32">
        <f>IF(TRIM(A310&amp;"")="","",IF(TRIM(M310&amp;"")&lt;&gt;"",TRIM(M310&amp;""),IFERROR(LEFT(TRIM(A310&amp;""),FIND(" ",TRIM(A310&amp;""))-1),TRIM(A310&amp;""))))</f>
        <v/>
      </c>
      <c r="AC310" s="32">
        <f>SUBSTITUTE(SUBSTITUTE(SUBSTITUTE(SUBSTITUTE(SUBSTITUTE(SUBSTITUTE(SUBSTITUTE(SUBSTITUTE(SUBSTITUTE(SUBSTITUTE(AB310,"%","%25"),"&amp;","%26"),"#","%23"),"+","%2B"),"=","%3D"),"?","%3F"),CHAR(34),"%22"),CHAR(10),"%0A"),CHAR(13),"")," ","+")</f>
        <v/>
      </c>
      <c r="AD310" s="32">
        <f>IF(OR(AA310="",AB310=""),"",'Start Here'!$B$20&amp;"#p="&amp;SUBSTITUTE(AA310,"+","%2B")&amp;"&amp;n="&amp;AC310&amp;"&amp;m="&amp;SUBSTITUTE('Start Here'!$B$24,"{name}",AC310))</f>
        <v/>
      </c>
      <c r="AE310" s="32">
        <f>LEN(AD310)</f>
        <v/>
      </c>
      <c r="AF310" s="32">
        <f>IF(AND(TRIM(A310&amp;"")&lt;&gt;"",OR(B310="Awaiting",B310="Not sure yet")),1,0)</f>
        <v/>
      </c>
      <c r="AG310" s="32">
        <f>N(AG309)+AF310</f>
        <v/>
      </c>
      <c r="AH310" s="32">
        <f>IF(AF310=1,AG310,"")</f>
        <v/>
      </c>
      <c r="AI310" s="32">
        <f>IF(AND(TRIM(A310&amp;"")&lt;&gt;"",L310&amp;""&lt;&gt;"",L310&amp;""=Seating!$I$3&amp;"",B310&lt;&gt;"Declined"),1,0)</f>
        <v/>
      </c>
      <c r="AJ310" s="32">
        <f>N(AJ309)+AI310</f>
        <v/>
      </c>
      <c r="AK310" s="32">
        <f>IF(AI310=1,AJ310,"")</f>
        <v/>
      </c>
    </row>
    <row r="311">
      <c r="A311" s="10" t="n"/>
      <c r="B311" s="47">
        <f>IF(TRIM(A311&amp;"")="","",IF(W311&lt;&gt;"",W311,IF(I311="","Awaiting",I311)))</f>
        <v/>
      </c>
      <c r="C311" s="60">
        <f>IF(OR(B311="Awaiting",B311="Not sure yet"),IF(AD311&lt;&gt;"",HYPERLINK(AD311,"💬 Remind"),"add mobile"),"")</f>
        <v/>
      </c>
      <c r="D311" s="58" t="n"/>
      <c r="E311" s="10" t="n"/>
      <c r="F311" s="10" t="n"/>
      <c r="G311" s="10" t="n"/>
      <c r="H311" s="10" t="n"/>
      <c r="I311" s="10" t="n"/>
      <c r="J311" s="10" t="n"/>
      <c r="K311" s="10" t="n"/>
      <c r="L311" s="56" t="n"/>
      <c r="M311" s="10" t="n"/>
      <c r="N311" s="12" t="n"/>
      <c r="O311" s="10" t="n"/>
      <c r="P311" s="10" t="n"/>
      <c r="Q311" s="61">
        <f>IF(V311="","",IF(T311="","Covered by "&amp;INDEX('Form Calc'!$B:$B,V311)&amp;"'s reply (same party)","Replied "&amp;TEXT(INDEX('Form Calc'!$A:$A,T311),"mm/dd")&amp;" · "&amp;INDEX('Form Calc'!$H:$H,T311)&amp;" adult(s), "&amp;INDEX('Form Calc'!$I:$I,T311)&amp;" child(ren)"&amp;IF(INDEX('Form Calc'!$K:$K,T311)&lt;&gt;""," · "&amp;INDEX('Form Calc'!$K:$K,T311),"")&amp;IF(INDEX('Form Calc'!$M:$M,T311)&lt;&gt;""," · “"&amp;INDEX('Form Calc'!$M:$M,T311)&amp;"”","")))</f>
        <v/>
      </c>
      <c r="R311" s="32">
        <f>SUBSTITUTE(SUBSTITUTE(SUBSTITUTE(SUBSTITUTE(SUBSTITUTE(SUBSTITUTE(SUBSTITUTE(SUBSTITUTE(D311&amp;""," ",""),"-",""),"(",""),")",""),".",""),"+",""),"/",""),CHAR(160),"")</f>
        <v/>
      </c>
      <c r="S311" s="32">
        <f>IF(LEN(R311)&gt;=10,RIGHT(R311,10),R311)</f>
        <v/>
      </c>
      <c r="T311" s="32">
        <f>IF(TRIM(A311&amp;"")="","",IF(S311&lt;&gt;"",IFERROR(MATCH(S311,'Form Calc'!$P:$P,0),IFERROR(MATCH(TRIM(A311&amp;""),'Form Calc'!$Q:$Q,0),"")),IFERROR(MATCH(TRIM(A311&amp;""),'Form Calc'!$Q:$Q,0),"")))</f>
        <v/>
      </c>
      <c r="U311" s="32">
        <f>IF(AND(T311&lt;&gt;"",TRIM(E311&amp;"")&lt;&gt;""),TRIM(E311&amp;""),"")</f>
        <v/>
      </c>
      <c r="V311" s="32">
        <f>IF(TRIM(A311&amp;"")="","",IF(T311&lt;&gt;"",T311,IF(TRIM(E311&amp;"")="","",IFERROR(INDEX($T$6:$T$505,MATCH(TRIM(E311&amp;""),$U$6:$U$505,0)),""))))</f>
        <v/>
      </c>
      <c r="W311" s="32">
        <f>IF(V311="","",INDEX('Form Calc'!$G:$G,V311))</f>
        <v/>
      </c>
      <c r="X311" s="32">
        <f>IF(TRIM(A311&amp;"")="","",IF(T311&lt;&gt;"",IF(INDEX('Form Calc'!$K:$K,T311)&lt;&gt;"",INDEX('Form Calc'!$K:$K,T311),J311&amp;""),J311&amp;""))</f>
        <v/>
      </c>
      <c r="Y311" s="32">
        <f>IF(TRIM(A311&amp;"")="","",IF(TRIM(D311&amp;"")&lt;&gt;"",TRIM(D311&amp;""),IF(T311&lt;&gt;"",INDEX('Form Calc'!$C:$C,T311)&amp;"","")))</f>
        <v/>
      </c>
      <c r="Z311" s="32">
        <f>SUBSTITUTE(SUBSTITUTE(SUBSTITUTE(SUBSTITUTE(SUBSTITUTE(SUBSTITUTE(SUBSTITUTE(SUBSTITUTE(Y311," ",""),"-",""),"(",""),")",""),".",""),"+",""),"/",""),CHAR(160),"")</f>
        <v/>
      </c>
      <c r="AA311" s="32">
        <f>IF(Z311="","",IF(LEN(Z311)=10,"+1"&amp;Z311,IF(AND(LEN(Z311)=11,LEFT(Z311,1)="1"),"+"&amp;Z311,IF(LEFT(Y311,1)="+","+"&amp;Z311,Z311))))</f>
        <v/>
      </c>
      <c r="AB311" s="32">
        <f>IF(TRIM(A311&amp;"")="","",IF(TRIM(M311&amp;"")&lt;&gt;"",TRIM(M311&amp;""),IFERROR(LEFT(TRIM(A311&amp;""),FIND(" ",TRIM(A311&amp;""))-1),TRIM(A311&amp;""))))</f>
        <v/>
      </c>
      <c r="AC311" s="32">
        <f>SUBSTITUTE(SUBSTITUTE(SUBSTITUTE(SUBSTITUTE(SUBSTITUTE(SUBSTITUTE(SUBSTITUTE(SUBSTITUTE(SUBSTITUTE(SUBSTITUTE(AB311,"%","%25"),"&amp;","%26"),"#","%23"),"+","%2B"),"=","%3D"),"?","%3F"),CHAR(34),"%22"),CHAR(10),"%0A"),CHAR(13),"")," ","+")</f>
        <v/>
      </c>
      <c r="AD311" s="32">
        <f>IF(OR(AA311="",AB311=""),"",'Start Here'!$B$20&amp;"#p="&amp;SUBSTITUTE(AA311,"+","%2B")&amp;"&amp;n="&amp;AC311&amp;"&amp;m="&amp;SUBSTITUTE('Start Here'!$B$24,"{name}",AC311))</f>
        <v/>
      </c>
      <c r="AE311" s="32">
        <f>LEN(AD311)</f>
        <v/>
      </c>
      <c r="AF311" s="32">
        <f>IF(AND(TRIM(A311&amp;"")&lt;&gt;"",OR(B311="Awaiting",B311="Not sure yet")),1,0)</f>
        <v/>
      </c>
      <c r="AG311" s="32">
        <f>N(AG310)+AF311</f>
        <v/>
      </c>
      <c r="AH311" s="32">
        <f>IF(AF311=1,AG311,"")</f>
        <v/>
      </c>
      <c r="AI311" s="32">
        <f>IF(AND(TRIM(A311&amp;"")&lt;&gt;"",L311&amp;""&lt;&gt;"",L311&amp;""=Seating!$I$3&amp;"",B311&lt;&gt;"Declined"),1,0)</f>
        <v/>
      </c>
      <c r="AJ311" s="32">
        <f>N(AJ310)+AI311</f>
        <v/>
      </c>
      <c r="AK311" s="32">
        <f>IF(AI311=1,AJ311,"")</f>
        <v/>
      </c>
    </row>
    <row r="312">
      <c r="A312" s="10" t="n"/>
      <c r="B312" s="47">
        <f>IF(TRIM(A312&amp;"")="","",IF(W312&lt;&gt;"",W312,IF(I312="","Awaiting",I312)))</f>
        <v/>
      </c>
      <c r="C312" s="60">
        <f>IF(OR(B312="Awaiting",B312="Not sure yet"),IF(AD312&lt;&gt;"",HYPERLINK(AD312,"💬 Remind"),"add mobile"),"")</f>
        <v/>
      </c>
      <c r="D312" s="58" t="n"/>
      <c r="E312" s="10" t="n"/>
      <c r="F312" s="10" t="n"/>
      <c r="G312" s="10" t="n"/>
      <c r="H312" s="10" t="n"/>
      <c r="I312" s="10" t="n"/>
      <c r="J312" s="10" t="n"/>
      <c r="K312" s="10" t="n"/>
      <c r="L312" s="56" t="n"/>
      <c r="M312" s="10" t="n"/>
      <c r="N312" s="12" t="n"/>
      <c r="O312" s="10" t="n"/>
      <c r="P312" s="10" t="n"/>
      <c r="Q312" s="61">
        <f>IF(V312="","",IF(T312="","Covered by "&amp;INDEX('Form Calc'!$B:$B,V312)&amp;"'s reply (same party)","Replied "&amp;TEXT(INDEX('Form Calc'!$A:$A,T312),"mm/dd")&amp;" · "&amp;INDEX('Form Calc'!$H:$H,T312)&amp;" adult(s), "&amp;INDEX('Form Calc'!$I:$I,T312)&amp;" child(ren)"&amp;IF(INDEX('Form Calc'!$K:$K,T312)&lt;&gt;""," · "&amp;INDEX('Form Calc'!$K:$K,T312),"")&amp;IF(INDEX('Form Calc'!$M:$M,T312)&lt;&gt;""," · “"&amp;INDEX('Form Calc'!$M:$M,T312)&amp;"”","")))</f>
        <v/>
      </c>
      <c r="R312" s="32">
        <f>SUBSTITUTE(SUBSTITUTE(SUBSTITUTE(SUBSTITUTE(SUBSTITUTE(SUBSTITUTE(SUBSTITUTE(SUBSTITUTE(D312&amp;""," ",""),"-",""),"(",""),")",""),".",""),"+",""),"/",""),CHAR(160),"")</f>
        <v/>
      </c>
      <c r="S312" s="32">
        <f>IF(LEN(R312)&gt;=10,RIGHT(R312,10),R312)</f>
        <v/>
      </c>
      <c r="T312" s="32">
        <f>IF(TRIM(A312&amp;"")="","",IF(S312&lt;&gt;"",IFERROR(MATCH(S312,'Form Calc'!$P:$P,0),IFERROR(MATCH(TRIM(A312&amp;""),'Form Calc'!$Q:$Q,0),"")),IFERROR(MATCH(TRIM(A312&amp;""),'Form Calc'!$Q:$Q,0),"")))</f>
        <v/>
      </c>
      <c r="U312" s="32">
        <f>IF(AND(T312&lt;&gt;"",TRIM(E312&amp;"")&lt;&gt;""),TRIM(E312&amp;""),"")</f>
        <v/>
      </c>
      <c r="V312" s="32">
        <f>IF(TRIM(A312&amp;"")="","",IF(T312&lt;&gt;"",T312,IF(TRIM(E312&amp;"")="","",IFERROR(INDEX($T$6:$T$505,MATCH(TRIM(E312&amp;""),$U$6:$U$505,0)),""))))</f>
        <v/>
      </c>
      <c r="W312" s="32">
        <f>IF(V312="","",INDEX('Form Calc'!$G:$G,V312))</f>
        <v/>
      </c>
      <c r="X312" s="32">
        <f>IF(TRIM(A312&amp;"")="","",IF(T312&lt;&gt;"",IF(INDEX('Form Calc'!$K:$K,T312)&lt;&gt;"",INDEX('Form Calc'!$K:$K,T312),J312&amp;""),J312&amp;""))</f>
        <v/>
      </c>
      <c r="Y312" s="32">
        <f>IF(TRIM(A312&amp;"")="","",IF(TRIM(D312&amp;"")&lt;&gt;"",TRIM(D312&amp;""),IF(T312&lt;&gt;"",INDEX('Form Calc'!$C:$C,T312)&amp;"","")))</f>
        <v/>
      </c>
      <c r="Z312" s="32">
        <f>SUBSTITUTE(SUBSTITUTE(SUBSTITUTE(SUBSTITUTE(SUBSTITUTE(SUBSTITUTE(SUBSTITUTE(SUBSTITUTE(Y312," ",""),"-",""),"(",""),")",""),".",""),"+",""),"/",""),CHAR(160),"")</f>
        <v/>
      </c>
      <c r="AA312" s="32">
        <f>IF(Z312="","",IF(LEN(Z312)=10,"+1"&amp;Z312,IF(AND(LEN(Z312)=11,LEFT(Z312,1)="1"),"+"&amp;Z312,IF(LEFT(Y312,1)="+","+"&amp;Z312,Z312))))</f>
        <v/>
      </c>
      <c r="AB312" s="32">
        <f>IF(TRIM(A312&amp;"")="","",IF(TRIM(M312&amp;"")&lt;&gt;"",TRIM(M312&amp;""),IFERROR(LEFT(TRIM(A312&amp;""),FIND(" ",TRIM(A312&amp;""))-1),TRIM(A312&amp;""))))</f>
        <v/>
      </c>
      <c r="AC312" s="32">
        <f>SUBSTITUTE(SUBSTITUTE(SUBSTITUTE(SUBSTITUTE(SUBSTITUTE(SUBSTITUTE(SUBSTITUTE(SUBSTITUTE(SUBSTITUTE(SUBSTITUTE(AB312,"%","%25"),"&amp;","%26"),"#","%23"),"+","%2B"),"=","%3D"),"?","%3F"),CHAR(34),"%22"),CHAR(10),"%0A"),CHAR(13),"")," ","+")</f>
        <v/>
      </c>
      <c r="AD312" s="32">
        <f>IF(OR(AA312="",AB312=""),"",'Start Here'!$B$20&amp;"#p="&amp;SUBSTITUTE(AA312,"+","%2B")&amp;"&amp;n="&amp;AC312&amp;"&amp;m="&amp;SUBSTITUTE('Start Here'!$B$24,"{name}",AC312))</f>
        <v/>
      </c>
      <c r="AE312" s="32">
        <f>LEN(AD312)</f>
        <v/>
      </c>
      <c r="AF312" s="32">
        <f>IF(AND(TRIM(A312&amp;"")&lt;&gt;"",OR(B312="Awaiting",B312="Not sure yet")),1,0)</f>
        <v/>
      </c>
      <c r="AG312" s="32">
        <f>N(AG311)+AF312</f>
        <v/>
      </c>
      <c r="AH312" s="32">
        <f>IF(AF312=1,AG312,"")</f>
        <v/>
      </c>
      <c r="AI312" s="32">
        <f>IF(AND(TRIM(A312&amp;"")&lt;&gt;"",L312&amp;""&lt;&gt;"",L312&amp;""=Seating!$I$3&amp;"",B312&lt;&gt;"Declined"),1,0)</f>
        <v/>
      </c>
      <c r="AJ312" s="32">
        <f>N(AJ311)+AI312</f>
        <v/>
      </c>
      <c r="AK312" s="32">
        <f>IF(AI312=1,AJ312,"")</f>
        <v/>
      </c>
    </row>
    <row r="313">
      <c r="A313" s="10" t="n"/>
      <c r="B313" s="47">
        <f>IF(TRIM(A313&amp;"")="","",IF(W313&lt;&gt;"",W313,IF(I313="","Awaiting",I313)))</f>
        <v/>
      </c>
      <c r="C313" s="60">
        <f>IF(OR(B313="Awaiting",B313="Not sure yet"),IF(AD313&lt;&gt;"",HYPERLINK(AD313,"💬 Remind"),"add mobile"),"")</f>
        <v/>
      </c>
      <c r="D313" s="58" t="n"/>
      <c r="E313" s="10" t="n"/>
      <c r="F313" s="10" t="n"/>
      <c r="G313" s="10" t="n"/>
      <c r="H313" s="10" t="n"/>
      <c r="I313" s="10" t="n"/>
      <c r="J313" s="10" t="n"/>
      <c r="K313" s="10" t="n"/>
      <c r="L313" s="56" t="n"/>
      <c r="M313" s="10" t="n"/>
      <c r="N313" s="12" t="n"/>
      <c r="O313" s="10" t="n"/>
      <c r="P313" s="10" t="n"/>
      <c r="Q313" s="61">
        <f>IF(V313="","",IF(T313="","Covered by "&amp;INDEX('Form Calc'!$B:$B,V313)&amp;"'s reply (same party)","Replied "&amp;TEXT(INDEX('Form Calc'!$A:$A,T313),"mm/dd")&amp;" · "&amp;INDEX('Form Calc'!$H:$H,T313)&amp;" adult(s), "&amp;INDEX('Form Calc'!$I:$I,T313)&amp;" child(ren)"&amp;IF(INDEX('Form Calc'!$K:$K,T313)&lt;&gt;""," · "&amp;INDEX('Form Calc'!$K:$K,T313),"")&amp;IF(INDEX('Form Calc'!$M:$M,T313)&lt;&gt;""," · “"&amp;INDEX('Form Calc'!$M:$M,T313)&amp;"”","")))</f>
        <v/>
      </c>
      <c r="R313" s="32">
        <f>SUBSTITUTE(SUBSTITUTE(SUBSTITUTE(SUBSTITUTE(SUBSTITUTE(SUBSTITUTE(SUBSTITUTE(SUBSTITUTE(D313&amp;""," ",""),"-",""),"(",""),")",""),".",""),"+",""),"/",""),CHAR(160),"")</f>
        <v/>
      </c>
      <c r="S313" s="32">
        <f>IF(LEN(R313)&gt;=10,RIGHT(R313,10),R313)</f>
        <v/>
      </c>
      <c r="T313" s="32">
        <f>IF(TRIM(A313&amp;"")="","",IF(S313&lt;&gt;"",IFERROR(MATCH(S313,'Form Calc'!$P:$P,0),IFERROR(MATCH(TRIM(A313&amp;""),'Form Calc'!$Q:$Q,0),"")),IFERROR(MATCH(TRIM(A313&amp;""),'Form Calc'!$Q:$Q,0),"")))</f>
        <v/>
      </c>
      <c r="U313" s="32">
        <f>IF(AND(T313&lt;&gt;"",TRIM(E313&amp;"")&lt;&gt;""),TRIM(E313&amp;""),"")</f>
        <v/>
      </c>
      <c r="V313" s="32">
        <f>IF(TRIM(A313&amp;"")="","",IF(T313&lt;&gt;"",T313,IF(TRIM(E313&amp;"")="","",IFERROR(INDEX($T$6:$T$505,MATCH(TRIM(E313&amp;""),$U$6:$U$505,0)),""))))</f>
        <v/>
      </c>
      <c r="W313" s="32">
        <f>IF(V313="","",INDEX('Form Calc'!$G:$G,V313))</f>
        <v/>
      </c>
      <c r="X313" s="32">
        <f>IF(TRIM(A313&amp;"")="","",IF(T313&lt;&gt;"",IF(INDEX('Form Calc'!$K:$K,T313)&lt;&gt;"",INDEX('Form Calc'!$K:$K,T313),J313&amp;""),J313&amp;""))</f>
        <v/>
      </c>
      <c r="Y313" s="32">
        <f>IF(TRIM(A313&amp;"")="","",IF(TRIM(D313&amp;"")&lt;&gt;"",TRIM(D313&amp;""),IF(T313&lt;&gt;"",INDEX('Form Calc'!$C:$C,T313)&amp;"","")))</f>
        <v/>
      </c>
      <c r="Z313" s="32">
        <f>SUBSTITUTE(SUBSTITUTE(SUBSTITUTE(SUBSTITUTE(SUBSTITUTE(SUBSTITUTE(SUBSTITUTE(SUBSTITUTE(Y313," ",""),"-",""),"(",""),")",""),".",""),"+",""),"/",""),CHAR(160),"")</f>
        <v/>
      </c>
      <c r="AA313" s="32">
        <f>IF(Z313="","",IF(LEN(Z313)=10,"+1"&amp;Z313,IF(AND(LEN(Z313)=11,LEFT(Z313,1)="1"),"+"&amp;Z313,IF(LEFT(Y313,1)="+","+"&amp;Z313,Z313))))</f>
        <v/>
      </c>
      <c r="AB313" s="32">
        <f>IF(TRIM(A313&amp;"")="","",IF(TRIM(M313&amp;"")&lt;&gt;"",TRIM(M313&amp;""),IFERROR(LEFT(TRIM(A313&amp;""),FIND(" ",TRIM(A313&amp;""))-1),TRIM(A313&amp;""))))</f>
        <v/>
      </c>
      <c r="AC313" s="32">
        <f>SUBSTITUTE(SUBSTITUTE(SUBSTITUTE(SUBSTITUTE(SUBSTITUTE(SUBSTITUTE(SUBSTITUTE(SUBSTITUTE(SUBSTITUTE(SUBSTITUTE(AB313,"%","%25"),"&amp;","%26"),"#","%23"),"+","%2B"),"=","%3D"),"?","%3F"),CHAR(34),"%22"),CHAR(10),"%0A"),CHAR(13),"")," ","+")</f>
        <v/>
      </c>
      <c r="AD313" s="32">
        <f>IF(OR(AA313="",AB313=""),"",'Start Here'!$B$20&amp;"#p="&amp;SUBSTITUTE(AA313,"+","%2B")&amp;"&amp;n="&amp;AC313&amp;"&amp;m="&amp;SUBSTITUTE('Start Here'!$B$24,"{name}",AC313))</f>
        <v/>
      </c>
      <c r="AE313" s="32">
        <f>LEN(AD313)</f>
        <v/>
      </c>
      <c r="AF313" s="32">
        <f>IF(AND(TRIM(A313&amp;"")&lt;&gt;"",OR(B313="Awaiting",B313="Not sure yet")),1,0)</f>
        <v/>
      </c>
      <c r="AG313" s="32">
        <f>N(AG312)+AF313</f>
        <v/>
      </c>
      <c r="AH313" s="32">
        <f>IF(AF313=1,AG313,"")</f>
        <v/>
      </c>
      <c r="AI313" s="32">
        <f>IF(AND(TRIM(A313&amp;"")&lt;&gt;"",L313&amp;""&lt;&gt;"",L313&amp;""=Seating!$I$3&amp;"",B313&lt;&gt;"Declined"),1,0)</f>
        <v/>
      </c>
      <c r="AJ313" s="32">
        <f>N(AJ312)+AI313</f>
        <v/>
      </c>
      <c r="AK313" s="32">
        <f>IF(AI313=1,AJ313,"")</f>
        <v/>
      </c>
    </row>
    <row r="314">
      <c r="A314" s="10" t="n"/>
      <c r="B314" s="47">
        <f>IF(TRIM(A314&amp;"")="","",IF(W314&lt;&gt;"",W314,IF(I314="","Awaiting",I314)))</f>
        <v/>
      </c>
      <c r="C314" s="60">
        <f>IF(OR(B314="Awaiting",B314="Not sure yet"),IF(AD314&lt;&gt;"",HYPERLINK(AD314,"💬 Remind"),"add mobile"),"")</f>
        <v/>
      </c>
      <c r="D314" s="58" t="n"/>
      <c r="E314" s="10" t="n"/>
      <c r="F314" s="10" t="n"/>
      <c r="G314" s="10" t="n"/>
      <c r="H314" s="10" t="n"/>
      <c r="I314" s="10" t="n"/>
      <c r="J314" s="10" t="n"/>
      <c r="K314" s="10" t="n"/>
      <c r="L314" s="56" t="n"/>
      <c r="M314" s="10" t="n"/>
      <c r="N314" s="12" t="n"/>
      <c r="O314" s="10" t="n"/>
      <c r="P314" s="10" t="n"/>
      <c r="Q314" s="61">
        <f>IF(V314="","",IF(T314="","Covered by "&amp;INDEX('Form Calc'!$B:$B,V314)&amp;"'s reply (same party)","Replied "&amp;TEXT(INDEX('Form Calc'!$A:$A,T314),"mm/dd")&amp;" · "&amp;INDEX('Form Calc'!$H:$H,T314)&amp;" adult(s), "&amp;INDEX('Form Calc'!$I:$I,T314)&amp;" child(ren)"&amp;IF(INDEX('Form Calc'!$K:$K,T314)&lt;&gt;""," · "&amp;INDEX('Form Calc'!$K:$K,T314),"")&amp;IF(INDEX('Form Calc'!$M:$M,T314)&lt;&gt;""," · “"&amp;INDEX('Form Calc'!$M:$M,T314)&amp;"”","")))</f>
        <v/>
      </c>
      <c r="R314" s="32">
        <f>SUBSTITUTE(SUBSTITUTE(SUBSTITUTE(SUBSTITUTE(SUBSTITUTE(SUBSTITUTE(SUBSTITUTE(SUBSTITUTE(D314&amp;""," ",""),"-",""),"(",""),")",""),".",""),"+",""),"/",""),CHAR(160),"")</f>
        <v/>
      </c>
      <c r="S314" s="32">
        <f>IF(LEN(R314)&gt;=10,RIGHT(R314,10),R314)</f>
        <v/>
      </c>
      <c r="T314" s="32">
        <f>IF(TRIM(A314&amp;"")="","",IF(S314&lt;&gt;"",IFERROR(MATCH(S314,'Form Calc'!$P:$P,0),IFERROR(MATCH(TRIM(A314&amp;""),'Form Calc'!$Q:$Q,0),"")),IFERROR(MATCH(TRIM(A314&amp;""),'Form Calc'!$Q:$Q,0),"")))</f>
        <v/>
      </c>
      <c r="U314" s="32">
        <f>IF(AND(T314&lt;&gt;"",TRIM(E314&amp;"")&lt;&gt;""),TRIM(E314&amp;""),"")</f>
        <v/>
      </c>
      <c r="V314" s="32">
        <f>IF(TRIM(A314&amp;"")="","",IF(T314&lt;&gt;"",T314,IF(TRIM(E314&amp;"")="","",IFERROR(INDEX($T$6:$T$505,MATCH(TRIM(E314&amp;""),$U$6:$U$505,0)),""))))</f>
        <v/>
      </c>
      <c r="W314" s="32">
        <f>IF(V314="","",INDEX('Form Calc'!$G:$G,V314))</f>
        <v/>
      </c>
      <c r="X314" s="32">
        <f>IF(TRIM(A314&amp;"")="","",IF(T314&lt;&gt;"",IF(INDEX('Form Calc'!$K:$K,T314)&lt;&gt;"",INDEX('Form Calc'!$K:$K,T314),J314&amp;""),J314&amp;""))</f>
        <v/>
      </c>
      <c r="Y314" s="32">
        <f>IF(TRIM(A314&amp;"")="","",IF(TRIM(D314&amp;"")&lt;&gt;"",TRIM(D314&amp;""),IF(T314&lt;&gt;"",INDEX('Form Calc'!$C:$C,T314)&amp;"","")))</f>
        <v/>
      </c>
      <c r="Z314" s="32">
        <f>SUBSTITUTE(SUBSTITUTE(SUBSTITUTE(SUBSTITUTE(SUBSTITUTE(SUBSTITUTE(SUBSTITUTE(SUBSTITUTE(Y314," ",""),"-",""),"(",""),")",""),".",""),"+",""),"/",""),CHAR(160),"")</f>
        <v/>
      </c>
      <c r="AA314" s="32">
        <f>IF(Z314="","",IF(LEN(Z314)=10,"+1"&amp;Z314,IF(AND(LEN(Z314)=11,LEFT(Z314,1)="1"),"+"&amp;Z314,IF(LEFT(Y314,1)="+","+"&amp;Z314,Z314))))</f>
        <v/>
      </c>
      <c r="AB314" s="32">
        <f>IF(TRIM(A314&amp;"")="","",IF(TRIM(M314&amp;"")&lt;&gt;"",TRIM(M314&amp;""),IFERROR(LEFT(TRIM(A314&amp;""),FIND(" ",TRIM(A314&amp;""))-1),TRIM(A314&amp;""))))</f>
        <v/>
      </c>
      <c r="AC314" s="32">
        <f>SUBSTITUTE(SUBSTITUTE(SUBSTITUTE(SUBSTITUTE(SUBSTITUTE(SUBSTITUTE(SUBSTITUTE(SUBSTITUTE(SUBSTITUTE(SUBSTITUTE(AB314,"%","%25"),"&amp;","%26"),"#","%23"),"+","%2B"),"=","%3D"),"?","%3F"),CHAR(34),"%22"),CHAR(10),"%0A"),CHAR(13),"")," ","+")</f>
        <v/>
      </c>
      <c r="AD314" s="32">
        <f>IF(OR(AA314="",AB314=""),"",'Start Here'!$B$20&amp;"#p="&amp;SUBSTITUTE(AA314,"+","%2B")&amp;"&amp;n="&amp;AC314&amp;"&amp;m="&amp;SUBSTITUTE('Start Here'!$B$24,"{name}",AC314))</f>
        <v/>
      </c>
      <c r="AE314" s="32">
        <f>LEN(AD314)</f>
        <v/>
      </c>
      <c r="AF314" s="32">
        <f>IF(AND(TRIM(A314&amp;"")&lt;&gt;"",OR(B314="Awaiting",B314="Not sure yet")),1,0)</f>
        <v/>
      </c>
      <c r="AG314" s="32">
        <f>N(AG313)+AF314</f>
        <v/>
      </c>
      <c r="AH314" s="32">
        <f>IF(AF314=1,AG314,"")</f>
        <v/>
      </c>
      <c r="AI314" s="32">
        <f>IF(AND(TRIM(A314&amp;"")&lt;&gt;"",L314&amp;""&lt;&gt;"",L314&amp;""=Seating!$I$3&amp;"",B314&lt;&gt;"Declined"),1,0)</f>
        <v/>
      </c>
      <c r="AJ314" s="32">
        <f>N(AJ313)+AI314</f>
        <v/>
      </c>
      <c r="AK314" s="32">
        <f>IF(AI314=1,AJ314,"")</f>
        <v/>
      </c>
    </row>
    <row r="315">
      <c r="A315" s="10" t="n"/>
      <c r="B315" s="47">
        <f>IF(TRIM(A315&amp;"")="","",IF(W315&lt;&gt;"",W315,IF(I315="","Awaiting",I315)))</f>
        <v/>
      </c>
      <c r="C315" s="60">
        <f>IF(OR(B315="Awaiting",B315="Not sure yet"),IF(AD315&lt;&gt;"",HYPERLINK(AD315,"💬 Remind"),"add mobile"),"")</f>
        <v/>
      </c>
      <c r="D315" s="58" t="n"/>
      <c r="E315" s="10" t="n"/>
      <c r="F315" s="10" t="n"/>
      <c r="G315" s="10" t="n"/>
      <c r="H315" s="10" t="n"/>
      <c r="I315" s="10" t="n"/>
      <c r="J315" s="10" t="n"/>
      <c r="K315" s="10" t="n"/>
      <c r="L315" s="56" t="n"/>
      <c r="M315" s="10" t="n"/>
      <c r="N315" s="12" t="n"/>
      <c r="O315" s="10" t="n"/>
      <c r="P315" s="10" t="n"/>
      <c r="Q315" s="61">
        <f>IF(V315="","",IF(T315="","Covered by "&amp;INDEX('Form Calc'!$B:$B,V315)&amp;"'s reply (same party)","Replied "&amp;TEXT(INDEX('Form Calc'!$A:$A,T315),"mm/dd")&amp;" · "&amp;INDEX('Form Calc'!$H:$H,T315)&amp;" adult(s), "&amp;INDEX('Form Calc'!$I:$I,T315)&amp;" child(ren)"&amp;IF(INDEX('Form Calc'!$K:$K,T315)&lt;&gt;""," · "&amp;INDEX('Form Calc'!$K:$K,T315),"")&amp;IF(INDEX('Form Calc'!$M:$M,T315)&lt;&gt;""," · “"&amp;INDEX('Form Calc'!$M:$M,T315)&amp;"”","")))</f>
        <v/>
      </c>
      <c r="R315" s="32">
        <f>SUBSTITUTE(SUBSTITUTE(SUBSTITUTE(SUBSTITUTE(SUBSTITUTE(SUBSTITUTE(SUBSTITUTE(SUBSTITUTE(D315&amp;""," ",""),"-",""),"(",""),")",""),".",""),"+",""),"/",""),CHAR(160),"")</f>
        <v/>
      </c>
      <c r="S315" s="32">
        <f>IF(LEN(R315)&gt;=10,RIGHT(R315,10),R315)</f>
        <v/>
      </c>
      <c r="T315" s="32">
        <f>IF(TRIM(A315&amp;"")="","",IF(S315&lt;&gt;"",IFERROR(MATCH(S315,'Form Calc'!$P:$P,0),IFERROR(MATCH(TRIM(A315&amp;""),'Form Calc'!$Q:$Q,0),"")),IFERROR(MATCH(TRIM(A315&amp;""),'Form Calc'!$Q:$Q,0),"")))</f>
        <v/>
      </c>
      <c r="U315" s="32">
        <f>IF(AND(T315&lt;&gt;"",TRIM(E315&amp;"")&lt;&gt;""),TRIM(E315&amp;""),"")</f>
        <v/>
      </c>
      <c r="V315" s="32">
        <f>IF(TRIM(A315&amp;"")="","",IF(T315&lt;&gt;"",T315,IF(TRIM(E315&amp;"")="","",IFERROR(INDEX($T$6:$T$505,MATCH(TRIM(E315&amp;""),$U$6:$U$505,0)),""))))</f>
        <v/>
      </c>
      <c r="W315" s="32">
        <f>IF(V315="","",INDEX('Form Calc'!$G:$G,V315))</f>
        <v/>
      </c>
      <c r="X315" s="32">
        <f>IF(TRIM(A315&amp;"")="","",IF(T315&lt;&gt;"",IF(INDEX('Form Calc'!$K:$K,T315)&lt;&gt;"",INDEX('Form Calc'!$K:$K,T315),J315&amp;""),J315&amp;""))</f>
        <v/>
      </c>
      <c r="Y315" s="32">
        <f>IF(TRIM(A315&amp;"")="","",IF(TRIM(D315&amp;"")&lt;&gt;"",TRIM(D315&amp;""),IF(T315&lt;&gt;"",INDEX('Form Calc'!$C:$C,T315)&amp;"","")))</f>
        <v/>
      </c>
      <c r="Z315" s="32">
        <f>SUBSTITUTE(SUBSTITUTE(SUBSTITUTE(SUBSTITUTE(SUBSTITUTE(SUBSTITUTE(SUBSTITUTE(SUBSTITUTE(Y315," ",""),"-",""),"(",""),")",""),".",""),"+",""),"/",""),CHAR(160),"")</f>
        <v/>
      </c>
      <c r="AA315" s="32">
        <f>IF(Z315="","",IF(LEN(Z315)=10,"+1"&amp;Z315,IF(AND(LEN(Z315)=11,LEFT(Z315,1)="1"),"+"&amp;Z315,IF(LEFT(Y315,1)="+","+"&amp;Z315,Z315))))</f>
        <v/>
      </c>
      <c r="AB315" s="32">
        <f>IF(TRIM(A315&amp;"")="","",IF(TRIM(M315&amp;"")&lt;&gt;"",TRIM(M315&amp;""),IFERROR(LEFT(TRIM(A315&amp;""),FIND(" ",TRIM(A315&amp;""))-1),TRIM(A315&amp;""))))</f>
        <v/>
      </c>
      <c r="AC315" s="32">
        <f>SUBSTITUTE(SUBSTITUTE(SUBSTITUTE(SUBSTITUTE(SUBSTITUTE(SUBSTITUTE(SUBSTITUTE(SUBSTITUTE(SUBSTITUTE(SUBSTITUTE(AB315,"%","%25"),"&amp;","%26"),"#","%23"),"+","%2B"),"=","%3D"),"?","%3F"),CHAR(34),"%22"),CHAR(10),"%0A"),CHAR(13),"")," ","+")</f>
        <v/>
      </c>
      <c r="AD315" s="32">
        <f>IF(OR(AA315="",AB315=""),"",'Start Here'!$B$20&amp;"#p="&amp;SUBSTITUTE(AA315,"+","%2B")&amp;"&amp;n="&amp;AC315&amp;"&amp;m="&amp;SUBSTITUTE('Start Here'!$B$24,"{name}",AC315))</f>
        <v/>
      </c>
      <c r="AE315" s="32">
        <f>LEN(AD315)</f>
        <v/>
      </c>
      <c r="AF315" s="32">
        <f>IF(AND(TRIM(A315&amp;"")&lt;&gt;"",OR(B315="Awaiting",B315="Not sure yet")),1,0)</f>
        <v/>
      </c>
      <c r="AG315" s="32">
        <f>N(AG314)+AF315</f>
        <v/>
      </c>
      <c r="AH315" s="32">
        <f>IF(AF315=1,AG315,"")</f>
        <v/>
      </c>
      <c r="AI315" s="32">
        <f>IF(AND(TRIM(A315&amp;"")&lt;&gt;"",L315&amp;""&lt;&gt;"",L315&amp;""=Seating!$I$3&amp;"",B315&lt;&gt;"Declined"),1,0)</f>
        <v/>
      </c>
      <c r="AJ315" s="32">
        <f>N(AJ314)+AI315</f>
        <v/>
      </c>
      <c r="AK315" s="32">
        <f>IF(AI315=1,AJ315,"")</f>
        <v/>
      </c>
    </row>
    <row r="316">
      <c r="A316" s="10" t="n"/>
      <c r="B316" s="47">
        <f>IF(TRIM(A316&amp;"")="","",IF(W316&lt;&gt;"",W316,IF(I316="","Awaiting",I316)))</f>
        <v/>
      </c>
      <c r="C316" s="60">
        <f>IF(OR(B316="Awaiting",B316="Not sure yet"),IF(AD316&lt;&gt;"",HYPERLINK(AD316,"💬 Remind"),"add mobile"),"")</f>
        <v/>
      </c>
      <c r="D316" s="58" t="n"/>
      <c r="E316" s="10" t="n"/>
      <c r="F316" s="10" t="n"/>
      <c r="G316" s="10" t="n"/>
      <c r="H316" s="10" t="n"/>
      <c r="I316" s="10" t="n"/>
      <c r="J316" s="10" t="n"/>
      <c r="K316" s="10" t="n"/>
      <c r="L316" s="56" t="n"/>
      <c r="M316" s="10" t="n"/>
      <c r="N316" s="12" t="n"/>
      <c r="O316" s="10" t="n"/>
      <c r="P316" s="10" t="n"/>
      <c r="Q316" s="61">
        <f>IF(V316="","",IF(T316="","Covered by "&amp;INDEX('Form Calc'!$B:$B,V316)&amp;"'s reply (same party)","Replied "&amp;TEXT(INDEX('Form Calc'!$A:$A,T316),"mm/dd")&amp;" · "&amp;INDEX('Form Calc'!$H:$H,T316)&amp;" adult(s), "&amp;INDEX('Form Calc'!$I:$I,T316)&amp;" child(ren)"&amp;IF(INDEX('Form Calc'!$K:$K,T316)&lt;&gt;""," · "&amp;INDEX('Form Calc'!$K:$K,T316),"")&amp;IF(INDEX('Form Calc'!$M:$M,T316)&lt;&gt;""," · “"&amp;INDEX('Form Calc'!$M:$M,T316)&amp;"”","")))</f>
        <v/>
      </c>
      <c r="R316" s="32">
        <f>SUBSTITUTE(SUBSTITUTE(SUBSTITUTE(SUBSTITUTE(SUBSTITUTE(SUBSTITUTE(SUBSTITUTE(SUBSTITUTE(D316&amp;""," ",""),"-",""),"(",""),")",""),".",""),"+",""),"/",""),CHAR(160),"")</f>
        <v/>
      </c>
      <c r="S316" s="32">
        <f>IF(LEN(R316)&gt;=10,RIGHT(R316,10),R316)</f>
        <v/>
      </c>
      <c r="T316" s="32">
        <f>IF(TRIM(A316&amp;"")="","",IF(S316&lt;&gt;"",IFERROR(MATCH(S316,'Form Calc'!$P:$P,0),IFERROR(MATCH(TRIM(A316&amp;""),'Form Calc'!$Q:$Q,0),"")),IFERROR(MATCH(TRIM(A316&amp;""),'Form Calc'!$Q:$Q,0),"")))</f>
        <v/>
      </c>
      <c r="U316" s="32">
        <f>IF(AND(T316&lt;&gt;"",TRIM(E316&amp;"")&lt;&gt;""),TRIM(E316&amp;""),"")</f>
        <v/>
      </c>
      <c r="V316" s="32">
        <f>IF(TRIM(A316&amp;"")="","",IF(T316&lt;&gt;"",T316,IF(TRIM(E316&amp;"")="","",IFERROR(INDEX($T$6:$T$505,MATCH(TRIM(E316&amp;""),$U$6:$U$505,0)),""))))</f>
        <v/>
      </c>
      <c r="W316" s="32">
        <f>IF(V316="","",INDEX('Form Calc'!$G:$G,V316))</f>
        <v/>
      </c>
      <c r="X316" s="32">
        <f>IF(TRIM(A316&amp;"")="","",IF(T316&lt;&gt;"",IF(INDEX('Form Calc'!$K:$K,T316)&lt;&gt;"",INDEX('Form Calc'!$K:$K,T316),J316&amp;""),J316&amp;""))</f>
        <v/>
      </c>
      <c r="Y316" s="32">
        <f>IF(TRIM(A316&amp;"")="","",IF(TRIM(D316&amp;"")&lt;&gt;"",TRIM(D316&amp;""),IF(T316&lt;&gt;"",INDEX('Form Calc'!$C:$C,T316)&amp;"","")))</f>
        <v/>
      </c>
      <c r="Z316" s="32">
        <f>SUBSTITUTE(SUBSTITUTE(SUBSTITUTE(SUBSTITUTE(SUBSTITUTE(SUBSTITUTE(SUBSTITUTE(SUBSTITUTE(Y316," ",""),"-",""),"(",""),")",""),".",""),"+",""),"/",""),CHAR(160),"")</f>
        <v/>
      </c>
      <c r="AA316" s="32">
        <f>IF(Z316="","",IF(LEN(Z316)=10,"+1"&amp;Z316,IF(AND(LEN(Z316)=11,LEFT(Z316,1)="1"),"+"&amp;Z316,IF(LEFT(Y316,1)="+","+"&amp;Z316,Z316))))</f>
        <v/>
      </c>
      <c r="AB316" s="32">
        <f>IF(TRIM(A316&amp;"")="","",IF(TRIM(M316&amp;"")&lt;&gt;"",TRIM(M316&amp;""),IFERROR(LEFT(TRIM(A316&amp;""),FIND(" ",TRIM(A316&amp;""))-1),TRIM(A316&amp;""))))</f>
        <v/>
      </c>
      <c r="AC316" s="32">
        <f>SUBSTITUTE(SUBSTITUTE(SUBSTITUTE(SUBSTITUTE(SUBSTITUTE(SUBSTITUTE(SUBSTITUTE(SUBSTITUTE(SUBSTITUTE(SUBSTITUTE(AB316,"%","%25"),"&amp;","%26"),"#","%23"),"+","%2B"),"=","%3D"),"?","%3F"),CHAR(34),"%22"),CHAR(10),"%0A"),CHAR(13),"")," ","+")</f>
        <v/>
      </c>
      <c r="AD316" s="32">
        <f>IF(OR(AA316="",AB316=""),"",'Start Here'!$B$20&amp;"#p="&amp;SUBSTITUTE(AA316,"+","%2B")&amp;"&amp;n="&amp;AC316&amp;"&amp;m="&amp;SUBSTITUTE('Start Here'!$B$24,"{name}",AC316))</f>
        <v/>
      </c>
      <c r="AE316" s="32">
        <f>LEN(AD316)</f>
        <v/>
      </c>
      <c r="AF316" s="32">
        <f>IF(AND(TRIM(A316&amp;"")&lt;&gt;"",OR(B316="Awaiting",B316="Not sure yet")),1,0)</f>
        <v/>
      </c>
      <c r="AG316" s="32">
        <f>N(AG315)+AF316</f>
        <v/>
      </c>
      <c r="AH316" s="32">
        <f>IF(AF316=1,AG316,"")</f>
        <v/>
      </c>
      <c r="AI316" s="32">
        <f>IF(AND(TRIM(A316&amp;"")&lt;&gt;"",L316&amp;""&lt;&gt;"",L316&amp;""=Seating!$I$3&amp;"",B316&lt;&gt;"Declined"),1,0)</f>
        <v/>
      </c>
      <c r="AJ316" s="32">
        <f>N(AJ315)+AI316</f>
        <v/>
      </c>
      <c r="AK316" s="32">
        <f>IF(AI316=1,AJ316,"")</f>
        <v/>
      </c>
    </row>
    <row r="317">
      <c r="A317" s="10" t="n"/>
      <c r="B317" s="47">
        <f>IF(TRIM(A317&amp;"")="","",IF(W317&lt;&gt;"",W317,IF(I317="","Awaiting",I317)))</f>
        <v/>
      </c>
      <c r="C317" s="60">
        <f>IF(OR(B317="Awaiting",B317="Not sure yet"),IF(AD317&lt;&gt;"",HYPERLINK(AD317,"💬 Remind"),"add mobile"),"")</f>
        <v/>
      </c>
      <c r="D317" s="58" t="n"/>
      <c r="E317" s="10" t="n"/>
      <c r="F317" s="10" t="n"/>
      <c r="G317" s="10" t="n"/>
      <c r="H317" s="10" t="n"/>
      <c r="I317" s="10" t="n"/>
      <c r="J317" s="10" t="n"/>
      <c r="K317" s="10" t="n"/>
      <c r="L317" s="56" t="n"/>
      <c r="M317" s="10" t="n"/>
      <c r="N317" s="12" t="n"/>
      <c r="O317" s="10" t="n"/>
      <c r="P317" s="10" t="n"/>
      <c r="Q317" s="61">
        <f>IF(V317="","",IF(T317="","Covered by "&amp;INDEX('Form Calc'!$B:$B,V317)&amp;"'s reply (same party)","Replied "&amp;TEXT(INDEX('Form Calc'!$A:$A,T317),"mm/dd")&amp;" · "&amp;INDEX('Form Calc'!$H:$H,T317)&amp;" adult(s), "&amp;INDEX('Form Calc'!$I:$I,T317)&amp;" child(ren)"&amp;IF(INDEX('Form Calc'!$K:$K,T317)&lt;&gt;""," · "&amp;INDEX('Form Calc'!$K:$K,T317),"")&amp;IF(INDEX('Form Calc'!$M:$M,T317)&lt;&gt;""," · “"&amp;INDEX('Form Calc'!$M:$M,T317)&amp;"”","")))</f>
        <v/>
      </c>
      <c r="R317" s="32">
        <f>SUBSTITUTE(SUBSTITUTE(SUBSTITUTE(SUBSTITUTE(SUBSTITUTE(SUBSTITUTE(SUBSTITUTE(SUBSTITUTE(D317&amp;""," ",""),"-",""),"(",""),")",""),".",""),"+",""),"/",""),CHAR(160),"")</f>
        <v/>
      </c>
      <c r="S317" s="32">
        <f>IF(LEN(R317)&gt;=10,RIGHT(R317,10),R317)</f>
        <v/>
      </c>
      <c r="T317" s="32">
        <f>IF(TRIM(A317&amp;"")="","",IF(S317&lt;&gt;"",IFERROR(MATCH(S317,'Form Calc'!$P:$P,0),IFERROR(MATCH(TRIM(A317&amp;""),'Form Calc'!$Q:$Q,0),"")),IFERROR(MATCH(TRIM(A317&amp;""),'Form Calc'!$Q:$Q,0),"")))</f>
        <v/>
      </c>
      <c r="U317" s="32">
        <f>IF(AND(T317&lt;&gt;"",TRIM(E317&amp;"")&lt;&gt;""),TRIM(E317&amp;""),"")</f>
        <v/>
      </c>
      <c r="V317" s="32">
        <f>IF(TRIM(A317&amp;"")="","",IF(T317&lt;&gt;"",T317,IF(TRIM(E317&amp;"")="","",IFERROR(INDEX($T$6:$T$505,MATCH(TRIM(E317&amp;""),$U$6:$U$505,0)),""))))</f>
        <v/>
      </c>
      <c r="W317" s="32">
        <f>IF(V317="","",INDEX('Form Calc'!$G:$G,V317))</f>
        <v/>
      </c>
      <c r="X317" s="32">
        <f>IF(TRIM(A317&amp;"")="","",IF(T317&lt;&gt;"",IF(INDEX('Form Calc'!$K:$K,T317)&lt;&gt;"",INDEX('Form Calc'!$K:$K,T317),J317&amp;""),J317&amp;""))</f>
        <v/>
      </c>
      <c r="Y317" s="32">
        <f>IF(TRIM(A317&amp;"")="","",IF(TRIM(D317&amp;"")&lt;&gt;"",TRIM(D317&amp;""),IF(T317&lt;&gt;"",INDEX('Form Calc'!$C:$C,T317)&amp;"","")))</f>
        <v/>
      </c>
      <c r="Z317" s="32">
        <f>SUBSTITUTE(SUBSTITUTE(SUBSTITUTE(SUBSTITUTE(SUBSTITUTE(SUBSTITUTE(SUBSTITUTE(SUBSTITUTE(Y317," ",""),"-",""),"(",""),")",""),".",""),"+",""),"/",""),CHAR(160),"")</f>
        <v/>
      </c>
      <c r="AA317" s="32">
        <f>IF(Z317="","",IF(LEN(Z317)=10,"+1"&amp;Z317,IF(AND(LEN(Z317)=11,LEFT(Z317,1)="1"),"+"&amp;Z317,IF(LEFT(Y317,1)="+","+"&amp;Z317,Z317))))</f>
        <v/>
      </c>
      <c r="AB317" s="32">
        <f>IF(TRIM(A317&amp;"")="","",IF(TRIM(M317&amp;"")&lt;&gt;"",TRIM(M317&amp;""),IFERROR(LEFT(TRIM(A317&amp;""),FIND(" ",TRIM(A317&amp;""))-1),TRIM(A317&amp;""))))</f>
        <v/>
      </c>
      <c r="AC317" s="32">
        <f>SUBSTITUTE(SUBSTITUTE(SUBSTITUTE(SUBSTITUTE(SUBSTITUTE(SUBSTITUTE(SUBSTITUTE(SUBSTITUTE(SUBSTITUTE(SUBSTITUTE(AB317,"%","%25"),"&amp;","%26"),"#","%23"),"+","%2B"),"=","%3D"),"?","%3F"),CHAR(34),"%22"),CHAR(10),"%0A"),CHAR(13),"")," ","+")</f>
        <v/>
      </c>
      <c r="AD317" s="32">
        <f>IF(OR(AA317="",AB317=""),"",'Start Here'!$B$20&amp;"#p="&amp;SUBSTITUTE(AA317,"+","%2B")&amp;"&amp;n="&amp;AC317&amp;"&amp;m="&amp;SUBSTITUTE('Start Here'!$B$24,"{name}",AC317))</f>
        <v/>
      </c>
      <c r="AE317" s="32">
        <f>LEN(AD317)</f>
        <v/>
      </c>
      <c r="AF317" s="32">
        <f>IF(AND(TRIM(A317&amp;"")&lt;&gt;"",OR(B317="Awaiting",B317="Not sure yet")),1,0)</f>
        <v/>
      </c>
      <c r="AG317" s="32">
        <f>N(AG316)+AF317</f>
        <v/>
      </c>
      <c r="AH317" s="32">
        <f>IF(AF317=1,AG317,"")</f>
        <v/>
      </c>
      <c r="AI317" s="32">
        <f>IF(AND(TRIM(A317&amp;"")&lt;&gt;"",L317&amp;""&lt;&gt;"",L317&amp;""=Seating!$I$3&amp;"",B317&lt;&gt;"Declined"),1,0)</f>
        <v/>
      </c>
      <c r="AJ317" s="32">
        <f>N(AJ316)+AI317</f>
        <v/>
      </c>
      <c r="AK317" s="32">
        <f>IF(AI317=1,AJ317,"")</f>
        <v/>
      </c>
    </row>
    <row r="318">
      <c r="A318" s="10" t="n"/>
      <c r="B318" s="47">
        <f>IF(TRIM(A318&amp;"")="","",IF(W318&lt;&gt;"",W318,IF(I318="","Awaiting",I318)))</f>
        <v/>
      </c>
      <c r="C318" s="60">
        <f>IF(OR(B318="Awaiting",B318="Not sure yet"),IF(AD318&lt;&gt;"",HYPERLINK(AD318,"💬 Remind"),"add mobile"),"")</f>
        <v/>
      </c>
      <c r="D318" s="58" t="n"/>
      <c r="E318" s="10" t="n"/>
      <c r="F318" s="10" t="n"/>
      <c r="G318" s="10" t="n"/>
      <c r="H318" s="10" t="n"/>
      <c r="I318" s="10" t="n"/>
      <c r="J318" s="10" t="n"/>
      <c r="K318" s="10" t="n"/>
      <c r="L318" s="56" t="n"/>
      <c r="M318" s="10" t="n"/>
      <c r="N318" s="12" t="n"/>
      <c r="O318" s="10" t="n"/>
      <c r="P318" s="10" t="n"/>
      <c r="Q318" s="61">
        <f>IF(V318="","",IF(T318="","Covered by "&amp;INDEX('Form Calc'!$B:$B,V318)&amp;"'s reply (same party)","Replied "&amp;TEXT(INDEX('Form Calc'!$A:$A,T318),"mm/dd")&amp;" · "&amp;INDEX('Form Calc'!$H:$H,T318)&amp;" adult(s), "&amp;INDEX('Form Calc'!$I:$I,T318)&amp;" child(ren)"&amp;IF(INDEX('Form Calc'!$K:$K,T318)&lt;&gt;""," · "&amp;INDEX('Form Calc'!$K:$K,T318),"")&amp;IF(INDEX('Form Calc'!$M:$M,T318)&lt;&gt;""," · “"&amp;INDEX('Form Calc'!$M:$M,T318)&amp;"”","")))</f>
        <v/>
      </c>
      <c r="R318" s="32">
        <f>SUBSTITUTE(SUBSTITUTE(SUBSTITUTE(SUBSTITUTE(SUBSTITUTE(SUBSTITUTE(SUBSTITUTE(SUBSTITUTE(D318&amp;""," ",""),"-",""),"(",""),")",""),".",""),"+",""),"/",""),CHAR(160),"")</f>
        <v/>
      </c>
      <c r="S318" s="32">
        <f>IF(LEN(R318)&gt;=10,RIGHT(R318,10),R318)</f>
        <v/>
      </c>
      <c r="T318" s="32">
        <f>IF(TRIM(A318&amp;"")="","",IF(S318&lt;&gt;"",IFERROR(MATCH(S318,'Form Calc'!$P:$P,0),IFERROR(MATCH(TRIM(A318&amp;""),'Form Calc'!$Q:$Q,0),"")),IFERROR(MATCH(TRIM(A318&amp;""),'Form Calc'!$Q:$Q,0),"")))</f>
        <v/>
      </c>
      <c r="U318" s="32">
        <f>IF(AND(T318&lt;&gt;"",TRIM(E318&amp;"")&lt;&gt;""),TRIM(E318&amp;""),"")</f>
        <v/>
      </c>
      <c r="V318" s="32">
        <f>IF(TRIM(A318&amp;"")="","",IF(T318&lt;&gt;"",T318,IF(TRIM(E318&amp;"")="","",IFERROR(INDEX($T$6:$T$505,MATCH(TRIM(E318&amp;""),$U$6:$U$505,0)),""))))</f>
        <v/>
      </c>
      <c r="W318" s="32">
        <f>IF(V318="","",INDEX('Form Calc'!$G:$G,V318))</f>
        <v/>
      </c>
      <c r="X318" s="32">
        <f>IF(TRIM(A318&amp;"")="","",IF(T318&lt;&gt;"",IF(INDEX('Form Calc'!$K:$K,T318)&lt;&gt;"",INDEX('Form Calc'!$K:$K,T318),J318&amp;""),J318&amp;""))</f>
        <v/>
      </c>
      <c r="Y318" s="32">
        <f>IF(TRIM(A318&amp;"")="","",IF(TRIM(D318&amp;"")&lt;&gt;"",TRIM(D318&amp;""),IF(T318&lt;&gt;"",INDEX('Form Calc'!$C:$C,T318)&amp;"","")))</f>
        <v/>
      </c>
      <c r="Z318" s="32">
        <f>SUBSTITUTE(SUBSTITUTE(SUBSTITUTE(SUBSTITUTE(SUBSTITUTE(SUBSTITUTE(SUBSTITUTE(SUBSTITUTE(Y318," ",""),"-",""),"(",""),")",""),".",""),"+",""),"/",""),CHAR(160),"")</f>
        <v/>
      </c>
      <c r="AA318" s="32">
        <f>IF(Z318="","",IF(LEN(Z318)=10,"+1"&amp;Z318,IF(AND(LEN(Z318)=11,LEFT(Z318,1)="1"),"+"&amp;Z318,IF(LEFT(Y318,1)="+","+"&amp;Z318,Z318))))</f>
        <v/>
      </c>
      <c r="AB318" s="32">
        <f>IF(TRIM(A318&amp;"")="","",IF(TRIM(M318&amp;"")&lt;&gt;"",TRIM(M318&amp;""),IFERROR(LEFT(TRIM(A318&amp;""),FIND(" ",TRIM(A318&amp;""))-1),TRIM(A318&amp;""))))</f>
        <v/>
      </c>
      <c r="AC318" s="32">
        <f>SUBSTITUTE(SUBSTITUTE(SUBSTITUTE(SUBSTITUTE(SUBSTITUTE(SUBSTITUTE(SUBSTITUTE(SUBSTITUTE(SUBSTITUTE(SUBSTITUTE(AB318,"%","%25"),"&amp;","%26"),"#","%23"),"+","%2B"),"=","%3D"),"?","%3F"),CHAR(34),"%22"),CHAR(10),"%0A"),CHAR(13),"")," ","+")</f>
        <v/>
      </c>
      <c r="AD318" s="32">
        <f>IF(OR(AA318="",AB318=""),"",'Start Here'!$B$20&amp;"#p="&amp;SUBSTITUTE(AA318,"+","%2B")&amp;"&amp;n="&amp;AC318&amp;"&amp;m="&amp;SUBSTITUTE('Start Here'!$B$24,"{name}",AC318))</f>
        <v/>
      </c>
      <c r="AE318" s="32">
        <f>LEN(AD318)</f>
        <v/>
      </c>
      <c r="AF318" s="32">
        <f>IF(AND(TRIM(A318&amp;"")&lt;&gt;"",OR(B318="Awaiting",B318="Not sure yet")),1,0)</f>
        <v/>
      </c>
      <c r="AG318" s="32">
        <f>N(AG317)+AF318</f>
        <v/>
      </c>
      <c r="AH318" s="32">
        <f>IF(AF318=1,AG318,"")</f>
        <v/>
      </c>
      <c r="AI318" s="32">
        <f>IF(AND(TRIM(A318&amp;"")&lt;&gt;"",L318&amp;""&lt;&gt;"",L318&amp;""=Seating!$I$3&amp;"",B318&lt;&gt;"Declined"),1,0)</f>
        <v/>
      </c>
      <c r="AJ318" s="32">
        <f>N(AJ317)+AI318</f>
        <v/>
      </c>
      <c r="AK318" s="32">
        <f>IF(AI318=1,AJ318,"")</f>
        <v/>
      </c>
    </row>
    <row r="319">
      <c r="A319" s="10" t="n"/>
      <c r="B319" s="47">
        <f>IF(TRIM(A319&amp;"")="","",IF(W319&lt;&gt;"",W319,IF(I319="","Awaiting",I319)))</f>
        <v/>
      </c>
      <c r="C319" s="60">
        <f>IF(OR(B319="Awaiting",B319="Not sure yet"),IF(AD319&lt;&gt;"",HYPERLINK(AD319,"💬 Remind"),"add mobile"),"")</f>
        <v/>
      </c>
      <c r="D319" s="58" t="n"/>
      <c r="E319" s="10" t="n"/>
      <c r="F319" s="10" t="n"/>
      <c r="G319" s="10" t="n"/>
      <c r="H319" s="10" t="n"/>
      <c r="I319" s="10" t="n"/>
      <c r="J319" s="10" t="n"/>
      <c r="K319" s="10" t="n"/>
      <c r="L319" s="56" t="n"/>
      <c r="M319" s="10" t="n"/>
      <c r="N319" s="12" t="n"/>
      <c r="O319" s="10" t="n"/>
      <c r="P319" s="10" t="n"/>
      <c r="Q319" s="61">
        <f>IF(V319="","",IF(T319="","Covered by "&amp;INDEX('Form Calc'!$B:$B,V319)&amp;"'s reply (same party)","Replied "&amp;TEXT(INDEX('Form Calc'!$A:$A,T319),"mm/dd")&amp;" · "&amp;INDEX('Form Calc'!$H:$H,T319)&amp;" adult(s), "&amp;INDEX('Form Calc'!$I:$I,T319)&amp;" child(ren)"&amp;IF(INDEX('Form Calc'!$K:$K,T319)&lt;&gt;""," · "&amp;INDEX('Form Calc'!$K:$K,T319),"")&amp;IF(INDEX('Form Calc'!$M:$M,T319)&lt;&gt;""," · “"&amp;INDEX('Form Calc'!$M:$M,T319)&amp;"”","")))</f>
        <v/>
      </c>
      <c r="R319" s="32">
        <f>SUBSTITUTE(SUBSTITUTE(SUBSTITUTE(SUBSTITUTE(SUBSTITUTE(SUBSTITUTE(SUBSTITUTE(SUBSTITUTE(D319&amp;""," ",""),"-",""),"(",""),")",""),".",""),"+",""),"/",""),CHAR(160),"")</f>
        <v/>
      </c>
      <c r="S319" s="32">
        <f>IF(LEN(R319)&gt;=10,RIGHT(R319,10),R319)</f>
        <v/>
      </c>
      <c r="T319" s="32">
        <f>IF(TRIM(A319&amp;"")="","",IF(S319&lt;&gt;"",IFERROR(MATCH(S319,'Form Calc'!$P:$P,0),IFERROR(MATCH(TRIM(A319&amp;""),'Form Calc'!$Q:$Q,0),"")),IFERROR(MATCH(TRIM(A319&amp;""),'Form Calc'!$Q:$Q,0),"")))</f>
        <v/>
      </c>
      <c r="U319" s="32">
        <f>IF(AND(T319&lt;&gt;"",TRIM(E319&amp;"")&lt;&gt;""),TRIM(E319&amp;""),"")</f>
        <v/>
      </c>
      <c r="V319" s="32">
        <f>IF(TRIM(A319&amp;"")="","",IF(T319&lt;&gt;"",T319,IF(TRIM(E319&amp;"")="","",IFERROR(INDEX($T$6:$T$505,MATCH(TRIM(E319&amp;""),$U$6:$U$505,0)),""))))</f>
        <v/>
      </c>
      <c r="W319" s="32">
        <f>IF(V319="","",INDEX('Form Calc'!$G:$G,V319))</f>
        <v/>
      </c>
      <c r="X319" s="32">
        <f>IF(TRIM(A319&amp;"")="","",IF(T319&lt;&gt;"",IF(INDEX('Form Calc'!$K:$K,T319)&lt;&gt;"",INDEX('Form Calc'!$K:$K,T319),J319&amp;""),J319&amp;""))</f>
        <v/>
      </c>
      <c r="Y319" s="32">
        <f>IF(TRIM(A319&amp;"")="","",IF(TRIM(D319&amp;"")&lt;&gt;"",TRIM(D319&amp;""),IF(T319&lt;&gt;"",INDEX('Form Calc'!$C:$C,T319)&amp;"","")))</f>
        <v/>
      </c>
      <c r="Z319" s="32">
        <f>SUBSTITUTE(SUBSTITUTE(SUBSTITUTE(SUBSTITUTE(SUBSTITUTE(SUBSTITUTE(SUBSTITUTE(SUBSTITUTE(Y319," ",""),"-",""),"(",""),")",""),".",""),"+",""),"/",""),CHAR(160),"")</f>
        <v/>
      </c>
      <c r="AA319" s="32">
        <f>IF(Z319="","",IF(LEN(Z319)=10,"+1"&amp;Z319,IF(AND(LEN(Z319)=11,LEFT(Z319,1)="1"),"+"&amp;Z319,IF(LEFT(Y319,1)="+","+"&amp;Z319,Z319))))</f>
        <v/>
      </c>
      <c r="AB319" s="32">
        <f>IF(TRIM(A319&amp;"")="","",IF(TRIM(M319&amp;"")&lt;&gt;"",TRIM(M319&amp;""),IFERROR(LEFT(TRIM(A319&amp;""),FIND(" ",TRIM(A319&amp;""))-1),TRIM(A319&amp;""))))</f>
        <v/>
      </c>
      <c r="AC319" s="32">
        <f>SUBSTITUTE(SUBSTITUTE(SUBSTITUTE(SUBSTITUTE(SUBSTITUTE(SUBSTITUTE(SUBSTITUTE(SUBSTITUTE(SUBSTITUTE(SUBSTITUTE(AB319,"%","%25"),"&amp;","%26"),"#","%23"),"+","%2B"),"=","%3D"),"?","%3F"),CHAR(34),"%22"),CHAR(10),"%0A"),CHAR(13),"")," ","+")</f>
        <v/>
      </c>
      <c r="AD319" s="32">
        <f>IF(OR(AA319="",AB319=""),"",'Start Here'!$B$20&amp;"#p="&amp;SUBSTITUTE(AA319,"+","%2B")&amp;"&amp;n="&amp;AC319&amp;"&amp;m="&amp;SUBSTITUTE('Start Here'!$B$24,"{name}",AC319))</f>
        <v/>
      </c>
      <c r="AE319" s="32">
        <f>LEN(AD319)</f>
        <v/>
      </c>
      <c r="AF319" s="32">
        <f>IF(AND(TRIM(A319&amp;"")&lt;&gt;"",OR(B319="Awaiting",B319="Not sure yet")),1,0)</f>
        <v/>
      </c>
      <c r="AG319" s="32">
        <f>N(AG318)+AF319</f>
        <v/>
      </c>
      <c r="AH319" s="32">
        <f>IF(AF319=1,AG319,"")</f>
        <v/>
      </c>
      <c r="AI319" s="32">
        <f>IF(AND(TRIM(A319&amp;"")&lt;&gt;"",L319&amp;""&lt;&gt;"",L319&amp;""=Seating!$I$3&amp;"",B319&lt;&gt;"Declined"),1,0)</f>
        <v/>
      </c>
      <c r="AJ319" s="32">
        <f>N(AJ318)+AI319</f>
        <v/>
      </c>
      <c r="AK319" s="32">
        <f>IF(AI319=1,AJ319,"")</f>
        <v/>
      </c>
    </row>
    <row r="320">
      <c r="A320" s="10" t="n"/>
      <c r="B320" s="47">
        <f>IF(TRIM(A320&amp;"")="","",IF(W320&lt;&gt;"",W320,IF(I320="","Awaiting",I320)))</f>
        <v/>
      </c>
      <c r="C320" s="60">
        <f>IF(OR(B320="Awaiting",B320="Not sure yet"),IF(AD320&lt;&gt;"",HYPERLINK(AD320,"💬 Remind"),"add mobile"),"")</f>
        <v/>
      </c>
      <c r="D320" s="58" t="n"/>
      <c r="E320" s="10" t="n"/>
      <c r="F320" s="10" t="n"/>
      <c r="G320" s="10" t="n"/>
      <c r="H320" s="10" t="n"/>
      <c r="I320" s="10" t="n"/>
      <c r="J320" s="10" t="n"/>
      <c r="K320" s="10" t="n"/>
      <c r="L320" s="56" t="n"/>
      <c r="M320" s="10" t="n"/>
      <c r="N320" s="12" t="n"/>
      <c r="O320" s="10" t="n"/>
      <c r="P320" s="10" t="n"/>
      <c r="Q320" s="61">
        <f>IF(V320="","",IF(T320="","Covered by "&amp;INDEX('Form Calc'!$B:$B,V320)&amp;"'s reply (same party)","Replied "&amp;TEXT(INDEX('Form Calc'!$A:$A,T320),"mm/dd")&amp;" · "&amp;INDEX('Form Calc'!$H:$H,T320)&amp;" adult(s), "&amp;INDEX('Form Calc'!$I:$I,T320)&amp;" child(ren)"&amp;IF(INDEX('Form Calc'!$K:$K,T320)&lt;&gt;""," · "&amp;INDEX('Form Calc'!$K:$K,T320),"")&amp;IF(INDEX('Form Calc'!$M:$M,T320)&lt;&gt;""," · “"&amp;INDEX('Form Calc'!$M:$M,T320)&amp;"”","")))</f>
        <v/>
      </c>
      <c r="R320" s="32">
        <f>SUBSTITUTE(SUBSTITUTE(SUBSTITUTE(SUBSTITUTE(SUBSTITUTE(SUBSTITUTE(SUBSTITUTE(SUBSTITUTE(D320&amp;""," ",""),"-",""),"(",""),")",""),".",""),"+",""),"/",""),CHAR(160),"")</f>
        <v/>
      </c>
      <c r="S320" s="32">
        <f>IF(LEN(R320)&gt;=10,RIGHT(R320,10),R320)</f>
        <v/>
      </c>
      <c r="T320" s="32">
        <f>IF(TRIM(A320&amp;"")="","",IF(S320&lt;&gt;"",IFERROR(MATCH(S320,'Form Calc'!$P:$P,0),IFERROR(MATCH(TRIM(A320&amp;""),'Form Calc'!$Q:$Q,0),"")),IFERROR(MATCH(TRIM(A320&amp;""),'Form Calc'!$Q:$Q,0),"")))</f>
        <v/>
      </c>
      <c r="U320" s="32">
        <f>IF(AND(T320&lt;&gt;"",TRIM(E320&amp;"")&lt;&gt;""),TRIM(E320&amp;""),"")</f>
        <v/>
      </c>
      <c r="V320" s="32">
        <f>IF(TRIM(A320&amp;"")="","",IF(T320&lt;&gt;"",T320,IF(TRIM(E320&amp;"")="","",IFERROR(INDEX($T$6:$T$505,MATCH(TRIM(E320&amp;""),$U$6:$U$505,0)),""))))</f>
        <v/>
      </c>
      <c r="W320" s="32">
        <f>IF(V320="","",INDEX('Form Calc'!$G:$G,V320))</f>
        <v/>
      </c>
      <c r="X320" s="32">
        <f>IF(TRIM(A320&amp;"")="","",IF(T320&lt;&gt;"",IF(INDEX('Form Calc'!$K:$K,T320)&lt;&gt;"",INDEX('Form Calc'!$K:$K,T320),J320&amp;""),J320&amp;""))</f>
        <v/>
      </c>
      <c r="Y320" s="32">
        <f>IF(TRIM(A320&amp;"")="","",IF(TRIM(D320&amp;"")&lt;&gt;"",TRIM(D320&amp;""),IF(T320&lt;&gt;"",INDEX('Form Calc'!$C:$C,T320)&amp;"","")))</f>
        <v/>
      </c>
      <c r="Z320" s="32">
        <f>SUBSTITUTE(SUBSTITUTE(SUBSTITUTE(SUBSTITUTE(SUBSTITUTE(SUBSTITUTE(SUBSTITUTE(SUBSTITUTE(Y320," ",""),"-",""),"(",""),")",""),".",""),"+",""),"/",""),CHAR(160),"")</f>
        <v/>
      </c>
      <c r="AA320" s="32">
        <f>IF(Z320="","",IF(LEN(Z320)=10,"+1"&amp;Z320,IF(AND(LEN(Z320)=11,LEFT(Z320,1)="1"),"+"&amp;Z320,IF(LEFT(Y320,1)="+","+"&amp;Z320,Z320))))</f>
        <v/>
      </c>
      <c r="AB320" s="32">
        <f>IF(TRIM(A320&amp;"")="","",IF(TRIM(M320&amp;"")&lt;&gt;"",TRIM(M320&amp;""),IFERROR(LEFT(TRIM(A320&amp;""),FIND(" ",TRIM(A320&amp;""))-1),TRIM(A320&amp;""))))</f>
        <v/>
      </c>
      <c r="AC320" s="32">
        <f>SUBSTITUTE(SUBSTITUTE(SUBSTITUTE(SUBSTITUTE(SUBSTITUTE(SUBSTITUTE(SUBSTITUTE(SUBSTITUTE(SUBSTITUTE(SUBSTITUTE(AB320,"%","%25"),"&amp;","%26"),"#","%23"),"+","%2B"),"=","%3D"),"?","%3F"),CHAR(34),"%22"),CHAR(10),"%0A"),CHAR(13),"")," ","+")</f>
        <v/>
      </c>
      <c r="AD320" s="32">
        <f>IF(OR(AA320="",AB320=""),"",'Start Here'!$B$20&amp;"#p="&amp;SUBSTITUTE(AA320,"+","%2B")&amp;"&amp;n="&amp;AC320&amp;"&amp;m="&amp;SUBSTITUTE('Start Here'!$B$24,"{name}",AC320))</f>
        <v/>
      </c>
      <c r="AE320" s="32">
        <f>LEN(AD320)</f>
        <v/>
      </c>
      <c r="AF320" s="32">
        <f>IF(AND(TRIM(A320&amp;"")&lt;&gt;"",OR(B320="Awaiting",B320="Not sure yet")),1,0)</f>
        <v/>
      </c>
      <c r="AG320" s="32">
        <f>N(AG319)+AF320</f>
        <v/>
      </c>
      <c r="AH320" s="32">
        <f>IF(AF320=1,AG320,"")</f>
        <v/>
      </c>
      <c r="AI320" s="32">
        <f>IF(AND(TRIM(A320&amp;"")&lt;&gt;"",L320&amp;""&lt;&gt;"",L320&amp;""=Seating!$I$3&amp;"",B320&lt;&gt;"Declined"),1,0)</f>
        <v/>
      </c>
      <c r="AJ320" s="32">
        <f>N(AJ319)+AI320</f>
        <v/>
      </c>
      <c r="AK320" s="32">
        <f>IF(AI320=1,AJ320,"")</f>
        <v/>
      </c>
    </row>
    <row r="321">
      <c r="A321" s="10" t="n"/>
      <c r="B321" s="47">
        <f>IF(TRIM(A321&amp;"")="","",IF(W321&lt;&gt;"",W321,IF(I321="","Awaiting",I321)))</f>
        <v/>
      </c>
      <c r="C321" s="60">
        <f>IF(OR(B321="Awaiting",B321="Not sure yet"),IF(AD321&lt;&gt;"",HYPERLINK(AD321,"💬 Remind"),"add mobile"),"")</f>
        <v/>
      </c>
      <c r="D321" s="58" t="n"/>
      <c r="E321" s="10" t="n"/>
      <c r="F321" s="10" t="n"/>
      <c r="G321" s="10" t="n"/>
      <c r="H321" s="10" t="n"/>
      <c r="I321" s="10" t="n"/>
      <c r="J321" s="10" t="n"/>
      <c r="K321" s="10" t="n"/>
      <c r="L321" s="56" t="n"/>
      <c r="M321" s="10" t="n"/>
      <c r="N321" s="12" t="n"/>
      <c r="O321" s="10" t="n"/>
      <c r="P321" s="10" t="n"/>
      <c r="Q321" s="61">
        <f>IF(V321="","",IF(T321="","Covered by "&amp;INDEX('Form Calc'!$B:$B,V321)&amp;"'s reply (same party)","Replied "&amp;TEXT(INDEX('Form Calc'!$A:$A,T321),"mm/dd")&amp;" · "&amp;INDEX('Form Calc'!$H:$H,T321)&amp;" adult(s), "&amp;INDEX('Form Calc'!$I:$I,T321)&amp;" child(ren)"&amp;IF(INDEX('Form Calc'!$K:$K,T321)&lt;&gt;""," · "&amp;INDEX('Form Calc'!$K:$K,T321),"")&amp;IF(INDEX('Form Calc'!$M:$M,T321)&lt;&gt;""," · “"&amp;INDEX('Form Calc'!$M:$M,T321)&amp;"”","")))</f>
        <v/>
      </c>
      <c r="R321" s="32">
        <f>SUBSTITUTE(SUBSTITUTE(SUBSTITUTE(SUBSTITUTE(SUBSTITUTE(SUBSTITUTE(SUBSTITUTE(SUBSTITUTE(D321&amp;""," ",""),"-",""),"(",""),")",""),".",""),"+",""),"/",""),CHAR(160),"")</f>
        <v/>
      </c>
      <c r="S321" s="32">
        <f>IF(LEN(R321)&gt;=10,RIGHT(R321,10),R321)</f>
        <v/>
      </c>
      <c r="T321" s="32">
        <f>IF(TRIM(A321&amp;"")="","",IF(S321&lt;&gt;"",IFERROR(MATCH(S321,'Form Calc'!$P:$P,0),IFERROR(MATCH(TRIM(A321&amp;""),'Form Calc'!$Q:$Q,0),"")),IFERROR(MATCH(TRIM(A321&amp;""),'Form Calc'!$Q:$Q,0),"")))</f>
        <v/>
      </c>
      <c r="U321" s="32">
        <f>IF(AND(T321&lt;&gt;"",TRIM(E321&amp;"")&lt;&gt;""),TRIM(E321&amp;""),"")</f>
        <v/>
      </c>
      <c r="V321" s="32">
        <f>IF(TRIM(A321&amp;"")="","",IF(T321&lt;&gt;"",T321,IF(TRIM(E321&amp;"")="","",IFERROR(INDEX($T$6:$T$505,MATCH(TRIM(E321&amp;""),$U$6:$U$505,0)),""))))</f>
        <v/>
      </c>
      <c r="W321" s="32">
        <f>IF(V321="","",INDEX('Form Calc'!$G:$G,V321))</f>
        <v/>
      </c>
      <c r="X321" s="32">
        <f>IF(TRIM(A321&amp;"")="","",IF(T321&lt;&gt;"",IF(INDEX('Form Calc'!$K:$K,T321)&lt;&gt;"",INDEX('Form Calc'!$K:$K,T321),J321&amp;""),J321&amp;""))</f>
        <v/>
      </c>
      <c r="Y321" s="32">
        <f>IF(TRIM(A321&amp;"")="","",IF(TRIM(D321&amp;"")&lt;&gt;"",TRIM(D321&amp;""),IF(T321&lt;&gt;"",INDEX('Form Calc'!$C:$C,T321)&amp;"","")))</f>
        <v/>
      </c>
      <c r="Z321" s="32">
        <f>SUBSTITUTE(SUBSTITUTE(SUBSTITUTE(SUBSTITUTE(SUBSTITUTE(SUBSTITUTE(SUBSTITUTE(SUBSTITUTE(Y321," ",""),"-",""),"(",""),")",""),".",""),"+",""),"/",""),CHAR(160),"")</f>
        <v/>
      </c>
      <c r="AA321" s="32">
        <f>IF(Z321="","",IF(LEN(Z321)=10,"+1"&amp;Z321,IF(AND(LEN(Z321)=11,LEFT(Z321,1)="1"),"+"&amp;Z321,IF(LEFT(Y321,1)="+","+"&amp;Z321,Z321))))</f>
        <v/>
      </c>
      <c r="AB321" s="32">
        <f>IF(TRIM(A321&amp;"")="","",IF(TRIM(M321&amp;"")&lt;&gt;"",TRIM(M321&amp;""),IFERROR(LEFT(TRIM(A321&amp;""),FIND(" ",TRIM(A321&amp;""))-1),TRIM(A321&amp;""))))</f>
        <v/>
      </c>
      <c r="AC321" s="32">
        <f>SUBSTITUTE(SUBSTITUTE(SUBSTITUTE(SUBSTITUTE(SUBSTITUTE(SUBSTITUTE(SUBSTITUTE(SUBSTITUTE(SUBSTITUTE(SUBSTITUTE(AB321,"%","%25"),"&amp;","%26"),"#","%23"),"+","%2B"),"=","%3D"),"?","%3F"),CHAR(34),"%22"),CHAR(10),"%0A"),CHAR(13),"")," ","+")</f>
        <v/>
      </c>
      <c r="AD321" s="32">
        <f>IF(OR(AA321="",AB321=""),"",'Start Here'!$B$20&amp;"#p="&amp;SUBSTITUTE(AA321,"+","%2B")&amp;"&amp;n="&amp;AC321&amp;"&amp;m="&amp;SUBSTITUTE('Start Here'!$B$24,"{name}",AC321))</f>
        <v/>
      </c>
      <c r="AE321" s="32">
        <f>LEN(AD321)</f>
        <v/>
      </c>
      <c r="AF321" s="32">
        <f>IF(AND(TRIM(A321&amp;"")&lt;&gt;"",OR(B321="Awaiting",B321="Not sure yet")),1,0)</f>
        <v/>
      </c>
      <c r="AG321" s="32">
        <f>N(AG320)+AF321</f>
        <v/>
      </c>
      <c r="AH321" s="32">
        <f>IF(AF321=1,AG321,"")</f>
        <v/>
      </c>
      <c r="AI321" s="32">
        <f>IF(AND(TRIM(A321&amp;"")&lt;&gt;"",L321&amp;""&lt;&gt;"",L321&amp;""=Seating!$I$3&amp;"",B321&lt;&gt;"Declined"),1,0)</f>
        <v/>
      </c>
      <c r="AJ321" s="32">
        <f>N(AJ320)+AI321</f>
        <v/>
      </c>
      <c r="AK321" s="32">
        <f>IF(AI321=1,AJ321,"")</f>
        <v/>
      </c>
    </row>
    <row r="322">
      <c r="A322" s="10" t="n"/>
      <c r="B322" s="47">
        <f>IF(TRIM(A322&amp;"")="","",IF(W322&lt;&gt;"",W322,IF(I322="","Awaiting",I322)))</f>
        <v/>
      </c>
      <c r="C322" s="60">
        <f>IF(OR(B322="Awaiting",B322="Not sure yet"),IF(AD322&lt;&gt;"",HYPERLINK(AD322,"💬 Remind"),"add mobile"),"")</f>
        <v/>
      </c>
      <c r="D322" s="58" t="n"/>
      <c r="E322" s="10" t="n"/>
      <c r="F322" s="10" t="n"/>
      <c r="G322" s="10" t="n"/>
      <c r="H322" s="10" t="n"/>
      <c r="I322" s="10" t="n"/>
      <c r="J322" s="10" t="n"/>
      <c r="K322" s="10" t="n"/>
      <c r="L322" s="56" t="n"/>
      <c r="M322" s="10" t="n"/>
      <c r="N322" s="12" t="n"/>
      <c r="O322" s="10" t="n"/>
      <c r="P322" s="10" t="n"/>
      <c r="Q322" s="61">
        <f>IF(V322="","",IF(T322="","Covered by "&amp;INDEX('Form Calc'!$B:$B,V322)&amp;"'s reply (same party)","Replied "&amp;TEXT(INDEX('Form Calc'!$A:$A,T322),"mm/dd")&amp;" · "&amp;INDEX('Form Calc'!$H:$H,T322)&amp;" adult(s), "&amp;INDEX('Form Calc'!$I:$I,T322)&amp;" child(ren)"&amp;IF(INDEX('Form Calc'!$K:$K,T322)&lt;&gt;""," · "&amp;INDEX('Form Calc'!$K:$K,T322),"")&amp;IF(INDEX('Form Calc'!$M:$M,T322)&lt;&gt;""," · “"&amp;INDEX('Form Calc'!$M:$M,T322)&amp;"”","")))</f>
        <v/>
      </c>
      <c r="R322" s="32">
        <f>SUBSTITUTE(SUBSTITUTE(SUBSTITUTE(SUBSTITUTE(SUBSTITUTE(SUBSTITUTE(SUBSTITUTE(SUBSTITUTE(D322&amp;""," ",""),"-",""),"(",""),")",""),".",""),"+",""),"/",""),CHAR(160),"")</f>
        <v/>
      </c>
      <c r="S322" s="32">
        <f>IF(LEN(R322)&gt;=10,RIGHT(R322,10),R322)</f>
        <v/>
      </c>
      <c r="T322" s="32">
        <f>IF(TRIM(A322&amp;"")="","",IF(S322&lt;&gt;"",IFERROR(MATCH(S322,'Form Calc'!$P:$P,0),IFERROR(MATCH(TRIM(A322&amp;""),'Form Calc'!$Q:$Q,0),"")),IFERROR(MATCH(TRIM(A322&amp;""),'Form Calc'!$Q:$Q,0),"")))</f>
        <v/>
      </c>
      <c r="U322" s="32">
        <f>IF(AND(T322&lt;&gt;"",TRIM(E322&amp;"")&lt;&gt;""),TRIM(E322&amp;""),"")</f>
        <v/>
      </c>
      <c r="V322" s="32">
        <f>IF(TRIM(A322&amp;"")="","",IF(T322&lt;&gt;"",T322,IF(TRIM(E322&amp;"")="","",IFERROR(INDEX($T$6:$T$505,MATCH(TRIM(E322&amp;""),$U$6:$U$505,0)),""))))</f>
        <v/>
      </c>
      <c r="W322" s="32">
        <f>IF(V322="","",INDEX('Form Calc'!$G:$G,V322))</f>
        <v/>
      </c>
      <c r="X322" s="32">
        <f>IF(TRIM(A322&amp;"")="","",IF(T322&lt;&gt;"",IF(INDEX('Form Calc'!$K:$K,T322)&lt;&gt;"",INDEX('Form Calc'!$K:$K,T322),J322&amp;""),J322&amp;""))</f>
        <v/>
      </c>
      <c r="Y322" s="32">
        <f>IF(TRIM(A322&amp;"")="","",IF(TRIM(D322&amp;"")&lt;&gt;"",TRIM(D322&amp;""),IF(T322&lt;&gt;"",INDEX('Form Calc'!$C:$C,T322)&amp;"","")))</f>
        <v/>
      </c>
      <c r="Z322" s="32">
        <f>SUBSTITUTE(SUBSTITUTE(SUBSTITUTE(SUBSTITUTE(SUBSTITUTE(SUBSTITUTE(SUBSTITUTE(SUBSTITUTE(Y322," ",""),"-",""),"(",""),")",""),".",""),"+",""),"/",""),CHAR(160),"")</f>
        <v/>
      </c>
      <c r="AA322" s="32">
        <f>IF(Z322="","",IF(LEN(Z322)=10,"+1"&amp;Z322,IF(AND(LEN(Z322)=11,LEFT(Z322,1)="1"),"+"&amp;Z322,IF(LEFT(Y322,1)="+","+"&amp;Z322,Z322))))</f>
        <v/>
      </c>
      <c r="AB322" s="32">
        <f>IF(TRIM(A322&amp;"")="","",IF(TRIM(M322&amp;"")&lt;&gt;"",TRIM(M322&amp;""),IFERROR(LEFT(TRIM(A322&amp;""),FIND(" ",TRIM(A322&amp;""))-1),TRIM(A322&amp;""))))</f>
        <v/>
      </c>
      <c r="AC322" s="32">
        <f>SUBSTITUTE(SUBSTITUTE(SUBSTITUTE(SUBSTITUTE(SUBSTITUTE(SUBSTITUTE(SUBSTITUTE(SUBSTITUTE(SUBSTITUTE(SUBSTITUTE(AB322,"%","%25"),"&amp;","%26"),"#","%23"),"+","%2B"),"=","%3D"),"?","%3F"),CHAR(34),"%22"),CHAR(10),"%0A"),CHAR(13),"")," ","+")</f>
        <v/>
      </c>
      <c r="AD322" s="32">
        <f>IF(OR(AA322="",AB322=""),"",'Start Here'!$B$20&amp;"#p="&amp;SUBSTITUTE(AA322,"+","%2B")&amp;"&amp;n="&amp;AC322&amp;"&amp;m="&amp;SUBSTITUTE('Start Here'!$B$24,"{name}",AC322))</f>
        <v/>
      </c>
      <c r="AE322" s="32">
        <f>LEN(AD322)</f>
        <v/>
      </c>
      <c r="AF322" s="32">
        <f>IF(AND(TRIM(A322&amp;"")&lt;&gt;"",OR(B322="Awaiting",B322="Not sure yet")),1,0)</f>
        <v/>
      </c>
      <c r="AG322" s="32">
        <f>N(AG321)+AF322</f>
        <v/>
      </c>
      <c r="AH322" s="32">
        <f>IF(AF322=1,AG322,"")</f>
        <v/>
      </c>
      <c r="AI322" s="32">
        <f>IF(AND(TRIM(A322&amp;"")&lt;&gt;"",L322&amp;""&lt;&gt;"",L322&amp;""=Seating!$I$3&amp;"",B322&lt;&gt;"Declined"),1,0)</f>
        <v/>
      </c>
      <c r="AJ322" s="32">
        <f>N(AJ321)+AI322</f>
        <v/>
      </c>
      <c r="AK322" s="32">
        <f>IF(AI322=1,AJ322,"")</f>
        <v/>
      </c>
    </row>
    <row r="323">
      <c r="A323" s="10" t="n"/>
      <c r="B323" s="47">
        <f>IF(TRIM(A323&amp;"")="","",IF(W323&lt;&gt;"",W323,IF(I323="","Awaiting",I323)))</f>
        <v/>
      </c>
      <c r="C323" s="60">
        <f>IF(OR(B323="Awaiting",B323="Not sure yet"),IF(AD323&lt;&gt;"",HYPERLINK(AD323,"💬 Remind"),"add mobile"),"")</f>
        <v/>
      </c>
      <c r="D323" s="58" t="n"/>
      <c r="E323" s="10" t="n"/>
      <c r="F323" s="10" t="n"/>
      <c r="G323" s="10" t="n"/>
      <c r="H323" s="10" t="n"/>
      <c r="I323" s="10" t="n"/>
      <c r="J323" s="10" t="n"/>
      <c r="K323" s="10" t="n"/>
      <c r="L323" s="56" t="n"/>
      <c r="M323" s="10" t="n"/>
      <c r="N323" s="12" t="n"/>
      <c r="O323" s="10" t="n"/>
      <c r="P323" s="10" t="n"/>
      <c r="Q323" s="61">
        <f>IF(V323="","",IF(T323="","Covered by "&amp;INDEX('Form Calc'!$B:$B,V323)&amp;"'s reply (same party)","Replied "&amp;TEXT(INDEX('Form Calc'!$A:$A,T323),"mm/dd")&amp;" · "&amp;INDEX('Form Calc'!$H:$H,T323)&amp;" adult(s), "&amp;INDEX('Form Calc'!$I:$I,T323)&amp;" child(ren)"&amp;IF(INDEX('Form Calc'!$K:$K,T323)&lt;&gt;""," · "&amp;INDEX('Form Calc'!$K:$K,T323),"")&amp;IF(INDEX('Form Calc'!$M:$M,T323)&lt;&gt;""," · “"&amp;INDEX('Form Calc'!$M:$M,T323)&amp;"”","")))</f>
        <v/>
      </c>
      <c r="R323" s="32">
        <f>SUBSTITUTE(SUBSTITUTE(SUBSTITUTE(SUBSTITUTE(SUBSTITUTE(SUBSTITUTE(SUBSTITUTE(SUBSTITUTE(D323&amp;""," ",""),"-",""),"(",""),")",""),".",""),"+",""),"/",""),CHAR(160),"")</f>
        <v/>
      </c>
      <c r="S323" s="32">
        <f>IF(LEN(R323)&gt;=10,RIGHT(R323,10),R323)</f>
        <v/>
      </c>
      <c r="T323" s="32">
        <f>IF(TRIM(A323&amp;"")="","",IF(S323&lt;&gt;"",IFERROR(MATCH(S323,'Form Calc'!$P:$P,0),IFERROR(MATCH(TRIM(A323&amp;""),'Form Calc'!$Q:$Q,0),"")),IFERROR(MATCH(TRIM(A323&amp;""),'Form Calc'!$Q:$Q,0),"")))</f>
        <v/>
      </c>
      <c r="U323" s="32">
        <f>IF(AND(T323&lt;&gt;"",TRIM(E323&amp;"")&lt;&gt;""),TRIM(E323&amp;""),"")</f>
        <v/>
      </c>
      <c r="V323" s="32">
        <f>IF(TRIM(A323&amp;"")="","",IF(T323&lt;&gt;"",T323,IF(TRIM(E323&amp;"")="","",IFERROR(INDEX($T$6:$T$505,MATCH(TRIM(E323&amp;""),$U$6:$U$505,0)),""))))</f>
        <v/>
      </c>
      <c r="W323" s="32">
        <f>IF(V323="","",INDEX('Form Calc'!$G:$G,V323))</f>
        <v/>
      </c>
      <c r="X323" s="32">
        <f>IF(TRIM(A323&amp;"")="","",IF(T323&lt;&gt;"",IF(INDEX('Form Calc'!$K:$K,T323)&lt;&gt;"",INDEX('Form Calc'!$K:$K,T323),J323&amp;""),J323&amp;""))</f>
        <v/>
      </c>
      <c r="Y323" s="32">
        <f>IF(TRIM(A323&amp;"")="","",IF(TRIM(D323&amp;"")&lt;&gt;"",TRIM(D323&amp;""),IF(T323&lt;&gt;"",INDEX('Form Calc'!$C:$C,T323)&amp;"","")))</f>
        <v/>
      </c>
      <c r="Z323" s="32">
        <f>SUBSTITUTE(SUBSTITUTE(SUBSTITUTE(SUBSTITUTE(SUBSTITUTE(SUBSTITUTE(SUBSTITUTE(SUBSTITUTE(Y323," ",""),"-",""),"(",""),")",""),".",""),"+",""),"/",""),CHAR(160),"")</f>
        <v/>
      </c>
      <c r="AA323" s="32">
        <f>IF(Z323="","",IF(LEN(Z323)=10,"+1"&amp;Z323,IF(AND(LEN(Z323)=11,LEFT(Z323,1)="1"),"+"&amp;Z323,IF(LEFT(Y323,1)="+","+"&amp;Z323,Z323))))</f>
        <v/>
      </c>
      <c r="AB323" s="32">
        <f>IF(TRIM(A323&amp;"")="","",IF(TRIM(M323&amp;"")&lt;&gt;"",TRIM(M323&amp;""),IFERROR(LEFT(TRIM(A323&amp;""),FIND(" ",TRIM(A323&amp;""))-1),TRIM(A323&amp;""))))</f>
        <v/>
      </c>
      <c r="AC323" s="32">
        <f>SUBSTITUTE(SUBSTITUTE(SUBSTITUTE(SUBSTITUTE(SUBSTITUTE(SUBSTITUTE(SUBSTITUTE(SUBSTITUTE(SUBSTITUTE(SUBSTITUTE(AB323,"%","%25"),"&amp;","%26"),"#","%23"),"+","%2B"),"=","%3D"),"?","%3F"),CHAR(34),"%22"),CHAR(10),"%0A"),CHAR(13),"")," ","+")</f>
        <v/>
      </c>
      <c r="AD323" s="32">
        <f>IF(OR(AA323="",AB323=""),"",'Start Here'!$B$20&amp;"#p="&amp;SUBSTITUTE(AA323,"+","%2B")&amp;"&amp;n="&amp;AC323&amp;"&amp;m="&amp;SUBSTITUTE('Start Here'!$B$24,"{name}",AC323))</f>
        <v/>
      </c>
      <c r="AE323" s="32">
        <f>LEN(AD323)</f>
        <v/>
      </c>
      <c r="AF323" s="32">
        <f>IF(AND(TRIM(A323&amp;"")&lt;&gt;"",OR(B323="Awaiting",B323="Not sure yet")),1,0)</f>
        <v/>
      </c>
      <c r="AG323" s="32">
        <f>N(AG322)+AF323</f>
        <v/>
      </c>
      <c r="AH323" s="32">
        <f>IF(AF323=1,AG323,"")</f>
        <v/>
      </c>
      <c r="AI323" s="32">
        <f>IF(AND(TRIM(A323&amp;"")&lt;&gt;"",L323&amp;""&lt;&gt;"",L323&amp;""=Seating!$I$3&amp;"",B323&lt;&gt;"Declined"),1,0)</f>
        <v/>
      </c>
      <c r="AJ323" s="32">
        <f>N(AJ322)+AI323</f>
        <v/>
      </c>
      <c r="AK323" s="32">
        <f>IF(AI323=1,AJ323,"")</f>
        <v/>
      </c>
    </row>
    <row r="324">
      <c r="A324" s="10" t="n"/>
      <c r="B324" s="47">
        <f>IF(TRIM(A324&amp;"")="","",IF(W324&lt;&gt;"",W324,IF(I324="","Awaiting",I324)))</f>
        <v/>
      </c>
      <c r="C324" s="60">
        <f>IF(OR(B324="Awaiting",B324="Not sure yet"),IF(AD324&lt;&gt;"",HYPERLINK(AD324,"💬 Remind"),"add mobile"),"")</f>
        <v/>
      </c>
      <c r="D324" s="58" t="n"/>
      <c r="E324" s="10" t="n"/>
      <c r="F324" s="10" t="n"/>
      <c r="G324" s="10" t="n"/>
      <c r="H324" s="10" t="n"/>
      <c r="I324" s="10" t="n"/>
      <c r="J324" s="10" t="n"/>
      <c r="K324" s="10" t="n"/>
      <c r="L324" s="56" t="n"/>
      <c r="M324" s="10" t="n"/>
      <c r="N324" s="12" t="n"/>
      <c r="O324" s="10" t="n"/>
      <c r="P324" s="10" t="n"/>
      <c r="Q324" s="61">
        <f>IF(V324="","",IF(T324="","Covered by "&amp;INDEX('Form Calc'!$B:$B,V324)&amp;"'s reply (same party)","Replied "&amp;TEXT(INDEX('Form Calc'!$A:$A,T324),"mm/dd")&amp;" · "&amp;INDEX('Form Calc'!$H:$H,T324)&amp;" adult(s), "&amp;INDEX('Form Calc'!$I:$I,T324)&amp;" child(ren)"&amp;IF(INDEX('Form Calc'!$K:$K,T324)&lt;&gt;""," · "&amp;INDEX('Form Calc'!$K:$K,T324),"")&amp;IF(INDEX('Form Calc'!$M:$M,T324)&lt;&gt;""," · “"&amp;INDEX('Form Calc'!$M:$M,T324)&amp;"”","")))</f>
        <v/>
      </c>
      <c r="R324" s="32">
        <f>SUBSTITUTE(SUBSTITUTE(SUBSTITUTE(SUBSTITUTE(SUBSTITUTE(SUBSTITUTE(SUBSTITUTE(SUBSTITUTE(D324&amp;""," ",""),"-",""),"(",""),")",""),".",""),"+",""),"/",""),CHAR(160),"")</f>
        <v/>
      </c>
      <c r="S324" s="32">
        <f>IF(LEN(R324)&gt;=10,RIGHT(R324,10),R324)</f>
        <v/>
      </c>
      <c r="T324" s="32">
        <f>IF(TRIM(A324&amp;"")="","",IF(S324&lt;&gt;"",IFERROR(MATCH(S324,'Form Calc'!$P:$P,0),IFERROR(MATCH(TRIM(A324&amp;""),'Form Calc'!$Q:$Q,0),"")),IFERROR(MATCH(TRIM(A324&amp;""),'Form Calc'!$Q:$Q,0),"")))</f>
        <v/>
      </c>
      <c r="U324" s="32">
        <f>IF(AND(T324&lt;&gt;"",TRIM(E324&amp;"")&lt;&gt;""),TRIM(E324&amp;""),"")</f>
        <v/>
      </c>
      <c r="V324" s="32">
        <f>IF(TRIM(A324&amp;"")="","",IF(T324&lt;&gt;"",T324,IF(TRIM(E324&amp;"")="","",IFERROR(INDEX($T$6:$T$505,MATCH(TRIM(E324&amp;""),$U$6:$U$505,0)),""))))</f>
        <v/>
      </c>
      <c r="W324" s="32">
        <f>IF(V324="","",INDEX('Form Calc'!$G:$G,V324))</f>
        <v/>
      </c>
      <c r="X324" s="32">
        <f>IF(TRIM(A324&amp;"")="","",IF(T324&lt;&gt;"",IF(INDEX('Form Calc'!$K:$K,T324)&lt;&gt;"",INDEX('Form Calc'!$K:$K,T324),J324&amp;""),J324&amp;""))</f>
        <v/>
      </c>
      <c r="Y324" s="32">
        <f>IF(TRIM(A324&amp;"")="","",IF(TRIM(D324&amp;"")&lt;&gt;"",TRIM(D324&amp;""),IF(T324&lt;&gt;"",INDEX('Form Calc'!$C:$C,T324)&amp;"","")))</f>
        <v/>
      </c>
      <c r="Z324" s="32">
        <f>SUBSTITUTE(SUBSTITUTE(SUBSTITUTE(SUBSTITUTE(SUBSTITUTE(SUBSTITUTE(SUBSTITUTE(SUBSTITUTE(Y324," ",""),"-",""),"(",""),")",""),".",""),"+",""),"/",""),CHAR(160),"")</f>
        <v/>
      </c>
      <c r="AA324" s="32">
        <f>IF(Z324="","",IF(LEN(Z324)=10,"+1"&amp;Z324,IF(AND(LEN(Z324)=11,LEFT(Z324,1)="1"),"+"&amp;Z324,IF(LEFT(Y324,1)="+","+"&amp;Z324,Z324))))</f>
        <v/>
      </c>
      <c r="AB324" s="32">
        <f>IF(TRIM(A324&amp;"")="","",IF(TRIM(M324&amp;"")&lt;&gt;"",TRIM(M324&amp;""),IFERROR(LEFT(TRIM(A324&amp;""),FIND(" ",TRIM(A324&amp;""))-1),TRIM(A324&amp;""))))</f>
        <v/>
      </c>
      <c r="AC324" s="32">
        <f>SUBSTITUTE(SUBSTITUTE(SUBSTITUTE(SUBSTITUTE(SUBSTITUTE(SUBSTITUTE(SUBSTITUTE(SUBSTITUTE(SUBSTITUTE(SUBSTITUTE(AB324,"%","%25"),"&amp;","%26"),"#","%23"),"+","%2B"),"=","%3D"),"?","%3F"),CHAR(34),"%22"),CHAR(10),"%0A"),CHAR(13),"")," ","+")</f>
        <v/>
      </c>
      <c r="AD324" s="32">
        <f>IF(OR(AA324="",AB324=""),"",'Start Here'!$B$20&amp;"#p="&amp;SUBSTITUTE(AA324,"+","%2B")&amp;"&amp;n="&amp;AC324&amp;"&amp;m="&amp;SUBSTITUTE('Start Here'!$B$24,"{name}",AC324))</f>
        <v/>
      </c>
      <c r="AE324" s="32">
        <f>LEN(AD324)</f>
        <v/>
      </c>
      <c r="AF324" s="32">
        <f>IF(AND(TRIM(A324&amp;"")&lt;&gt;"",OR(B324="Awaiting",B324="Not sure yet")),1,0)</f>
        <v/>
      </c>
      <c r="AG324" s="32">
        <f>N(AG323)+AF324</f>
        <v/>
      </c>
      <c r="AH324" s="32">
        <f>IF(AF324=1,AG324,"")</f>
        <v/>
      </c>
      <c r="AI324" s="32">
        <f>IF(AND(TRIM(A324&amp;"")&lt;&gt;"",L324&amp;""&lt;&gt;"",L324&amp;""=Seating!$I$3&amp;"",B324&lt;&gt;"Declined"),1,0)</f>
        <v/>
      </c>
      <c r="AJ324" s="32">
        <f>N(AJ323)+AI324</f>
        <v/>
      </c>
      <c r="AK324" s="32">
        <f>IF(AI324=1,AJ324,"")</f>
        <v/>
      </c>
    </row>
    <row r="325">
      <c r="A325" s="10" t="n"/>
      <c r="B325" s="47">
        <f>IF(TRIM(A325&amp;"")="","",IF(W325&lt;&gt;"",W325,IF(I325="","Awaiting",I325)))</f>
        <v/>
      </c>
      <c r="C325" s="60">
        <f>IF(OR(B325="Awaiting",B325="Not sure yet"),IF(AD325&lt;&gt;"",HYPERLINK(AD325,"💬 Remind"),"add mobile"),"")</f>
        <v/>
      </c>
      <c r="D325" s="58" t="n"/>
      <c r="E325" s="10" t="n"/>
      <c r="F325" s="10" t="n"/>
      <c r="G325" s="10" t="n"/>
      <c r="H325" s="10" t="n"/>
      <c r="I325" s="10" t="n"/>
      <c r="J325" s="10" t="n"/>
      <c r="K325" s="10" t="n"/>
      <c r="L325" s="56" t="n"/>
      <c r="M325" s="10" t="n"/>
      <c r="N325" s="12" t="n"/>
      <c r="O325" s="10" t="n"/>
      <c r="P325" s="10" t="n"/>
      <c r="Q325" s="61">
        <f>IF(V325="","",IF(T325="","Covered by "&amp;INDEX('Form Calc'!$B:$B,V325)&amp;"'s reply (same party)","Replied "&amp;TEXT(INDEX('Form Calc'!$A:$A,T325),"mm/dd")&amp;" · "&amp;INDEX('Form Calc'!$H:$H,T325)&amp;" adult(s), "&amp;INDEX('Form Calc'!$I:$I,T325)&amp;" child(ren)"&amp;IF(INDEX('Form Calc'!$K:$K,T325)&lt;&gt;""," · "&amp;INDEX('Form Calc'!$K:$K,T325),"")&amp;IF(INDEX('Form Calc'!$M:$M,T325)&lt;&gt;""," · “"&amp;INDEX('Form Calc'!$M:$M,T325)&amp;"”","")))</f>
        <v/>
      </c>
      <c r="R325" s="32">
        <f>SUBSTITUTE(SUBSTITUTE(SUBSTITUTE(SUBSTITUTE(SUBSTITUTE(SUBSTITUTE(SUBSTITUTE(SUBSTITUTE(D325&amp;""," ",""),"-",""),"(",""),")",""),".",""),"+",""),"/",""),CHAR(160),"")</f>
        <v/>
      </c>
      <c r="S325" s="32">
        <f>IF(LEN(R325)&gt;=10,RIGHT(R325,10),R325)</f>
        <v/>
      </c>
      <c r="T325" s="32">
        <f>IF(TRIM(A325&amp;"")="","",IF(S325&lt;&gt;"",IFERROR(MATCH(S325,'Form Calc'!$P:$P,0),IFERROR(MATCH(TRIM(A325&amp;""),'Form Calc'!$Q:$Q,0),"")),IFERROR(MATCH(TRIM(A325&amp;""),'Form Calc'!$Q:$Q,0),"")))</f>
        <v/>
      </c>
      <c r="U325" s="32">
        <f>IF(AND(T325&lt;&gt;"",TRIM(E325&amp;"")&lt;&gt;""),TRIM(E325&amp;""),"")</f>
        <v/>
      </c>
      <c r="V325" s="32">
        <f>IF(TRIM(A325&amp;"")="","",IF(T325&lt;&gt;"",T325,IF(TRIM(E325&amp;"")="","",IFERROR(INDEX($T$6:$T$505,MATCH(TRIM(E325&amp;""),$U$6:$U$505,0)),""))))</f>
        <v/>
      </c>
      <c r="W325" s="32">
        <f>IF(V325="","",INDEX('Form Calc'!$G:$G,V325))</f>
        <v/>
      </c>
      <c r="X325" s="32">
        <f>IF(TRIM(A325&amp;"")="","",IF(T325&lt;&gt;"",IF(INDEX('Form Calc'!$K:$K,T325)&lt;&gt;"",INDEX('Form Calc'!$K:$K,T325),J325&amp;""),J325&amp;""))</f>
        <v/>
      </c>
      <c r="Y325" s="32">
        <f>IF(TRIM(A325&amp;"")="","",IF(TRIM(D325&amp;"")&lt;&gt;"",TRIM(D325&amp;""),IF(T325&lt;&gt;"",INDEX('Form Calc'!$C:$C,T325)&amp;"","")))</f>
        <v/>
      </c>
      <c r="Z325" s="32">
        <f>SUBSTITUTE(SUBSTITUTE(SUBSTITUTE(SUBSTITUTE(SUBSTITUTE(SUBSTITUTE(SUBSTITUTE(SUBSTITUTE(Y325," ",""),"-",""),"(",""),")",""),".",""),"+",""),"/",""),CHAR(160),"")</f>
        <v/>
      </c>
      <c r="AA325" s="32">
        <f>IF(Z325="","",IF(LEN(Z325)=10,"+1"&amp;Z325,IF(AND(LEN(Z325)=11,LEFT(Z325,1)="1"),"+"&amp;Z325,IF(LEFT(Y325,1)="+","+"&amp;Z325,Z325))))</f>
        <v/>
      </c>
      <c r="AB325" s="32">
        <f>IF(TRIM(A325&amp;"")="","",IF(TRIM(M325&amp;"")&lt;&gt;"",TRIM(M325&amp;""),IFERROR(LEFT(TRIM(A325&amp;""),FIND(" ",TRIM(A325&amp;""))-1),TRIM(A325&amp;""))))</f>
        <v/>
      </c>
      <c r="AC325" s="32">
        <f>SUBSTITUTE(SUBSTITUTE(SUBSTITUTE(SUBSTITUTE(SUBSTITUTE(SUBSTITUTE(SUBSTITUTE(SUBSTITUTE(SUBSTITUTE(SUBSTITUTE(AB325,"%","%25"),"&amp;","%26"),"#","%23"),"+","%2B"),"=","%3D"),"?","%3F"),CHAR(34),"%22"),CHAR(10),"%0A"),CHAR(13),"")," ","+")</f>
        <v/>
      </c>
      <c r="AD325" s="32">
        <f>IF(OR(AA325="",AB325=""),"",'Start Here'!$B$20&amp;"#p="&amp;SUBSTITUTE(AA325,"+","%2B")&amp;"&amp;n="&amp;AC325&amp;"&amp;m="&amp;SUBSTITUTE('Start Here'!$B$24,"{name}",AC325))</f>
        <v/>
      </c>
      <c r="AE325" s="32">
        <f>LEN(AD325)</f>
        <v/>
      </c>
      <c r="AF325" s="32">
        <f>IF(AND(TRIM(A325&amp;"")&lt;&gt;"",OR(B325="Awaiting",B325="Not sure yet")),1,0)</f>
        <v/>
      </c>
      <c r="AG325" s="32">
        <f>N(AG324)+AF325</f>
        <v/>
      </c>
      <c r="AH325" s="32">
        <f>IF(AF325=1,AG325,"")</f>
        <v/>
      </c>
      <c r="AI325" s="32">
        <f>IF(AND(TRIM(A325&amp;"")&lt;&gt;"",L325&amp;""&lt;&gt;"",L325&amp;""=Seating!$I$3&amp;"",B325&lt;&gt;"Declined"),1,0)</f>
        <v/>
      </c>
      <c r="AJ325" s="32">
        <f>N(AJ324)+AI325</f>
        <v/>
      </c>
      <c r="AK325" s="32">
        <f>IF(AI325=1,AJ325,"")</f>
        <v/>
      </c>
    </row>
    <row r="326">
      <c r="A326" s="10" t="n"/>
      <c r="B326" s="47">
        <f>IF(TRIM(A326&amp;"")="","",IF(W326&lt;&gt;"",W326,IF(I326="","Awaiting",I326)))</f>
        <v/>
      </c>
      <c r="C326" s="60">
        <f>IF(OR(B326="Awaiting",B326="Not sure yet"),IF(AD326&lt;&gt;"",HYPERLINK(AD326,"💬 Remind"),"add mobile"),"")</f>
        <v/>
      </c>
      <c r="D326" s="58" t="n"/>
      <c r="E326" s="10" t="n"/>
      <c r="F326" s="10" t="n"/>
      <c r="G326" s="10" t="n"/>
      <c r="H326" s="10" t="n"/>
      <c r="I326" s="10" t="n"/>
      <c r="J326" s="10" t="n"/>
      <c r="K326" s="10" t="n"/>
      <c r="L326" s="56" t="n"/>
      <c r="M326" s="10" t="n"/>
      <c r="N326" s="12" t="n"/>
      <c r="O326" s="10" t="n"/>
      <c r="P326" s="10" t="n"/>
      <c r="Q326" s="61">
        <f>IF(V326="","",IF(T326="","Covered by "&amp;INDEX('Form Calc'!$B:$B,V326)&amp;"'s reply (same party)","Replied "&amp;TEXT(INDEX('Form Calc'!$A:$A,T326),"mm/dd")&amp;" · "&amp;INDEX('Form Calc'!$H:$H,T326)&amp;" adult(s), "&amp;INDEX('Form Calc'!$I:$I,T326)&amp;" child(ren)"&amp;IF(INDEX('Form Calc'!$K:$K,T326)&lt;&gt;""," · "&amp;INDEX('Form Calc'!$K:$K,T326),"")&amp;IF(INDEX('Form Calc'!$M:$M,T326)&lt;&gt;""," · “"&amp;INDEX('Form Calc'!$M:$M,T326)&amp;"”","")))</f>
        <v/>
      </c>
      <c r="R326" s="32">
        <f>SUBSTITUTE(SUBSTITUTE(SUBSTITUTE(SUBSTITUTE(SUBSTITUTE(SUBSTITUTE(SUBSTITUTE(SUBSTITUTE(D326&amp;""," ",""),"-",""),"(",""),")",""),".",""),"+",""),"/",""),CHAR(160),"")</f>
        <v/>
      </c>
      <c r="S326" s="32">
        <f>IF(LEN(R326)&gt;=10,RIGHT(R326,10),R326)</f>
        <v/>
      </c>
      <c r="T326" s="32">
        <f>IF(TRIM(A326&amp;"")="","",IF(S326&lt;&gt;"",IFERROR(MATCH(S326,'Form Calc'!$P:$P,0),IFERROR(MATCH(TRIM(A326&amp;""),'Form Calc'!$Q:$Q,0),"")),IFERROR(MATCH(TRIM(A326&amp;""),'Form Calc'!$Q:$Q,0),"")))</f>
        <v/>
      </c>
      <c r="U326" s="32">
        <f>IF(AND(T326&lt;&gt;"",TRIM(E326&amp;"")&lt;&gt;""),TRIM(E326&amp;""),"")</f>
        <v/>
      </c>
      <c r="V326" s="32">
        <f>IF(TRIM(A326&amp;"")="","",IF(T326&lt;&gt;"",T326,IF(TRIM(E326&amp;"")="","",IFERROR(INDEX($T$6:$T$505,MATCH(TRIM(E326&amp;""),$U$6:$U$505,0)),""))))</f>
        <v/>
      </c>
      <c r="W326" s="32">
        <f>IF(V326="","",INDEX('Form Calc'!$G:$G,V326))</f>
        <v/>
      </c>
      <c r="X326" s="32">
        <f>IF(TRIM(A326&amp;"")="","",IF(T326&lt;&gt;"",IF(INDEX('Form Calc'!$K:$K,T326)&lt;&gt;"",INDEX('Form Calc'!$K:$K,T326),J326&amp;""),J326&amp;""))</f>
        <v/>
      </c>
      <c r="Y326" s="32">
        <f>IF(TRIM(A326&amp;"")="","",IF(TRIM(D326&amp;"")&lt;&gt;"",TRIM(D326&amp;""),IF(T326&lt;&gt;"",INDEX('Form Calc'!$C:$C,T326)&amp;"","")))</f>
        <v/>
      </c>
      <c r="Z326" s="32">
        <f>SUBSTITUTE(SUBSTITUTE(SUBSTITUTE(SUBSTITUTE(SUBSTITUTE(SUBSTITUTE(SUBSTITUTE(SUBSTITUTE(Y326," ",""),"-",""),"(",""),")",""),".",""),"+",""),"/",""),CHAR(160),"")</f>
        <v/>
      </c>
      <c r="AA326" s="32">
        <f>IF(Z326="","",IF(LEN(Z326)=10,"+1"&amp;Z326,IF(AND(LEN(Z326)=11,LEFT(Z326,1)="1"),"+"&amp;Z326,IF(LEFT(Y326,1)="+","+"&amp;Z326,Z326))))</f>
        <v/>
      </c>
      <c r="AB326" s="32">
        <f>IF(TRIM(A326&amp;"")="","",IF(TRIM(M326&amp;"")&lt;&gt;"",TRIM(M326&amp;""),IFERROR(LEFT(TRIM(A326&amp;""),FIND(" ",TRIM(A326&amp;""))-1),TRIM(A326&amp;""))))</f>
        <v/>
      </c>
      <c r="AC326" s="32">
        <f>SUBSTITUTE(SUBSTITUTE(SUBSTITUTE(SUBSTITUTE(SUBSTITUTE(SUBSTITUTE(SUBSTITUTE(SUBSTITUTE(SUBSTITUTE(SUBSTITUTE(AB326,"%","%25"),"&amp;","%26"),"#","%23"),"+","%2B"),"=","%3D"),"?","%3F"),CHAR(34),"%22"),CHAR(10),"%0A"),CHAR(13),"")," ","+")</f>
        <v/>
      </c>
      <c r="AD326" s="32">
        <f>IF(OR(AA326="",AB326=""),"",'Start Here'!$B$20&amp;"#p="&amp;SUBSTITUTE(AA326,"+","%2B")&amp;"&amp;n="&amp;AC326&amp;"&amp;m="&amp;SUBSTITUTE('Start Here'!$B$24,"{name}",AC326))</f>
        <v/>
      </c>
      <c r="AE326" s="32">
        <f>LEN(AD326)</f>
        <v/>
      </c>
      <c r="AF326" s="32">
        <f>IF(AND(TRIM(A326&amp;"")&lt;&gt;"",OR(B326="Awaiting",B326="Not sure yet")),1,0)</f>
        <v/>
      </c>
      <c r="AG326" s="32">
        <f>N(AG325)+AF326</f>
        <v/>
      </c>
      <c r="AH326" s="32">
        <f>IF(AF326=1,AG326,"")</f>
        <v/>
      </c>
      <c r="AI326" s="32">
        <f>IF(AND(TRIM(A326&amp;"")&lt;&gt;"",L326&amp;""&lt;&gt;"",L326&amp;""=Seating!$I$3&amp;"",B326&lt;&gt;"Declined"),1,0)</f>
        <v/>
      </c>
      <c r="AJ326" s="32">
        <f>N(AJ325)+AI326</f>
        <v/>
      </c>
      <c r="AK326" s="32">
        <f>IF(AI326=1,AJ326,"")</f>
        <v/>
      </c>
    </row>
    <row r="327">
      <c r="A327" s="10" t="n"/>
      <c r="B327" s="47">
        <f>IF(TRIM(A327&amp;"")="","",IF(W327&lt;&gt;"",W327,IF(I327="","Awaiting",I327)))</f>
        <v/>
      </c>
      <c r="C327" s="60">
        <f>IF(OR(B327="Awaiting",B327="Not sure yet"),IF(AD327&lt;&gt;"",HYPERLINK(AD327,"💬 Remind"),"add mobile"),"")</f>
        <v/>
      </c>
      <c r="D327" s="58" t="n"/>
      <c r="E327" s="10" t="n"/>
      <c r="F327" s="10" t="n"/>
      <c r="G327" s="10" t="n"/>
      <c r="H327" s="10" t="n"/>
      <c r="I327" s="10" t="n"/>
      <c r="J327" s="10" t="n"/>
      <c r="K327" s="10" t="n"/>
      <c r="L327" s="56" t="n"/>
      <c r="M327" s="10" t="n"/>
      <c r="N327" s="12" t="n"/>
      <c r="O327" s="10" t="n"/>
      <c r="P327" s="10" t="n"/>
      <c r="Q327" s="61">
        <f>IF(V327="","",IF(T327="","Covered by "&amp;INDEX('Form Calc'!$B:$B,V327)&amp;"'s reply (same party)","Replied "&amp;TEXT(INDEX('Form Calc'!$A:$A,T327),"mm/dd")&amp;" · "&amp;INDEX('Form Calc'!$H:$H,T327)&amp;" adult(s), "&amp;INDEX('Form Calc'!$I:$I,T327)&amp;" child(ren)"&amp;IF(INDEX('Form Calc'!$K:$K,T327)&lt;&gt;""," · "&amp;INDEX('Form Calc'!$K:$K,T327),"")&amp;IF(INDEX('Form Calc'!$M:$M,T327)&lt;&gt;""," · “"&amp;INDEX('Form Calc'!$M:$M,T327)&amp;"”","")))</f>
        <v/>
      </c>
      <c r="R327" s="32">
        <f>SUBSTITUTE(SUBSTITUTE(SUBSTITUTE(SUBSTITUTE(SUBSTITUTE(SUBSTITUTE(SUBSTITUTE(SUBSTITUTE(D327&amp;""," ",""),"-",""),"(",""),")",""),".",""),"+",""),"/",""),CHAR(160),"")</f>
        <v/>
      </c>
      <c r="S327" s="32">
        <f>IF(LEN(R327)&gt;=10,RIGHT(R327,10),R327)</f>
        <v/>
      </c>
      <c r="T327" s="32">
        <f>IF(TRIM(A327&amp;"")="","",IF(S327&lt;&gt;"",IFERROR(MATCH(S327,'Form Calc'!$P:$P,0),IFERROR(MATCH(TRIM(A327&amp;""),'Form Calc'!$Q:$Q,0),"")),IFERROR(MATCH(TRIM(A327&amp;""),'Form Calc'!$Q:$Q,0),"")))</f>
        <v/>
      </c>
      <c r="U327" s="32">
        <f>IF(AND(T327&lt;&gt;"",TRIM(E327&amp;"")&lt;&gt;""),TRIM(E327&amp;""),"")</f>
        <v/>
      </c>
      <c r="V327" s="32">
        <f>IF(TRIM(A327&amp;"")="","",IF(T327&lt;&gt;"",T327,IF(TRIM(E327&amp;"")="","",IFERROR(INDEX($T$6:$T$505,MATCH(TRIM(E327&amp;""),$U$6:$U$505,0)),""))))</f>
        <v/>
      </c>
      <c r="W327" s="32">
        <f>IF(V327="","",INDEX('Form Calc'!$G:$G,V327))</f>
        <v/>
      </c>
      <c r="X327" s="32">
        <f>IF(TRIM(A327&amp;"")="","",IF(T327&lt;&gt;"",IF(INDEX('Form Calc'!$K:$K,T327)&lt;&gt;"",INDEX('Form Calc'!$K:$K,T327),J327&amp;""),J327&amp;""))</f>
        <v/>
      </c>
      <c r="Y327" s="32">
        <f>IF(TRIM(A327&amp;"")="","",IF(TRIM(D327&amp;"")&lt;&gt;"",TRIM(D327&amp;""),IF(T327&lt;&gt;"",INDEX('Form Calc'!$C:$C,T327)&amp;"","")))</f>
        <v/>
      </c>
      <c r="Z327" s="32">
        <f>SUBSTITUTE(SUBSTITUTE(SUBSTITUTE(SUBSTITUTE(SUBSTITUTE(SUBSTITUTE(SUBSTITUTE(SUBSTITUTE(Y327," ",""),"-",""),"(",""),")",""),".",""),"+",""),"/",""),CHAR(160),"")</f>
        <v/>
      </c>
      <c r="AA327" s="32">
        <f>IF(Z327="","",IF(LEN(Z327)=10,"+1"&amp;Z327,IF(AND(LEN(Z327)=11,LEFT(Z327,1)="1"),"+"&amp;Z327,IF(LEFT(Y327,1)="+","+"&amp;Z327,Z327))))</f>
        <v/>
      </c>
      <c r="AB327" s="32">
        <f>IF(TRIM(A327&amp;"")="","",IF(TRIM(M327&amp;"")&lt;&gt;"",TRIM(M327&amp;""),IFERROR(LEFT(TRIM(A327&amp;""),FIND(" ",TRIM(A327&amp;""))-1),TRIM(A327&amp;""))))</f>
        <v/>
      </c>
      <c r="AC327" s="32">
        <f>SUBSTITUTE(SUBSTITUTE(SUBSTITUTE(SUBSTITUTE(SUBSTITUTE(SUBSTITUTE(SUBSTITUTE(SUBSTITUTE(SUBSTITUTE(SUBSTITUTE(AB327,"%","%25"),"&amp;","%26"),"#","%23"),"+","%2B"),"=","%3D"),"?","%3F"),CHAR(34),"%22"),CHAR(10),"%0A"),CHAR(13),"")," ","+")</f>
        <v/>
      </c>
      <c r="AD327" s="32">
        <f>IF(OR(AA327="",AB327=""),"",'Start Here'!$B$20&amp;"#p="&amp;SUBSTITUTE(AA327,"+","%2B")&amp;"&amp;n="&amp;AC327&amp;"&amp;m="&amp;SUBSTITUTE('Start Here'!$B$24,"{name}",AC327))</f>
        <v/>
      </c>
      <c r="AE327" s="32">
        <f>LEN(AD327)</f>
        <v/>
      </c>
      <c r="AF327" s="32">
        <f>IF(AND(TRIM(A327&amp;"")&lt;&gt;"",OR(B327="Awaiting",B327="Not sure yet")),1,0)</f>
        <v/>
      </c>
      <c r="AG327" s="32">
        <f>N(AG326)+AF327</f>
        <v/>
      </c>
      <c r="AH327" s="32">
        <f>IF(AF327=1,AG327,"")</f>
        <v/>
      </c>
      <c r="AI327" s="32">
        <f>IF(AND(TRIM(A327&amp;"")&lt;&gt;"",L327&amp;""&lt;&gt;"",L327&amp;""=Seating!$I$3&amp;"",B327&lt;&gt;"Declined"),1,0)</f>
        <v/>
      </c>
      <c r="AJ327" s="32">
        <f>N(AJ326)+AI327</f>
        <v/>
      </c>
      <c r="AK327" s="32">
        <f>IF(AI327=1,AJ327,"")</f>
        <v/>
      </c>
    </row>
    <row r="328">
      <c r="A328" s="10" t="n"/>
      <c r="B328" s="47">
        <f>IF(TRIM(A328&amp;"")="","",IF(W328&lt;&gt;"",W328,IF(I328="","Awaiting",I328)))</f>
        <v/>
      </c>
      <c r="C328" s="60">
        <f>IF(OR(B328="Awaiting",B328="Not sure yet"),IF(AD328&lt;&gt;"",HYPERLINK(AD328,"💬 Remind"),"add mobile"),"")</f>
        <v/>
      </c>
      <c r="D328" s="58" t="n"/>
      <c r="E328" s="10" t="n"/>
      <c r="F328" s="10" t="n"/>
      <c r="G328" s="10" t="n"/>
      <c r="H328" s="10" t="n"/>
      <c r="I328" s="10" t="n"/>
      <c r="J328" s="10" t="n"/>
      <c r="K328" s="10" t="n"/>
      <c r="L328" s="56" t="n"/>
      <c r="M328" s="10" t="n"/>
      <c r="N328" s="12" t="n"/>
      <c r="O328" s="10" t="n"/>
      <c r="P328" s="10" t="n"/>
      <c r="Q328" s="61">
        <f>IF(V328="","",IF(T328="","Covered by "&amp;INDEX('Form Calc'!$B:$B,V328)&amp;"'s reply (same party)","Replied "&amp;TEXT(INDEX('Form Calc'!$A:$A,T328),"mm/dd")&amp;" · "&amp;INDEX('Form Calc'!$H:$H,T328)&amp;" adult(s), "&amp;INDEX('Form Calc'!$I:$I,T328)&amp;" child(ren)"&amp;IF(INDEX('Form Calc'!$K:$K,T328)&lt;&gt;""," · "&amp;INDEX('Form Calc'!$K:$K,T328),"")&amp;IF(INDEX('Form Calc'!$M:$M,T328)&lt;&gt;""," · “"&amp;INDEX('Form Calc'!$M:$M,T328)&amp;"”","")))</f>
        <v/>
      </c>
      <c r="R328" s="32">
        <f>SUBSTITUTE(SUBSTITUTE(SUBSTITUTE(SUBSTITUTE(SUBSTITUTE(SUBSTITUTE(SUBSTITUTE(SUBSTITUTE(D328&amp;""," ",""),"-",""),"(",""),")",""),".",""),"+",""),"/",""),CHAR(160),"")</f>
        <v/>
      </c>
      <c r="S328" s="32">
        <f>IF(LEN(R328)&gt;=10,RIGHT(R328,10),R328)</f>
        <v/>
      </c>
      <c r="T328" s="32">
        <f>IF(TRIM(A328&amp;"")="","",IF(S328&lt;&gt;"",IFERROR(MATCH(S328,'Form Calc'!$P:$P,0),IFERROR(MATCH(TRIM(A328&amp;""),'Form Calc'!$Q:$Q,0),"")),IFERROR(MATCH(TRIM(A328&amp;""),'Form Calc'!$Q:$Q,0),"")))</f>
        <v/>
      </c>
      <c r="U328" s="32">
        <f>IF(AND(T328&lt;&gt;"",TRIM(E328&amp;"")&lt;&gt;""),TRIM(E328&amp;""),"")</f>
        <v/>
      </c>
      <c r="V328" s="32">
        <f>IF(TRIM(A328&amp;"")="","",IF(T328&lt;&gt;"",T328,IF(TRIM(E328&amp;"")="","",IFERROR(INDEX($T$6:$T$505,MATCH(TRIM(E328&amp;""),$U$6:$U$505,0)),""))))</f>
        <v/>
      </c>
      <c r="W328" s="32">
        <f>IF(V328="","",INDEX('Form Calc'!$G:$G,V328))</f>
        <v/>
      </c>
      <c r="X328" s="32">
        <f>IF(TRIM(A328&amp;"")="","",IF(T328&lt;&gt;"",IF(INDEX('Form Calc'!$K:$K,T328)&lt;&gt;"",INDEX('Form Calc'!$K:$K,T328),J328&amp;""),J328&amp;""))</f>
        <v/>
      </c>
      <c r="Y328" s="32">
        <f>IF(TRIM(A328&amp;"")="","",IF(TRIM(D328&amp;"")&lt;&gt;"",TRIM(D328&amp;""),IF(T328&lt;&gt;"",INDEX('Form Calc'!$C:$C,T328)&amp;"","")))</f>
        <v/>
      </c>
      <c r="Z328" s="32">
        <f>SUBSTITUTE(SUBSTITUTE(SUBSTITUTE(SUBSTITUTE(SUBSTITUTE(SUBSTITUTE(SUBSTITUTE(SUBSTITUTE(Y328," ",""),"-",""),"(",""),")",""),".",""),"+",""),"/",""),CHAR(160),"")</f>
        <v/>
      </c>
      <c r="AA328" s="32">
        <f>IF(Z328="","",IF(LEN(Z328)=10,"+1"&amp;Z328,IF(AND(LEN(Z328)=11,LEFT(Z328,1)="1"),"+"&amp;Z328,IF(LEFT(Y328,1)="+","+"&amp;Z328,Z328))))</f>
        <v/>
      </c>
      <c r="AB328" s="32">
        <f>IF(TRIM(A328&amp;"")="","",IF(TRIM(M328&amp;"")&lt;&gt;"",TRIM(M328&amp;""),IFERROR(LEFT(TRIM(A328&amp;""),FIND(" ",TRIM(A328&amp;""))-1),TRIM(A328&amp;""))))</f>
        <v/>
      </c>
      <c r="AC328" s="32">
        <f>SUBSTITUTE(SUBSTITUTE(SUBSTITUTE(SUBSTITUTE(SUBSTITUTE(SUBSTITUTE(SUBSTITUTE(SUBSTITUTE(SUBSTITUTE(SUBSTITUTE(AB328,"%","%25"),"&amp;","%26"),"#","%23"),"+","%2B"),"=","%3D"),"?","%3F"),CHAR(34),"%22"),CHAR(10),"%0A"),CHAR(13),"")," ","+")</f>
        <v/>
      </c>
      <c r="AD328" s="32">
        <f>IF(OR(AA328="",AB328=""),"",'Start Here'!$B$20&amp;"#p="&amp;SUBSTITUTE(AA328,"+","%2B")&amp;"&amp;n="&amp;AC328&amp;"&amp;m="&amp;SUBSTITUTE('Start Here'!$B$24,"{name}",AC328))</f>
        <v/>
      </c>
      <c r="AE328" s="32">
        <f>LEN(AD328)</f>
        <v/>
      </c>
      <c r="AF328" s="32">
        <f>IF(AND(TRIM(A328&amp;"")&lt;&gt;"",OR(B328="Awaiting",B328="Not sure yet")),1,0)</f>
        <v/>
      </c>
      <c r="AG328" s="32">
        <f>N(AG327)+AF328</f>
        <v/>
      </c>
      <c r="AH328" s="32">
        <f>IF(AF328=1,AG328,"")</f>
        <v/>
      </c>
      <c r="AI328" s="32">
        <f>IF(AND(TRIM(A328&amp;"")&lt;&gt;"",L328&amp;""&lt;&gt;"",L328&amp;""=Seating!$I$3&amp;"",B328&lt;&gt;"Declined"),1,0)</f>
        <v/>
      </c>
      <c r="AJ328" s="32">
        <f>N(AJ327)+AI328</f>
        <v/>
      </c>
      <c r="AK328" s="32">
        <f>IF(AI328=1,AJ328,"")</f>
        <v/>
      </c>
    </row>
    <row r="329">
      <c r="A329" s="10" t="n"/>
      <c r="B329" s="47">
        <f>IF(TRIM(A329&amp;"")="","",IF(W329&lt;&gt;"",W329,IF(I329="","Awaiting",I329)))</f>
        <v/>
      </c>
      <c r="C329" s="60">
        <f>IF(OR(B329="Awaiting",B329="Not sure yet"),IF(AD329&lt;&gt;"",HYPERLINK(AD329,"💬 Remind"),"add mobile"),"")</f>
        <v/>
      </c>
      <c r="D329" s="58" t="n"/>
      <c r="E329" s="10" t="n"/>
      <c r="F329" s="10" t="n"/>
      <c r="G329" s="10" t="n"/>
      <c r="H329" s="10" t="n"/>
      <c r="I329" s="10" t="n"/>
      <c r="J329" s="10" t="n"/>
      <c r="K329" s="10" t="n"/>
      <c r="L329" s="56" t="n"/>
      <c r="M329" s="10" t="n"/>
      <c r="N329" s="12" t="n"/>
      <c r="O329" s="10" t="n"/>
      <c r="P329" s="10" t="n"/>
      <c r="Q329" s="61">
        <f>IF(V329="","",IF(T329="","Covered by "&amp;INDEX('Form Calc'!$B:$B,V329)&amp;"'s reply (same party)","Replied "&amp;TEXT(INDEX('Form Calc'!$A:$A,T329),"mm/dd")&amp;" · "&amp;INDEX('Form Calc'!$H:$H,T329)&amp;" adult(s), "&amp;INDEX('Form Calc'!$I:$I,T329)&amp;" child(ren)"&amp;IF(INDEX('Form Calc'!$K:$K,T329)&lt;&gt;""," · "&amp;INDEX('Form Calc'!$K:$K,T329),"")&amp;IF(INDEX('Form Calc'!$M:$M,T329)&lt;&gt;""," · “"&amp;INDEX('Form Calc'!$M:$M,T329)&amp;"”","")))</f>
        <v/>
      </c>
      <c r="R329" s="32">
        <f>SUBSTITUTE(SUBSTITUTE(SUBSTITUTE(SUBSTITUTE(SUBSTITUTE(SUBSTITUTE(SUBSTITUTE(SUBSTITUTE(D329&amp;""," ",""),"-",""),"(",""),")",""),".",""),"+",""),"/",""),CHAR(160),"")</f>
        <v/>
      </c>
      <c r="S329" s="32">
        <f>IF(LEN(R329)&gt;=10,RIGHT(R329,10),R329)</f>
        <v/>
      </c>
      <c r="T329" s="32">
        <f>IF(TRIM(A329&amp;"")="","",IF(S329&lt;&gt;"",IFERROR(MATCH(S329,'Form Calc'!$P:$P,0),IFERROR(MATCH(TRIM(A329&amp;""),'Form Calc'!$Q:$Q,0),"")),IFERROR(MATCH(TRIM(A329&amp;""),'Form Calc'!$Q:$Q,0),"")))</f>
        <v/>
      </c>
      <c r="U329" s="32">
        <f>IF(AND(T329&lt;&gt;"",TRIM(E329&amp;"")&lt;&gt;""),TRIM(E329&amp;""),"")</f>
        <v/>
      </c>
      <c r="V329" s="32">
        <f>IF(TRIM(A329&amp;"")="","",IF(T329&lt;&gt;"",T329,IF(TRIM(E329&amp;"")="","",IFERROR(INDEX($T$6:$T$505,MATCH(TRIM(E329&amp;""),$U$6:$U$505,0)),""))))</f>
        <v/>
      </c>
      <c r="W329" s="32">
        <f>IF(V329="","",INDEX('Form Calc'!$G:$G,V329))</f>
        <v/>
      </c>
      <c r="X329" s="32">
        <f>IF(TRIM(A329&amp;"")="","",IF(T329&lt;&gt;"",IF(INDEX('Form Calc'!$K:$K,T329)&lt;&gt;"",INDEX('Form Calc'!$K:$K,T329),J329&amp;""),J329&amp;""))</f>
        <v/>
      </c>
      <c r="Y329" s="32">
        <f>IF(TRIM(A329&amp;"")="","",IF(TRIM(D329&amp;"")&lt;&gt;"",TRIM(D329&amp;""),IF(T329&lt;&gt;"",INDEX('Form Calc'!$C:$C,T329)&amp;"","")))</f>
        <v/>
      </c>
      <c r="Z329" s="32">
        <f>SUBSTITUTE(SUBSTITUTE(SUBSTITUTE(SUBSTITUTE(SUBSTITUTE(SUBSTITUTE(SUBSTITUTE(SUBSTITUTE(Y329," ",""),"-",""),"(",""),")",""),".",""),"+",""),"/",""),CHAR(160),"")</f>
        <v/>
      </c>
      <c r="AA329" s="32">
        <f>IF(Z329="","",IF(LEN(Z329)=10,"+1"&amp;Z329,IF(AND(LEN(Z329)=11,LEFT(Z329,1)="1"),"+"&amp;Z329,IF(LEFT(Y329,1)="+","+"&amp;Z329,Z329))))</f>
        <v/>
      </c>
      <c r="AB329" s="32">
        <f>IF(TRIM(A329&amp;"")="","",IF(TRIM(M329&amp;"")&lt;&gt;"",TRIM(M329&amp;""),IFERROR(LEFT(TRIM(A329&amp;""),FIND(" ",TRIM(A329&amp;""))-1),TRIM(A329&amp;""))))</f>
        <v/>
      </c>
      <c r="AC329" s="32">
        <f>SUBSTITUTE(SUBSTITUTE(SUBSTITUTE(SUBSTITUTE(SUBSTITUTE(SUBSTITUTE(SUBSTITUTE(SUBSTITUTE(SUBSTITUTE(SUBSTITUTE(AB329,"%","%25"),"&amp;","%26"),"#","%23"),"+","%2B"),"=","%3D"),"?","%3F"),CHAR(34),"%22"),CHAR(10),"%0A"),CHAR(13),"")," ","+")</f>
        <v/>
      </c>
      <c r="AD329" s="32">
        <f>IF(OR(AA329="",AB329=""),"",'Start Here'!$B$20&amp;"#p="&amp;SUBSTITUTE(AA329,"+","%2B")&amp;"&amp;n="&amp;AC329&amp;"&amp;m="&amp;SUBSTITUTE('Start Here'!$B$24,"{name}",AC329))</f>
        <v/>
      </c>
      <c r="AE329" s="32">
        <f>LEN(AD329)</f>
        <v/>
      </c>
      <c r="AF329" s="32">
        <f>IF(AND(TRIM(A329&amp;"")&lt;&gt;"",OR(B329="Awaiting",B329="Not sure yet")),1,0)</f>
        <v/>
      </c>
      <c r="AG329" s="32">
        <f>N(AG328)+AF329</f>
        <v/>
      </c>
      <c r="AH329" s="32">
        <f>IF(AF329=1,AG329,"")</f>
        <v/>
      </c>
      <c r="AI329" s="32">
        <f>IF(AND(TRIM(A329&amp;"")&lt;&gt;"",L329&amp;""&lt;&gt;"",L329&amp;""=Seating!$I$3&amp;"",B329&lt;&gt;"Declined"),1,0)</f>
        <v/>
      </c>
      <c r="AJ329" s="32">
        <f>N(AJ328)+AI329</f>
        <v/>
      </c>
      <c r="AK329" s="32">
        <f>IF(AI329=1,AJ329,"")</f>
        <v/>
      </c>
    </row>
    <row r="330">
      <c r="A330" s="10" t="n"/>
      <c r="B330" s="47">
        <f>IF(TRIM(A330&amp;"")="","",IF(W330&lt;&gt;"",W330,IF(I330="","Awaiting",I330)))</f>
        <v/>
      </c>
      <c r="C330" s="60">
        <f>IF(OR(B330="Awaiting",B330="Not sure yet"),IF(AD330&lt;&gt;"",HYPERLINK(AD330,"💬 Remind"),"add mobile"),"")</f>
        <v/>
      </c>
      <c r="D330" s="58" t="n"/>
      <c r="E330" s="10" t="n"/>
      <c r="F330" s="10" t="n"/>
      <c r="G330" s="10" t="n"/>
      <c r="H330" s="10" t="n"/>
      <c r="I330" s="10" t="n"/>
      <c r="J330" s="10" t="n"/>
      <c r="K330" s="10" t="n"/>
      <c r="L330" s="56" t="n"/>
      <c r="M330" s="10" t="n"/>
      <c r="N330" s="12" t="n"/>
      <c r="O330" s="10" t="n"/>
      <c r="P330" s="10" t="n"/>
      <c r="Q330" s="61">
        <f>IF(V330="","",IF(T330="","Covered by "&amp;INDEX('Form Calc'!$B:$B,V330)&amp;"'s reply (same party)","Replied "&amp;TEXT(INDEX('Form Calc'!$A:$A,T330),"mm/dd")&amp;" · "&amp;INDEX('Form Calc'!$H:$H,T330)&amp;" adult(s), "&amp;INDEX('Form Calc'!$I:$I,T330)&amp;" child(ren)"&amp;IF(INDEX('Form Calc'!$K:$K,T330)&lt;&gt;""," · "&amp;INDEX('Form Calc'!$K:$K,T330),"")&amp;IF(INDEX('Form Calc'!$M:$M,T330)&lt;&gt;""," · “"&amp;INDEX('Form Calc'!$M:$M,T330)&amp;"”","")))</f>
        <v/>
      </c>
      <c r="R330" s="32">
        <f>SUBSTITUTE(SUBSTITUTE(SUBSTITUTE(SUBSTITUTE(SUBSTITUTE(SUBSTITUTE(SUBSTITUTE(SUBSTITUTE(D330&amp;""," ",""),"-",""),"(",""),")",""),".",""),"+",""),"/",""),CHAR(160),"")</f>
        <v/>
      </c>
      <c r="S330" s="32">
        <f>IF(LEN(R330)&gt;=10,RIGHT(R330,10),R330)</f>
        <v/>
      </c>
      <c r="T330" s="32">
        <f>IF(TRIM(A330&amp;"")="","",IF(S330&lt;&gt;"",IFERROR(MATCH(S330,'Form Calc'!$P:$P,0),IFERROR(MATCH(TRIM(A330&amp;""),'Form Calc'!$Q:$Q,0),"")),IFERROR(MATCH(TRIM(A330&amp;""),'Form Calc'!$Q:$Q,0),"")))</f>
        <v/>
      </c>
      <c r="U330" s="32">
        <f>IF(AND(T330&lt;&gt;"",TRIM(E330&amp;"")&lt;&gt;""),TRIM(E330&amp;""),"")</f>
        <v/>
      </c>
      <c r="V330" s="32">
        <f>IF(TRIM(A330&amp;"")="","",IF(T330&lt;&gt;"",T330,IF(TRIM(E330&amp;"")="","",IFERROR(INDEX($T$6:$T$505,MATCH(TRIM(E330&amp;""),$U$6:$U$505,0)),""))))</f>
        <v/>
      </c>
      <c r="W330" s="32">
        <f>IF(V330="","",INDEX('Form Calc'!$G:$G,V330))</f>
        <v/>
      </c>
      <c r="X330" s="32">
        <f>IF(TRIM(A330&amp;"")="","",IF(T330&lt;&gt;"",IF(INDEX('Form Calc'!$K:$K,T330)&lt;&gt;"",INDEX('Form Calc'!$K:$K,T330),J330&amp;""),J330&amp;""))</f>
        <v/>
      </c>
      <c r="Y330" s="32">
        <f>IF(TRIM(A330&amp;"")="","",IF(TRIM(D330&amp;"")&lt;&gt;"",TRIM(D330&amp;""),IF(T330&lt;&gt;"",INDEX('Form Calc'!$C:$C,T330)&amp;"","")))</f>
        <v/>
      </c>
      <c r="Z330" s="32">
        <f>SUBSTITUTE(SUBSTITUTE(SUBSTITUTE(SUBSTITUTE(SUBSTITUTE(SUBSTITUTE(SUBSTITUTE(SUBSTITUTE(Y330," ",""),"-",""),"(",""),")",""),".",""),"+",""),"/",""),CHAR(160),"")</f>
        <v/>
      </c>
      <c r="AA330" s="32">
        <f>IF(Z330="","",IF(LEN(Z330)=10,"+1"&amp;Z330,IF(AND(LEN(Z330)=11,LEFT(Z330,1)="1"),"+"&amp;Z330,IF(LEFT(Y330,1)="+","+"&amp;Z330,Z330))))</f>
        <v/>
      </c>
      <c r="AB330" s="32">
        <f>IF(TRIM(A330&amp;"")="","",IF(TRIM(M330&amp;"")&lt;&gt;"",TRIM(M330&amp;""),IFERROR(LEFT(TRIM(A330&amp;""),FIND(" ",TRIM(A330&amp;""))-1),TRIM(A330&amp;""))))</f>
        <v/>
      </c>
      <c r="AC330" s="32">
        <f>SUBSTITUTE(SUBSTITUTE(SUBSTITUTE(SUBSTITUTE(SUBSTITUTE(SUBSTITUTE(SUBSTITUTE(SUBSTITUTE(SUBSTITUTE(SUBSTITUTE(AB330,"%","%25"),"&amp;","%26"),"#","%23"),"+","%2B"),"=","%3D"),"?","%3F"),CHAR(34),"%22"),CHAR(10),"%0A"),CHAR(13),"")," ","+")</f>
        <v/>
      </c>
      <c r="AD330" s="32">
        <f>IF(OR(AA330="",AB330=""),"",'Start Here'!$B$20&amp;"#p="&amp;SUBSTITUTE(AA330,"+","%2B")&amp;"&amp;n="&amp;AC330&amp;"&amp;m="&amp;SUBSTITUTE('Start Here'!$B$24,"{name}",AC330))</f>
        <v/>
      </c>
      <c r="AE330" s="32">
        <f>LEN(AD330)</f>
        <v/>
      </c>
      <c r="AF330" s="32">
        <f>IF(AND(TRIM(A330&amp;"")&lt;&gt;"",OR(B330="Awaiting",B330="Not sure yet")),1,0)</f>
        <v/>
      </c>
      <c r="AG330" s="32">
        <f>N(AG329)+AF330</f>
        <v/>
      </c>
      <c r="AH330" s="32">
        <f>IF(AF330=1,AG330,"")</f>
        <v/>
      </c>
      <c r="AI330" s="32">
        <f>IF(AND(TRIM(A330&amp;"")&lt;&gt;"",L330&amp;""&lt;&gt;"",L330&amp;""=Seating!$I$3&amp;"",B330&lt;&gt;"Declined"),1,0)</f>
        <v/>
      </c>
      <c r="AJ330" s="32">
        <f>N(AJ329)+AI330</f>
        <v/>
      </c>
      <c r="AK330" s="32">
        <f>IF(AI330=1,AJ330,"")</f>
        <v/>
      </c>
    </row>
    <row r="331">
      <c r="A331" s="10" t="n"/>
      <c r="B331" s="47">
        <f>IF(TRIM(A331&amp;"")="","",IF(W331&lt;&gt;"",W331,IF(I331="","Awaiting",I331)))</f>
        <v/>
      </c>
      <c r="C331" s="60">
        <f>IF(OR(B331="Awaiting",B331="Not sure yet"),IF(AD331&lt;&gt;"",HYPERLINK(AD331,"💬 Remind"),"add mobile"),"")</f>
        <v/>
      </c>
      <c r="D331" s="58" t="n"/>
      <c r="E331" s="10" t="n"/>
      <c r="F331" s="10" t="n"/>
      <c r="G331" s="10" t="n"/>
      <c r="H331" s="10" t="n"/>
      <c r="I331" s="10" t="n"/>
      <c r="J331" s="10" t="n"/>
      <c r="K331" s="10" t="n"/>
      <c r="L331" s="56" t="n"/>
      <c r="M331" s="10" t="n"/>
      <c r="N331" s="12" t="n"/>
      <c r="O331" s="10" t="n"/>
      <c r="P331" s="10" t="n"/>
      <c r="Q331" s="61">
        <f>IF(V331="","",IF(T331="","Covered by "&amp;INDEX('Form Calc'!$B:$B,V331)&amp;"'s reply (same party)","Replied "&amp;TEXT(INDEX('Form Calc'!$A:$A,T331),"mm/dd")&amp;" · "&amp;INDEX('Form Calc'!$H:$H,T331)&amp;" adult(s), "&amp;INDEX('Form Calc'!$I:$I,T331)&amp;" child(ren)"&amp;IF(INDEX('Form Calc'!$K:$K,T331)&lt;&gt;""," · "&amp;INDEX('Form Calc'!$K:$K,T331),"")&amp;IF(INDEX('Form Calc'!$M:$M,T331)&lt;&gt;""," · “"&amp;INDEX('Form Calc'!$M:$M,T331)&amp;"”","")))</f>
        <v/>
      </c>
      <c r="R331" s="32">
        <f>SUBSTITUTE(SUBSTITUTE(SUBSTITUTE(SUBSTITUTE(SUBSTITUTE(SUBSTITUTE(SUBSTITUTE(SUBSTITUTE(D331&amp;""," ",""),"-",""),"(",""),")",""),".",""),"+",""),"/",""),CHAR(160),"")</f>
        <v/>
      </c>
      <c r="S331" s="32">
        <f>IF(LEN(R331)&gt;=10,RIGHT(R331,10),R331)</f>
        <v/>
      </c>
      <c r="T331" s="32">
        <f>IF(TRIM(A331&amp;"")="","",IF(S331&lt;&gt;"",IFERROR(MATCH(S331,'Form Calc'!$P:$P,0),IFERROR(MATCH(TRIM(A331&amp;""),'Form Calc'!$Q:$Q,0),"")),IFERROR(MATCH(TRIM(A331&amp;""),'Form Calc'!$Q:$Q,0),"")))</f>
        <v/>
      </c>
      <c r="U331" s="32">
        <f>IF(AND(T331&lt;&gt;"",TRIM(E331&amp;"")&lt;&gt;""),TRIM(E331&amp;""),"")</f>
        <v/>
      </c>
      <c r="V331" s="32">
        <f>IF(TRIM(A331&amp;"")="","",IF(T331&lt;&gt;"",T331,IF(TRIM(E331&amp;"")="","",IFERROR(INDEX($T$6:$T$505,MATCH(TRIM(E331&amp;""),$U$6:$U$505,0)),""))))</f>
        <v/>
      </c>
      <c r="W331" s="32">
        <f>IF(V331="","",INDEX('Form Calc'!$G:$G,V331))</f>
        <v/>
      </c>
      <c r="X331" s="32">
        <f>IF(TRIM(A331&amp;"")="","",IF(T331&lt;&gt;"",IF(INDEX('Form Calc'!$K:$K,T331)&lt;&gt;"",INDEX('Form Calc'!$K:$K,T331),J331&amp;""),J331&amp;""))</f>
        <v/>
      </c>
      <c r="Y331" s="32">
        <f>IF(TRIM(A331&amp;"")="","",IF(TRIM(D331&amp;"")&lt;&gt;"",TRIM(D331&amp;""),IF(T331&lt;&gt;"",INDEX('Form Calc'!$C:$C,T331)&amp;"","")))</f>
        <v/>
      </c>
      <c r="Z331" s="32">
        <f>SUBSTITUTE(SUBSTITUTE(SUBSTITUTE(SUBSTITUTE(SUBSTITUTE(SUBSTITUTE(SUBSTITUTE(SUBSTITUTE(Y331," ",""),"-",""),"(",""),")",""),".",""),"+",""),"/",""),CHAR(160),"")</f>
        <v/>
      </c>
      <c r="AA331" s="32">
        <f>IF(Z331="","",IF(LEN(Z331)=10,"+1"&amp;Z331,IF(AND(LEN(Z331)=11,LEFT(Z331,1)="1"),"+"&amp;Z331,IF(LEFT(Y331,1)="+","+"&amp;Z331,Z331))))</f>
        <v/>
      </c>
      <c r="AB331" s="32">
        <f>IF(TRIM(A331&amp;"")="","",IF(TRIM(M331&amp;"")&lt;&gt;"",TRIM(M331&amp;""),IFERROR(LEFT(TRIM(A331&amp;""),FIND(" ",TRIM(A331&amp;""))-1),TRIM(A331&amp;""))))</f>
        <v/>
      </c>
      <c r="AC331" s="32">
        <f>SUBSTITUTE(SUBSTITUTE(SUBSTITUTE(SUBSTITUTE(SUBSTITUTE(SUBSTITUTE(SUBSTITUTE(SUBSTITUTE(SUBSTITUTE(SUBSTITUTE(AB331,"%","%25"),"&amp;","%26"),"#","%23"),"+","%2B"),"=","%3D"),"?","%3F"),CHAR(34),"%22"),CHAR(10),"%0A"),CHAR(13),"")," ","+")</f>
        <v/>
      </c>
      <c r="AD331" s="32">
        <f>IF(OR(AA331="",AB331=""),"",'Start Here'!$B$20&amp;"#p="&amp;SUBSTITUTE(AA331,"+","%2B")&amp;"&amp;n="&amp;AC331&amp;"&amp;m="&amp;SUBSTITUTE('Start Here'!$B$24,"{name}",AC331))</f>
        <v/>
      </c>
      <c r="AE331" s="32">
        <f>LEN(AD331)</f>
        <v/>
      </c>
      <c r="AF331" s="32">
        <f>IF(AND(TRIM(A331&amp;"")&lt;&gt;"",OR(B331="Awaiting",B331="Not sure yet")),1,0)</f>
        <v/>
      </c>
      <c r="AG331" s="32">
        <f>N(AG330)+AF331</f>
        <v/>
      </c>
      <c r="AH331" s="32">
        <f>IF(AF331=1,AG331,"")</f>
        <v/>
      </c>
      <c r="AI331" s="32">
        <f>IF(AND(TRIM(A331&amp;"")&lt;&gt;"",L331&amp;""&lt;&gt;"",L331&amp;""=Seating!$I$3&amp;"",B331&lt;&gt;"Declined"),1,0)</f>
        <v/>
      </c>
      <c r="AJ331" s="32">
        <f>N(AJ330)+AI331</f>
        <v/>
      </c>
      <c r="AK331" s="32">
        <f>IF(AI331=1,AJ331,"")</f>
        <v/>
      </c>
    </row>
    <row r="332">
      <c r="A332" s="10" t="n"/>
      <c r="B332" s="47">
        <f>IF(TRIM(A332&amp;"")="","",IF(W332&lt;&gt;"",W332,IF(I332="","Awaiting",I332)))</f>
        <v/>
      </c>
      <c r="C332" s="60">
        <f>IF(OR(B332="Awaiting",B332="Not sure yet"),IF(AD332&lt;&gt;"",HYPERLINK(AD332,"💬 Remind"),"add mobile"),"")</f>
        <v/>
      </c>
      <c r="D332" s="58" t="n"/>
      <c r="E332" s="10" t="n"/>
      <c r="F332" s="10" t="n"/>
      <c r="G332" s="10" t="n"/>
      <c r="H332" s="10" t="n"/>
      <c r="I332" s="10" t="n"/>
      <c r="J332" s="10" t="n"/>
      <c r="K332" s="10" t="n"/>
      <c r="L332" s="56" t="n"/>
      <c r="M332" s="10" t="n"/>
      <c r="N332" s="12" t="n"/>
      <c r="O332" s="10" t="n"/>
      <c r="P332" s="10" t="n"/>
      <c r="Q332" s="61">
        <f>IF(V332="","",IF(T332="","Covered by "&amp;INDEX('Form Calc'!$B:$B,V332)&amp;"'s reply (same party)","Replied "&amp;TEXT(INDEX('Form Calc'!$A:$A,T332),"mm/dd")&amp;" · "&amp;INDEX('Form Calc'!$H:$H,T332)&amp;" adult(s), "&amp;INDEX('Form Calc'!$I:$I,T332)&amp;" child(ren)"&amp;IF(INDEX('Form Calc'!$K:$K,T332)&lt;&gt;""," · "&amp;INDEX('Form Calc'!$K:$K,T332),"")&amp;IF(INDEX('Form Calc'!$M:$M,T332)&lt;&gt;""," · “"&amp;INDEX('Form Calc'!$M:$M,T332)&amp;"”","")))</f>
        <v/>
      </c>
      <c r="R332" s="32">
        <f>SUBSTITUTE(SUBSTITUTE(SUBSTITUTE(SUBSTITUTE(SUBSTITUTE(SUBSTITUTE(SUBSTITUTE(SUBSTITUTE(D332&amp;""," ",""),"-",""),"(",""),")",""),".",""),"+",""),"/",""),CHAR(160),"")</f>
        <v/>
      </c>
      <c r="S332" s="32">
        <f>IF(LEN(R332)&gt;=10,RIGHT(R332,10),R332)</f>
        <v/>
      </c>
      <c r="T332" s="32">
        <f>IF(TRIM(A332&amp;"")="","",IF(S332&lt;&gt;"",IFERROR(MATCH(S332,'Form Calc'!$P:$P,0),IFERROR(MATCH(TRIM(A332&amp;""),'Form Calc'!$Q:$Q,0),"")),IFERROR(MATCH(TRIM(A332&amp;""),'Form Calc'!$Q:$Q,0),"")))</f>
        <v/>
      </c>
      <c r="U332" s="32">
        <f>IF(AND(T332&lt;&gt;"",TRIM(E332&amp;"")&lt;&gt;""),TRIM(E332&amp;""),"")</f>
        <v/>
      </c>
      <c r="V332" s="32">
        <f>IF(TRIM(A332&amp;"")="","",IF(T332&lt;&gt;"",T332,IF(TRIM(E332&amp;"")="","",IFERROR(INDEX($T$6:$T$505,MATCH(TRIM(E332&amp;""),$U$6:$U$505,0)),""))))</f>
        <v/>
      </c>
      <c r="W332" s="32">
        <f>IF(V332="","",INDEX('Form Calc'!$G:$G,V332))</f>
        <v/>
      </c>
      <c r="X332" s="32">
        <f>IF(TRIM(A332&amp;"")="","",IF(T332&lt;&gt;"",IF(INDEX('Form Calc'!$K:$K,T332)&lt;&gt;"",INDEX('Form Calc'!$K:$K,T332),J332&amp;""),J332&amp;""))</f>
        <v/>
      </c>
      <c r="Y332" s="32">
        <f>IF(TRIM(A332&amp;"")="","",IF(TRIM(D332&amp;"")&lt;&gt;"",TRIM(D332&amp;""),IF(T332&lt;&gt;"",INDEX('Form Calc'!$C:$C,T332)&amp;"","")))</f>
        <v/>
      </c>
      <c r="Z332" s="32">
        <f>SUBSTITUTE(SUBSTITUTE(SUBSTITUTE(SUBSTITUTE(SUBSTITUTE(SUBSTITUTE(SUBSTITUTE(SUBSTITUTE(Y332," ",""),"-",""),"(",""),")",""),".",""),"+",""),"/",""),CHAR(160),"")</f>
        <v/>
      </c>
      <c r="AA332" s="32">
        <f>IF(Z332="","",IF(LEN(Z332)=10,"+1"&amp;Z332,IF(AND(LEN(Z332)=11,LEFT(Z332,1)="1"),"+"&amp;Z332,IF(LEFT(Y332,1)="+","+"&amp;Z332,Z332))))</f>
        <v/>
      </c>
      <c r="AB332" s="32">
        <f>IF(TRIM(A332&amp;"")="","",IF(TRIM(M332&amp;"")&lt;&gt;"",TRIM(M332&amp;""),IFERROR(LEFT(TRIM(A332&amp;""),FIND(" ",TRIM(A332&amp;""))-1),TRIM(A332&amp;""))))</f>
        <v/>
      </c>
      <c r="AC332" s="32">
        <f>SUBSTITUTE(SUBSTITUTE(SUBSTITUTE(SUBSTITUTE(SUBSTITUTE(SUBSTITUTE(SUBSTITUTE(SUBSTITUTE(SUBSTITUTE(SUBSTITUTE(AB332,"%","%25"),"&amp;","%26"),"#","%23"),"+","%2B"),"=","%3D"),"?","%3F"),CHAR(34),"%22"),CHAR(10),"%0A"),CHAR(13),"")," ","+")</f>
        <v/>
      </c>
      <c r="AD332" s="32">
        <f>IF(OR(AA332="",AB332=""),"",'Start Here'!$B$20&amp;"#p="&amp;SUBSTITUTE(AA332,"+","%2B")&amp;"&amp;n="&amp;AC332&amp;"&amp;m="&amp;SUBSTITUTE('Start Here'!$B$24,"{name}",AC332))</f>
        <v/>
      </c>
      <c r="AE332" s="32">
        <f>LEN(AD332)</f>
        <v/>
      </c>
      <c r="AF332" s="32">
        <f>IF(AND(TRIM(A332&amp;"")&lt;&gt;"",OR(B332="Awaiting",B332="Not sure yet")),1,0)</f>
        <v/>
      </c>
      <c r="AG332" s="32">
        <f>N(AG331)+AF332</f>
        <v/>
      </c>
      <c r="AH332" s="32">
        <f>IF(AF332=1,AG332,"")</f>
        <v/>
      </c>
      <c r="AI332" s="32">
        <f>IF(AND(TRIM(A332&amp;"")&lt;&gt;"",L332&amp;""&lt;&gt;"",L332&amp;""=Seating!$I$3&amp;"",B332&lt;&gt;"Declined"),1,0)</f>
        <v/>
      </c>
      <c r="AJ332" s="32">
        <f>N(AJ331)+AI332</f>
        <v/>
      </c>
      <c r="AK332" s="32">
        <f>IF(AI332=1,AJ332,"")</f>
        <v/>
      </c>
    </row>
    <row r="333">
      <c r="A333" s="10" t="n"/>
      <c r="B333" s="47">
        <f>IF(TRIM(A333&amp;"")="","",IF(W333&lt;&gt;"",W333,IF(I333="","Awaiting",I333)))</f>
        <v/>
      </c>
      <c r="C333" s="60">
        <f>IF(OR(B333="Awaiting",B333="Not sure yet"),IF(AD333&lt;&gt;"",HYPERLINK(AD333,"💬 Remind"),"add mobile"),"")</f>
        <v/>
      </c>
      <c r="D333" s="58" t="n"/>
      <c r="E333" s="10" t="n"/>
      <c r="F333" s="10" t="n"/>
      <c r="G333" s="10" t="n"/>
      <c r="H333" s="10" t="n"/>
      <c r="I333" s="10" t="n"/>
      <c r="J333" s="10" t="n"/>
      <c r="K333" s="10" t="n"/>
      <c r="L333" s="56" t="n"/>
      <c r="M333" s="10" t="n"/>
      <c r="N333" s="12" t="n"/>
      <c r="O333" s="10" t="n"/>
      <c r="P333" s="10" t="n"/>
      <c r="Q333" s="61">
        <f>IF(V333="","",IF(T333="","Covered by "&amp;INDEX('Form Calc'!$B:$B,V333)&amp;"'s reply (same party)","Replied "&amp;TEXT(INDEX('Form Calc'!$A:$A,T333),"mm/dd")&amp;" · "&amp;INDEX('Form Calc'!$H:$H,T333)&amp;" adult(s), "&amp;INDEX('Form Calc'!$I:$I,T333)&amp;" child(ren)"&amp;IF(INDEX('Form Calc'!$K:$K,T333)&lt;&gt;""," · "&amp;INDEX('Form Calc'!$K:$K,T333),"")&amp;IF(INDEX('Form Calc'!$M:$M,T333)&lt;&gt;""," · “"&amp;INDEX('Form Calc'!$M:$M,T333)&amp;"”","")))</f>
        <v/>
      </c>
      <c r="R333" s="32">
        <f>SUBSTITUTE(SUBSTITUTE(SUBSTITUTE(SUBSTITUTE(SUBSTITUTE(SUBSTITUTE(SUBSTITUTE(SUBSTITUTE(D333&amp;""," ",""),"-",""),"(",""),")",""),".",""),"+",""),"/",""),CHAR(160),"")</f>
        <v/>
      </c>
      <c r="S333" s="32">
        <f>IF(LEN(R333)&gt;=10,RIGHT(R333,10),R333)</f>
        <v/>
      </c>
      <c r="T333" s="32">
        <f>IF(TRIM(A333&amp;"")="","",IF(S333&lt;&gt;"",IFERROR(MATCH(S333,'Form Calc'!$P:$P,0),IFERROR(MATCH(TRIM(A333&amp;""),'Form Calc'!$Q:$Q,0),"")),IFERROR(MATCH(TRIM(A333&amp;""),'Form Calc'!$Q:$Q,0),"")))</f>
        <v/>
      </c>
      <c r="U333" s="32">
        <f>IF(AND(T333&lt;&gt;"",TRIM(E333&amp;"")&lt;&gt;""),TRIM(E333&amp;""),"")</f>
        <v/>
      </c>
      <c r="V333" s="32">
        <f>IF(TRIM(A333&amp;"")="","",IF(T333&lt;&gt;"",T333,IF(TRIM(E333&amp;"")="","",IFERROR(INDEX($T$6:$T$505,MATCH(TRIM(E333&amp;""),$U$6:$U$505,0)),""))))</f>
        <v/>
      </c>
      <c r="W333" s="32">
        <f>IF(V333="","",INDEX('Form Calc'!$G:$G,V333))</f>
        <v/>
      </c>
      <c r="X333" s="32">
        <f>IF(TRIM(A333&amp;"")="","",IF(T333&lt;&gt;"",IF(INDEX('Form Calc'!$K:$K,T333)&lt;&gt;"",INDEX('Form Calc'!$K:$K,T333),J333&amp;""),J333&amp;""))</f>
        <v/>
      </c>
      <c r="Y333" s="32">
        <f>IF(TRIM(A333&amp;"")="","",IF(TRIM(D333&amp;"")&lt;&gt;"",TRIM(D333&amp;""),IF(T333&lt;&gt;"",INDEX('Form Calc'!$C:$C,T333)&amp;"","")))</f>
        <v/>
      </c>
      <c r="Z333" s="32">
        <f>SUBSTITUTE(SUBSTITUTE(SUBSTITUTE(SUBSTITUTE(SUBSTITUTE(SUBSTITUTE(SUBSTITUTE(SUBSTITUTE(Y333," ",""),"-",""),"(",""),")",""),".",""),"+",""),"/",""),CHAR(160),"")</f>
        <v/>
      </c>
      <c r="AA333" s="32">
        <f>IF(Z333="","",IF(LEN(Z333)=10,"+1"&amp;Z333,IF(AND(LEN(Z333)=11,LEFT(Z333,1)="1"),"+"&amp;Z333,IF(LEFT(Y333,1)="+","+"&amp;Z333,Z333))))</f>
        <v/>
      </c>
      <c r="AB333" s="32">
        <f>IF(TRIM(A333&amp;"")="","",IF(TRIM(M333&amp;"")&lt;&gt;"",TRIM(M333&amp;""),IFERROR(LEFT(TRIM(A333&amp;""),FIND(" ",TRIM(A333&amp;""))-1),TRIM(A333&amp;""))))</f>
        <v/>
      </c>
      <c r="AC333" s="32">
        <f>SUBSTITUTE(SUBSTITUTE(SUBSTITUTE(SUBSTITUTE(SUBSTITUTE(SUBSTITUTE(SUBSTITUTE(SUBSTITUTE(SUBSTITUTE(SUBSTITUTE(AB333,"%","%25"),"&amp;","%26"),"#","%23"),"+","%2B"),"=","%3D"),"?","%3F"),CHAR(34),"%22"),CHAR(10),"%0A"),CHAR(13),"")," ","+")</f>
        <v/>
      </c>
      <c r="AD333" s="32">
        <f>IF(OR(AA333="",AB333=""),"",'Start Here'!$B$20&amp;"#p="&amp;SUBSTITUTE(AA333,"+","%2B")&amp;"&amp;n="&amp;AC333&amp;"&amp;m="&amp;SUBSTITUTE('Start Here'!$B$24,"{name}",AC333))</f>
        <v/>
      </c>
      <c r="AE333" s="32">
        <f>LEN(AD333)</f>
        <v/>
      </c>
      <c r="AF333" s="32">
        <f>IF(AND(TRIM(A333&amp;"")&lt;&gt;"",OR(B333="Awaiting",B333="Not sure yet")),1,0)</f>
        <v/>
      </c>
      <c r="AG333" s="32">
        <f>N(AG332)+AF333</f>
        <v/>
      </c>
      <c r="AH333" s="32">
        <f>IF(AF333=1,AG333,"")</f>
        <v/>
      </c>
      <c r="AI333" s="32">
        <f>IF(AND(TRIM(A333&amp;"")&lt;&gt;"",L333&amp;""&lt;&gt;"",L333&amp;""=Seating!$I$3&amp;"",B333&lt;&gt;"Declined"),1,0)</f>
        <v/>
      </c>
      <c r="AJ333" s="32">
        <f>N(AJ332)+AI333</f>
        <v/>
      </c>
      <c r="AK333" s="32">
        <f>IF(AI333=1,AJ333,"")</f>
        <v/>
      </c>
    </row>
    <row r="334">
      <c r="A334" s="10" t="n"/>
      <c r="B334" s="47">
        <f>IF(TRIM(A334&amp;"")="","",IF(W334&lt;&gt;"",W334,IF(I334="","Awaiting",I334)))</f>
        <v/>
      </c>
      <c r="C334" s="60">
        <f>IF(OR(B334="Awaiting",B334="Not sure yet"),IF(AD334&lt;&gt;"",HYPERLINK(AD334,"💬 Remind"),"add mobile"),"")</f>
        <v/>
      </c>
      <c r="D334" s="58" t="n"/>
      <c r="E334" s="10" t="n"/>
      <c r="F334" s="10" t="n"/>
      <c r="G334" s="10" t="n"/>
      <c r="H334" s="10" t="n"/>
      <c r="I334" s="10" t="n"/>
      <c r="J334" s="10" t="n"/>
      <c r="K334" s="10" t="n"/>
      <c r="L334" s="56" t="n"/>
      <c r="M334" s="10" t="n"/>
      <c r="N334" s="12" t="n"/>
      <c r="O334" s="10" t="n"/>
      <c r="P334" s="10" t="n"/>
      <c r="Q334" s="61">
        <f>IF(V334="","",IF(T334="","Covered by "&amp;INDEX('Form Calc'!$B:$B,V334)&amp;"'s reply (same party)","Replied "&amp;TEXT(INDEX('Form Calc'!$A:$A,T334),"mm/dd")&amp;" · "&amp;INDEX('Form Calc'!$H:$H,T334)&amp;" adult(s), "&amp;INDEX('Form Calc'!$I:$I,T334)&amp;" child(ren)"&amp;IF(INDEX('Form Calc'!$K:$K,T334)&lt;&gt;""," · "&amp;INDEX('Form Calc'!$K:$K,T334),"")&amp;IF(INDEX('Form Calc'!$M:$M,T334)&lt;&gt;""," · “"&amp;INDEX('Form Calc'!$M:$M,T334)&amp;"”","")))</f>
        <v/>
      </c>
      <c r="R334" s="32">
        <f>SUBSTITUTE(SUBSTITUTE(SUBSTITUTE(SUBSTITUTE(SUBSTITUTE(SUBSTITUTE(SUBSTITUTE(SUBSTITUTE(D334&amp;""," ",""),"-",""),"(",""),")",""),".",""),"+",""),"/",""),CHAR(160),"")</f>
        <v/>
      </c>
      <c r="S334" s="32">
        <f>IF(LEN(R334)&gt;=10,RIGHT(R334,10),R334)</f>
        <v/>
      </c>
      <c r="T334" s="32">
        <f>IF(TRIM(A334&amp;"")="","",IF(S334&lt;&gt;"",IFERROR(MATCH(S334,'Form Calc'!$P:$P,0),IFERROR(MATCH(TRIM(A334&amp;""),'Form Calc'!$Q:$Q,0),"")),IFERROR(MATCH(TRIM(A334&amp;""),'Form Calc'!$Q:$Q,0),"")))</f>
        <v/>
      </c>
      <c r="U334" s="32">
        <f>IF(AND(T334&lt;&gt;"",TRIM(E334&amp;"")&lt;&gt;""),TRIM(E334&amp;""),"")</f>
        <v/>
      </c>
      <c r="V334" s="32">
        <f>IF(TRIM(A334&amp;"")="","",IF(T334&lt;&gt;"",T334,IF(TRIM(E334&amp;"")="","",IFERROR(INDEX($T$6:$T$505,MATCH(TRIM(E334&amp;""),$U$6:$U$505,0)),""))))</f>
        <v/>
      </c>
      <c r="W334" s="32">
        <f>IF(V334="","",INDEX('Form Calc'!$G:$G,V334))</f>
        <v/>
      </c>
      <c r="X334" s="32">
        <f>IF(TRIM(A334&amp;"")="","",IF(T334&lt;&gt;"",IF(INDEX('Form Calc'!$K:$K,T334)&lt;&gt;"",INDEX('Form Calc'!$K:$K,T334),J334&amp;""),J334&amp;""))</f>
        <v/>
      </c>
      <c r="Y334" s="32">
        <f>IF(TRIM(A334&amp;"")="","",IF(TRIM(D334&amp;"")&lt;&gt;"",TRIM(D334&amp;""),IF(T334&lt;&gt;"",INDEX('Form Calc'!$C:$C,T334)&amp;"","")))</f>
        <v/>
      </c>
      <c r="Z334" s="32">
        <f>SUBSTITUTE(SUBSTITUTE(SUBSTITUTE(SUBSTITUTE(SUBSTITUTE(SUBSTITUTE(SUBSTITUTE(SUBSTITUTE(Y334," ",""),"-",""),"(",""),")",""),".",""),"+",""),"/",""),CHAR(160),"")</f>
        <v/>
      </c>
      <c r="AA334" s="32">
        <f>IF(Z334="","",IF(LEN(Z334)=10,"+1"&amp;Z334,IF(AND(LEN(Z334)=11,LEFT(Z334,1)="1"),"+"&amp;Z334,IF(LEFT(Y334,1)="+","+"&amp;Z334,Z334))))</f>
        <v/>
      </c>
      <c r="AB334" s="32">
        <f>IF(TRIM(A334&amp;"")="","",IF(TRIM(M334&amp;"")&lt;&gt;"",TRIM(M334&amp;""),IFERROR(LEFT(TRIM(A334&amp;""),FIND(" ",TRIM(A334&amp;""))-1),TRIM(A334&amp;""))))</f>
        <v/>
      </c>
      <c r="AC334" s="32">
        <f>SUBSTITUTE(SUBSTITUTE(SUBSTITUTE(SUBSTITUTE(SUBSTITUTE(SUBSTITUTE(SUBSTITUTE(SUBSTITUTE(SUBSTITUTE(SUBSTITUTE(AB334,"%","%25"),"&amp;","%26"),"#","%23"),"+","%2B"),"=","%3D"),"?","%3F"),CHAR(34),"%22"),CHAR(10),"%0A"),CHAR(13),"")," ","+")</f>
        <v/>
      </c>
      <c r="AD334" s="32">
        <f>IF(OR(AA334="",AB334=""),"",'Start Here'!$B$20&amp;"#p="&amp;SUBSTITUTE(AA334,"+","%2B")&amp;"&amp;n="&amp;AC334&amp;"&amp;m="&amp;SUBSTITUTE('Start Here'!$B$24,"{name}",AC334))</f>
        <v/>
      </c>
      <c r="AE334" s="32">
        <f>LEN(AD334)</f>
        <v/>
      </c>
      <c r="AF334" s="32">
        <f>IF(AND(TRIM(A334&amp;"")&lt;&gt;"",OR(B334="Awaiting",B334="Not sure yet")),1,0)</f>
        <v/>
      </c>
      <c r="AG334" s="32">
        <f>N(AG333)+AF334</f>
        <v/>
      </c>
      <c r="AH334" s="32">
        <f>IF(AF334=1,AG334,"")</f>
        <v/>
      </c>
      <c r="AI334" s="32">
        <f>IF(AND(TRIM(A334&amp;"")&lt;&gt;"",L334&amp;""&lt;&gt;"",L334&amp;""=Seating!$I$3&amp;"",B334&lt;&gt;"Declined"),1,0)</f>
        <v/>
      </c>
      <c r="AJ334" s="32">
        <f>N(AJ333)+AI334</f>
        <v/>
      </c>
      <c r="AK334" s="32">
        <f>IF(AI334=1,AJ334,"")</f>
        <v/>
      </c>
    </row>
    <row r="335">
      <c r="A335" s="10" t="n"/>
      <c r="B335" s="47">
        <f>IF(TRIM(A335&amp;"")="","",IF(W335&lt;&gt;"",W335,IF(I335="","Awaiting",I335)))</f>
        <v/>
      </c>
      <c r="C335" s="60">
        <f>IF(OR(B335="Awaiting",B335="Not sure yet"),IF(AD335&lt;&gt;"",HYPERLINK(AD335,"💬 Remind"),"add mobile"),"")</f>
        <v/>
      </c>
      <c r="D335" s="58" t="n"/>
      <c r="E335" s="10" t="n"/>
      <c r="F335" s="10" t="n"/>
      <c r="G335" s="10" t="n"/>
      <c r="H335" s="10" t="n"/>
      <c r="I335" s="10" t="n"/>
      <c r="J335" s="10" t="n"/>
      <c r="K335" s="10" t="n"/>
      <c r="L335" s="56" t="n"/>
      <c r="M335" s="10" t="n"/>
      <c r="N335" s="12" t="n"/>
      <c r="O335" s="10" t="n"/>
      <c r="P335" s="10" t="n"/>
      <c r="Q335" s="61">
        <f>IF(V335="","",IF(T335="","Covered by "&amp;INDEX('Form Calc'!$B:$B,V335)&amp;"'s reply (same party)","Replied "&amp;TEXT(INDEX('Form Calc'!$A:$A,T335),"mm/dd")&amp;" · "&amp;INDEX('Form Calc'!$H:$H,T335)&amp;" adult(s), "&amp;INDEX('Form Calc'!$I:$I,T335)&amp;" child(ren)"&amp;IF(INDEX('Form Calc'!$K:$K,T335)&lt;&gt;""," · "&amp;INDEX('Form Calc'!$K:$K,T335),"")&amp;IF(INDEX('Form Calc'!$M:$M,T335)&lt;&gt;""," · “"&amp;INDEX('Form Calc'!$M:$M,T335)&amp;"”","")))</f>
        <v/>
      </c>
      <c r="R335" s="32">
        <f>SUBSTITUTE(SUBSTITUTE(SUBSTITUTE(SUBSTITUTE(SUBSTITUTE(SUBSTITUTE(SUBSTITUTE(SUBSTITUTE(D335&amp;""," ",""),"-",""),"(",""),")",""),".",""),"+",""),"/",""),CHAR(160),"")</f>
        <v/>
      </c>
      <c r="S335" s="32">
        <f>IF(LEN(R335)&gt;=10,RIGHT(R335,10),R335)</f>
        <v/>
      </c>
      <c r="T335" s="32">
        <f>IF(TRIM(A335&amp;"")="","",IF(S335&lt;&gt;"",IFERROR(MATCH(S335,'Form Calc'!$P:$P,0),IFERROR(MATCH(TRIM(A335&amp;""),'Form Calc'!$Q:$Q,0),"")),IFERROR(MATCH(TRIM(A335&amp;""),'Form Calc'!$Q:$Q,0),"")))</f>
        <v/>
      </c>
      <c r="U335" s="32">
        <f>IF(AND(T335&lt;&gt;"",TRIM(E335&amp;"")&lt;&gt;""),TRIM(E335&amp;""),"")</f>
        <v/>
      </c>
      <c r="V335" s="32">
        <f>IF(TRIM(A335&amp;"")="","",IF(T335&lt;&gt;"",T335,IF(TRIM(E335&amp;"")="","",IFERROR(INDEX($T$6:$T$505,MATCH(TRIM(E335&amp;""),$U$6:$U$505,0)),""))))</f>
        <v/>
      </c>
      <c r="W335" s="32">
        <f>IF(V335="","",INDEX('Form Calc'!$G:$G,V335))</f>
        <v/>
      </c>
      <c r="X335" s="32">
        <f>IF(TRIM(A335&amp;"")="","",IF(T335&lt;&gt;"",IF(INDEX('Form Calc'!$K:$K,T335)&lt;&gt;"",INDEX('Form Calc'!$K:$K,T335),J335&amp;""),J335&amp;""))</f>
        <v/>
      </c>
      <c r="Y335" s="32">
        <f>IF(TRIM(A335&amp;"")="","",IF(TRIM(D335&amp;"")&lt;&gt;"",TRIM(D335&amp;""),IF(T335&lt;&gt;"",INDEX('Form Calc'!$C:$C,T335)&amp;"","")))</f>
        <v/>
      </c>
      <c r="Z335" s="32">
        <f>SUBSTITUTE(SUBSTITUTE(SUBSTITUTE(SUBSTITUTE(SUBSTITUTE(SUBSTITUTE(SUBSTITUTE(SUBSTITUTE(Y335," ",""),"-",""),"(",""),")",""),".",""),"+",""),"/",""),CHAR(160),"")</f>
        <v/>
      </c>
      <c r="AA335" s="32">
        <f>IF(Z335="","",IF(LEN(Z335)=10,"+1"&amp;Z335,IF(AND(LEN(Z335)=11,LEFT(Z335,1)="1"),"+"&amp;Z335,IF(LEFT(Y335,1)="+","+"&amp;Z335,Z335))))</f>
        <v/>
      </c>
      <c r="AB335" s="32">
        <f>IF(TRIM(A335&amp;"")="","",IF(TRIM(M335&amp;"")&lt;&gt;"",TRIM(M335&amp;""),IFERROR(LEFT(TRIM(A335&amp;""),FIND(" ",TRIM(A335&amp;""))-1),TRIM(A335&amp;""))))</f>
        <v/>
      </c>
      <c r="AC335" s="32">
        <f>SUBSTITUTE(SUBSTITUTE(SUBSTITUTE(SUBSTITUTE(SUBSTITUTE(SUBSTITUTE(SUBSTITUTE(SUBSTITUTE(SUBSTITUTE(SUBSTITUTE(AB335,"%","%25"),"&amp;","%26"),"#","%23"),"+","%2B"),"=","%3D"),"?","%3F"),CHAR(34),"%22"),CHAR(10),"%0A"),CHAR(13),"")," ","+")</f>
        <v/>
      </c>
      <c r="AD335" s="32">
        <f>IF(OR(AA335="",AB335=""),"",'Start Here'!$B$20&amp;"#p="&amp;SUBSTITUTE(AA335,"+","%2B")&amp;"&amp;n="&amp;AC335&amp;"&amp;m="&amp;SUBSTITUTE('Start Here'!$B$24,"{name}",AC335))</f>
        <v/>
      </c>
      <c r="AE335" s="32">
        <f>LEN(AD335)</f>
        <v/>
      </c>
      <c r="AF335" s="32">
        <f>IF(AND(TRIM(A335&amp;"")&lt;&gt;"",OR(B335="Awaiting",B335="Not sure yet")),1,0)</f>
        <v/>
      </c>
      <c r="AG335" s="32">
        <f>N(AG334)+AF335</f>
        <v/>
      </c>
      <c r="AH335" s="32">
        <f>IF(AF335=1,AG335,"")</f>
        <v/>
      </c>
      <c r="AI335" s="32">
        <f>IF(AND(TRIM(A335&amp;"")&lt;&gt;"",L335&amp;""&lt;&gt;"",L335&amp;""=Seating!$I$3&amp;"",B335&lt;&gt;"Declined"),1,0)</f>
        <v/>
      </c>
      <c r="AJ335" s="32">
        <f>N(AJ334)+AI335</f>
        <v/>
      </c>
      <c r="AK335" s="32">
        <f>IF(AI335=1,AJ335,"")</f>
        <v/>
      </c>
    </row>
    <row r="336">
      <c r="A336" s="10" t="n"/>
      <c r="B336" s="47">
        <f>IF(TRIM(A336&amp;"")="","",IF(W336&lt;&gt;"",W336,IF(I336="","Awaiting",I336)))</f>
        <v/>
      </c>
      <c r="C336" s="60">
        <f>IF(OR(B336="Awaiting",B336="Not sure yet"),IF(AD336&lt;&gt;"",HYPERLINK(AD336,"💬 Remind"),"add mobile"),"")</f>
        <v/>
      </c>
      <c r="D336" s="58" t="n"/>
      <c r="E336" s="10" t="n"/>
      <c r="F336" s="10" t="n"/>
      <c r="G336" s="10" t="n"/>
      <c r="H336" s="10" t="n"/>
      <c r="I336" s="10" t="n"/>
      <c r="J336" s="10" t="n"/>
      <c r="K336" s="10" t="n"/>
      <c r="L336" s="56" t="n"/>
      <c r="M336" s="10" t="n"/>
      <c r="N336" s="12" t="n"/>
      <c r="O336" s="10" t="n"/>
      <c r="P336" s="10" t="n"/>
      <c r="Q336" s="61">
        <f>IF(V336="","",IF(T336="","Covered by "&amp;INDEX('Form Calc'!$B:$B,V336)&amp;"'s reply (same party)","Replied "&amp;TEXT(INDEX('Form Calc'!$A:$A,T336),"mm/dd")&amp;" · "&amp;INDEX('Form Calc'!$H:$H,T336)&amp;" adult(s), "&amp;INDEX('Form Calc'!$I:$I,T336)&amp;" child(ren)"&amp;IF(INDEX('Form Calc'!$K:$K,T336)&lt;&gt;""," · "&amp;INDEX('Form Calc'!$K:$K,T336),"")&amp;IF(INDEX('Form Calc'!$M:$M,T336)&lt;&gt;""," · “"&amp;INDEX('Form Calc'!$M:$M,T336)&amp;"”","")))</f>
        <v/>
      </c>
      <c r="R336" s="32">
        <f>SUBSTITUTE(SUBSTITUTE(SUBSTITUTE(SUBSTITUTE(SUBSTITUTE(SUBSTITUTE(SUBSTITUTE(SUBSTITUTE(D336&amp;""," ",""),"-",""),"(",""),")",""),".",""),"+",""),"/",""),CHAR(160),"")</f>
        <v/>
      </c>
      <c r="S336" s="32">
        <f>IF(LEN(R336)&gt;=10,RIGHT(R336,10),R336)</f>
        <v/>
      </c>
      <c r="T336" s="32">
        <f>IF(TRIM(A336&amp;"")="","",IF(S336&lt;&gt;"",IFERROR(MATCH(S336,'Form Calc'!$P:$P,0),IFERROR(MATCH(TRIM(A336&amp;""),'Form Calc'!$Q:$Q,0),"")),IFERROR(MATCH(TRIM(A336&amp;""),'Form Calc'!$Q:$Q,0),"")))</f>
        <v/>
      </c>
      <c r="U336" s="32">
        <f>IF(AND(T336&lt;&gt;"",TRIM(E336&amp;"")&lt;&gt;""),TRIM(E336&amp;""),"")</f>
        <v/>
      </c>
      <c r="V336" s="32">
        <f>IF(TRIM(A336&amp;"")="","",IF(T336&lt;&gt;"",T336,IF(TRIM(E336&amp;"")="","",IFERROR(INDEX($T$6:$T$505,MATCH(TRIM(E336&amp;""),$U$6:$U$505,0)),""))))</f>
        <v/>
      </c>
      <c r="W336" s="32">
        <f>IF(V336="","",INDEX('Form Calc'!$G:$G,V336))</f>
        <v/>
      </c>
      <c r="X336" s="32">
        <f>IF(TRIM(A336&amp;"")="","",IF(T336&lt;&gt;"",IF(INDEX('Form Calc'!$K:$K,T336)&lt;&gt;"",INDEX('Form Calc'!$K:$K,T336),J336&amp;""),J336&amp;""))</f>
        <v/>
      </c>
      <c r="Y336" s="32">
        <f>IF(TRIM(A336&amp;"")="","",IF(TRIM(D336&amp;"")&lt;&gt;"",TRIM(D336&amp;""),IF(T336&lt;&gt;"",INDEX('Form Calc'!$C:$C,T336)&amp;"","")))</f>
        <v/>
      </c>
      <c r="Z336" s="32">
        <f>SUBSTITUTE(SUBSTITUTE(SUBSTITUTE(SUBSTITUTE(SUBSTITUTE(SUBSTITUTE(SUBSTITUTE(SUBSTITUTE(Y336," ",""),"-",""),"(",""),")",""),".",""),"+",""),"/",""),CHAR(160),"")</f>
        <v/>
      </c>
      <c r="AA336" s="32">
        <f>IF(Z336="","",IF(LEN(Z336)=10,"+1"&amp;Z336,IF(AND(LEN(Z336)=11,LEFT(Z336,1)="1"),"+"&amp;Z336,IF(LEFT(Y336,1)="+","+"&amp;Z336,Z336))))</f>
        <v/>
      </c>
      <c r="AB336" s="32">
        <f>IF(TRIM(A336&amp;"")="","",IF(TRIM(M336&amp;"")&lt;&gt;"",TRIM(M336&amp;""),IFERROR(LEFT(TRIM(A336&amp;""),FIND(" ",TRIM(A336&amp;""))-1),TRIM(A336&amp;""))))</f>
        <v/>
      </c>
      <c r="AC336" s="32">
        <f>SUBSTITUTE(SUBSTITUTE(SUBSTITUTE(SUBSTITUTE(SUBSTITUTE(SUBSTITUTE(SUBSTITUTE(SUBSTITUTE(SUBSTITUTE(SUBSTITUTE(AB336,"%","%25"),"&amp;","%26"),"#","%23"),"+","%2B"),"=","%3D"),"?","%3F"),CHAR(34),"%22"),CHAR(10),"%0A"),CHAR(13),"")," ","+")</f>
        <v/>
      </c>
      <c r="AD336" s="32">
        <f>IF(OR(AA336="",AB336=""),"",'Start Here'!$B$20&amp;"#p="&amp;SUBSTITUTE(AA336,"+","%2B")&amp;"&amp;n="&amp;AC336&amp;"&amp;m="&amp;SUBSTITUTE('Start Here'!$B$24,"{name}",AC336))</f>
        <v/>
      </c>
      <c r="AE336" s="32">
        <f>LEN(AD336)</f>
        <v/>
      </c>
      <c r="AF336" s="32">
        <f>IF(AND(TRIM(A336&amp;"")&lt;&gt;"",OR(B336="Awaiting",B336="Not sure yet")),1,0)</f>
        <v/>
      </c>
      <c r="AG336" s="32">
        <f>N(AG335)+AF336</f>
        <v/>
      </c>
      <c r="AH336" s="32">
        <f>IF(AF336=1,AG336,"")</f>
        <v/>
      </c>
      <c r="AI336" s="32">
        <f>IF(AND(TRIM(A336&amp;"")&lt;&gt;"",L336&amp;""&lt;&gt;"",L336&amp;""=Seating!$I$3&amp;"",B336&lt;&gt;"Declined"),1,0)</f>
        <v/>
      </c>
      <c r="AJ336" s="32">
        <f>N(AJ335)+AI336</f>
        <v/>
      </c>
      <c r="AK336" s="32">
        <f>IF(AI336=1,AJ336,"")</f>
        <v/>
      </c>
    </row>
    <row r="337">
      <c r="A337" s="10" t="n"/>
      <c r="B337" s="47">
        <f>IF(TRIM(A337&amp;"")="","",IF(W337&lt;&gt;"",W337,IF(I337="","Awaiting",I337)))</f>
        <v/>
      </c>
      <c r="C337" s="60">
        <f>IF(OR(B337="Awaiting",B337="Not sure yet"),IF(AD337&lt;&gt;"",HYPERLINK(AD337,"💬 Remind"),"add mobile"),"")</f>
        <v/>
      </c>
      <c r="D337" s="58" t="n"/>
      <c r="E337" s="10" t="n"/>
      <c r="F337" s="10" t="n"/>
      <c r="G337" s="10" t="n"/>
      <c r="H337" s="10" t="n"/>
      <c r="I337" s="10" t="n"/>
      <c r="J337" s="10" t="n"/>
      <c r="K337" s="10" t="n"/>
      <c r="L337" s="56" t="n"/>
      <c r="M337" s="10" t="n"/>
      <c r="N337" s="12" t="n"/>
      <c r="O337" s="10" t="n"/>
      <c r="P337" s="10" t="n"/>
      <c r="Q337" s="61">
        <f>IF(V337="","",IF(T337="","Covered by "&amp;INDEX('Form Calc'!$B:$B,V337)&amp;"'s reply (same party)","Replied "&amp;TEXT(INDEX('Form Calc'!$A:$A,T337),"mm/dd")&amp;" · "&amp;INDEX('Form Calc'!$H:$H,T337)&amp;" adult(s), "&amp;INDEX('Form Calc'!$I:$I,T337)&amp;" child(ren)"&amp;IF(INDEX('Form Calc'!$K:$K,T337)&lt;&gt;""," · "&amp;INDEX('Form Calc'!$K:$K,T337),"")&amp;IF(INDEX('Form Calc'!$M:$M,T337)&lt;&gt;""," · “"&amp;INDEX('Form Calc'!$M:$M,T337)&amp;"”","")))</f>
        <v/>
      </c>
      <c r="R337" s="32">
        <f>SUBSTITUTE(SUBSTITUTE(SUBSTITUTE(SUBSTITUTE(SUBSTITUTE(SUBSTITUTE(SUBSTITUTE(SUBSTITUTE(D337&amp;""," ",""),"-",""),"(",""),")",""),".",""),"+",""),"/",""),CHAR(160),"")</f>
        <v/>
      </c>
      <c r="S337" s="32">
        <f>IF(LEN(R337)&gt;=10,RIGHT(R337,10),R337)</f>
        <v/>
      </c>
      <c r="T337" s="32">
        <f>IF(TRIM(A337&amp;"")="","",IF(S337&lt;&gt;"",IFERROR(MATCH(S337,'Form Calc'!$P:$P,0),IFERROR(MATCH(TRIM(A337&amp;""),'Form Calc'!$Q:$Q,0),"")),IFERROR(MATCH(TRIM(A337&amp;""),'Form Calc'!$Q:$Q,0),"")))</f>
        <v/>
      </c>
      <c r="U337" s="32">
        <f>IF(AND(T337&lt;&gt;"",TRIM(E337&amp;"")&lt;&gt;""),TRIM(E337&amp;""),"")</f>
        <v/>
      </c>
      <c r="V337" s="32">
        <f>IF(TRIM(A337&amp;"")="","",IF(T337&lt;&gt;"",T337,IF(TRIM(E337&amp;"")="","",IFERROR(INDEX($T$6:$T$505,MATCH(TRIM(E337&amp;""),$U$6:$U$505,0)),""))))</f>
        <v/>
      </c>
      <c r="W337" s="32">
        <f>IF(V337="","",INDEX('Form Calc'!$G:$G,V337))</f>
        <v/>
      </c>
      <c r="X337" s="32">
        <f>IF(TRIM(A337&amp;"")="","",IF(T337&lt;&gt;"",IF(INDEX('Form Calc'!$K:$K,T337)&lt;&gt;"",INDEX('Form Calc'!$K:$K,T337),J337&amp;""),J337&amp;""))</f>
        <v/>
      </c>
      <c r="Y337" s="32">
        <f>IF(TRIM(A337&amp;"")="","",IF(TRIM(D337&amp;"")&lt;&gt;"",TRIM(D337&amp;""),IF(T337&lt;&gt;"",INDEX('Form Calc'!$C:$C,T337)&amp;"","")))</f>
        <v/>
      </c>
      <c r="Z337" s="32">
        <f>SUBSTITUTE(SUBSTITUTE(SUBSTITUTE(SUBSTITUTE(SUBSTITUTE(SUBSTITUTE(SUBSTITUTE(SUBSTITUTE(Y337," ",""),"-",""),"(",""),")",""),".",""),"+",""),"/",""),CHAR(160),"")</f>
        <v/>
      </c>
      <c r="AA337" s="32">
        <f>IF(Z337="","",IF(LEN(Z337)=10,"+1"&amp;Z337,IF(AND(LEN(Z337)=11,LEFT(Z337,1)="1"),"+"&amp;Z337,IF(LEFT(Y337,1)="+","+"&amp;Z337,Z337))))</f>
        <v/>
      </c>
      <c r="AB337" s="32">
        <f>IF(TRIM(A337&amp;"")="","",IF(TRIM(M337&amp;"")&lt;&gt;"",TRIM(M337&amp;""),IFERROR(LEFT(TRIM(A337&amp;""),FIND(" ",TRIM(A337&amp;""))-1),TRIM(A337&amp;""))))</f>
        <v/>
      </c>
      <c r="AC337" s="32">
        <f>SUBSTITUTE(SUBSTITUTE(SUBSTITUTE(SUBSTITUTE(SUBSTITUTE(SUBSTITUTE(SUBSTITUTE(SUBSTITUTE(SUBSTITUTE(SUBSTITUTE(AB337,"%","%25"),"&amp;","%26"),"#","%23"),"+","%2B"),"=","%3D"),"?","%3F"),CHAR(34),"%22"),CHAR(10),"%0A"),CHAR(13),"")," ","+")</f>
        <v/>
      </c>
      <c r="AD337" s="32">
        <f>IF(OR(AA337="",AB337=""),"",'Start Here'!$B$20&amp;"#p="&amp;SUBSTITUTE(AA337,"+","%2B")&amp;"&amp;n="&amp;AC337&amp;"&amp;m="&amp;SUBSTITUTE('Start Here'!$B$24,"{name}",AC337))</f>
        <v/>
      </c>
      <c r="AE337" s="32">
        <f>LEN(AD337)</f>
        <v/>
      </c>
      <c r="AF337" s="32">
        <f>IF(AND(TRIM(A337&amp;"")&lt;&gt;"",OR(B337="Awaiting",B337="Not sure yet")),1,0)</f>
        <v/>
      </c>
      <c r="AG337" s="32">
        <f>N(AG336)+AF337</f>
        <v/>
      </c>
      <c r="AH337" s="32">
        <f>IF(AF337=1,AG337,"")</f>
        <v/>
      </c>
      <c r="AI337" s="32">
        <f>IF(AND(TRIM(A337&amp;"")&lt;&gt;"",L337&amp;""&lt;&gt;"",L337&amp;""=Seating!$I$3&amp;"",B337&lt;&gt;"Declined"),1,0)</f>
        <v/>
      </c>
      <c r="AJ337" s="32">
        <f>N(AJ336)+AI337</f>
        <v/>
      </c>
      <c r="AK337" s="32">
        <f>IF(AI337=1,AJ337,"")</f>
        <v/>
      </c>
    </row>
    <row r="338">
      <c r="A338" s="10" t="n"/>
      <c r="B338" s="47">
        <f>IF(TRIM(A338&amp;"")="","",IF(W338&lt;&gt;"",W338,IF(I338="","Awaiting",I338)))</f>
        <v/>
      </c>
      <c r="C338" s="60">
        <f>IF(OR(B338="Awaiting",B338="Not sure yet"),IF(AD338&lt;&gt;"",HYPERLINK(AD338,"💬 Remind"),"add mobile"),"")</f>
        <v/>
      </c>
      <c r="D338" s="58" t="n"/>
      <c r="E338" s="10" t="n"/>
      <c r="F338" s="10" t="n"/>
      <c r="G338" s="10" t="n"/>
      <c r="H338" s="10" t="n"/>
      <c r="I338" s="10" t="n"/>
      <c r="J338" s="10" t="n"/>
      <c r="K338" s="10" t="n"/>
      <c r="L338" s="56" t="n"/>
      <c r="M338" s="10" t="n"/>
      <c r="N338" s="12" t="n"/>
      <c r="O338" s="10" t="n"/>
      <c r="P338" s="10" t="n"/>
      <c r="Q338" s="61">
        <f>IF(V338="","",IF(T338="","Covered by "&amp;INDEX('Form Calc'!$B:$B,V338)&amp;"'s reply (same party)","Replied "&amp;TEXT(INDEX('Form Calc'!$A:$A,T338),"mm/dd")&amp;" · "&amp;INDEX('Form Calc'!$H:$H,T338)&amp;" adult(s), "&amp;INDEX('Form Calc'!$I:$I,T338)&amp;" child(ren)"&amp;IF(INDEX('Form Calc'!$K:$K,T338)&lt;&gt;""," · "&amp;INDEX('Form Calc'!$K:$K,T338),"")&amp;IF(INDEX('Form Calc'!$M:$M,T338)&lt;&gt;""," · “"&amp;INDEX('Form Calc'!$M:$M,T338)&amp;"”","")))</f>
        <v/>
      </c>
      <c r="R338" s="32">
        <f>SUBSTITUTE(SUBSTITUTE(SUBSTITUTE(SUBSTITUTE(SUBSTITUTE(SUBSTITUTE(SUBSTITUTE(SUBSTITUTE(D338&amp;""," ",""),"-",""),"(",""),")",""),".",""),"+",""),"/",""),CHAR(160),"")</f>
        <v/>
      </c>
      <c r="S338" s="32">
        <f>IF(LEN(R338)&gt;=10,RIGHT(R338,10),R338)</f>
        <v/>
      </c>
      <c r="T338" s="32">
        <f>IF(TRIM(A338&amp;"")="","",IF(S338&lt;&gt;"",IFERROR(MATCH(S338,'Form Calc'!$P:$P,0),IFERROR(MATCH(TRIM(A338&amp;""),'Form Calc'!$Q:$Q,0),"")),IFERROR(MATCH(TRIM(A338&amp;""),'Form Calc'!$Q:$Q,0),"")))</f>
        <v/>
      </c>
      <c r="U338" s="32">
        <f>IF(AND(T338&lt;&gt;"",TRIM(E338&amp;"")&lt;&gt;""),TRIM(E338&amp;""),"")</f>
        <v/>
      </c>
      <c r="V338" s="32">
        <f>IF(TRIM(A338&amp;"")="","",IF(T338&lt;&gt;"",T338,IF(TRIM(E338&amp;"")="","",IFERROR(INDEX($T$6:$T$505,MATCH(TRIM(E338&amp;""),$U$6:$U$505,0)),""))))</f>
        <v/>
      </c>
      <c r="W338" s="32">
        <f>IF(V338="","",INDEX('Form Calc'!$G:$G,V338))</f>
        <v/>
      </c>
      <c r="X338" s="32">
        <f>IF(TRIM(A338&amp;"")="","",IF(T338&lt;&gt;"",IF(INDEX('Form Calc'!$K:$K,T338)&lt;&gt;"",INDEX('Form Calc'!$K:$K,T338),J338&amp;""),J338&amp;""))</f>
        <v/>
      </c>
      <c r="Y338" s="32">
        <f>IF(TRIM(A338&amp;"")="","",IF(TRIM(D338&amp;"")&lt;&gt;"",TRIM(D338&amp;""),IF(T338&lt;&gt;"",INDEX('Form Calc'!$C:$C,T338)&amp;"","")))</f>
        <v/>
      </c>
      <c r="Z338" s="32">
        <f>SUBSTITUTE(SUBSTITUTE(SUBSTITUTE(SUBSTITUTE(SUBSTITUTE(SUBSTITUTE(SUBSTITUTE(SUBSTITUTE(Y338," ",""),"-",""),"(",""),")",""),".",""),"+",""),"/",""),CHAR(160),"")</f>
        <v/>
      </c>
      <c r="AA338" s="32">
        <f>IF(Z338="","",IF(LEN(Z338)=10,"+1"&amp;Z338,IF(AND(LEN(Z338)=11,LEFT(Z338,1)="1"),"+"&amp;Z338,IF(LEFT(Y338,1)="+","+"&amp;Z338,Z338))))</f>
        <v/>
      </c>
      <c r="AB338" s="32">
        <f>IF(TRIM(A338&amp;"")="","",IF(TRIM(M338&amp;"")&lt;&gt;"",TRIM(M338&amp;""),IFERROR(LEFT(TRIM(A338&amp;""),FIND(" ",TRIM(A338&amp;""))-1),TRIM(A338&amp;""))))</f>
        <v/>
      </c>
      <c r="AC338" s="32">
        <f>SUBSTITUTE(SUBSTITUTE(SUBSTITUTE(SUBSTITUTE(SUBSTITUTE(SUBSTITUTE(SUBSTITUTE(SUBSTITUTE(SUBSTITUTE(SUBSTITUTE(AB338,"%","%25"),"&amp;","%26"),"#","%23"),"+","%2B"),"=","%3D"),"?","%3F"),CHAR(34),"%22"),CHAR(10),"%0A"),CHAR(13),"")," ","+")</f>
        <v/>
      </c>
      <c r="AD338" s="32">
        <f>IF(OR(AA338="",AB338=""),"",'Start Here'!$B$20&amp;"#p="&amp;SUBSTITUTE(AA338,"+","%2B")&amp;"&amp;n="&amp;AC338&amp;"&amp;m="&amp;SUBSTITUTE('Start Here'!$B$24,"{name}",AC338))</f>
        <v/>
      </c>
      <c r="AE338" s="32">
        <f>LEN(AD338)</f>
        <v/>
      </c>
      <c r="AF338" s="32">
        <f>IF(AND(TRIM(A338&amp;"")&lt;&gt;"",OR(B338="Awaiting",B338="Not sure yet")),1,0)</f>
        <v/>
      </c>
      <c r="AG338" s="32">
        <f>N(AG337)+AF338</f>
        <v/>
      </c>
      <c r="AH338" s="32">
        <f>IF(AF338=1,AG338,"")</f>
        <v/>
      </c>
      <c r="AI338" s="32">
        <f>IF(AND(TRIM(A338&amp;"")&lt;&gt;"",L338&amp;""&lt;&gt;"",L338&amp;""=Seating!$I$3&amp;"",B338&lt;&gt;"Declined"),1,0)</f>
        <v/>
      </c>
      <c r="AJ338" s="32">
        <f>N(AJ337)+AI338</f>
        <v/>
      </c>
      <c r="AK338" s="32">
        <f>IF(AI338=1,AJ338,"")</f>
        <v/>
      </c>
    </row>
    <row r="339">
      <c r="A339" s="10" t="n"/>
      <c r="B339" s="47">
        <f>IF(TRIM(A339&amp;"")="","",IF(W339&lt;&gt;"",W339,IF(I339="","Awaiting",I339)))</f>
        <v/>
      </c>
      <c r="C339" s="60">
        <f>IF(OR(B339="Awaiting",B339="Not sure yet"),IF(AD339&lt;&gt;"",HYPERLINK(AD339,"💬 Remind"),"add mobile"),"")</f>
        <v/>
      </c>
      <c r="D339" s="58" t="n"/>
      <c r="E339" s="10" t="n"/>
      <c r="F339" s="10" t="n"/>
      <c r="G339" s="10" t="n"/>
      <c r="H339" s="10" t="n"/>
      <c r="I339" s="10" t="n"/>
      <c r="J339" s="10" t="n"/>
      <c r="K339" s="10" t="n"/>
      <c r="L339" s="56" t="n"/>
      <c r="M339" s="10" t="n"/>
      <c r="N339" s="12" t="n"/>
      <c r="O339" s="10" t="n"/>
      <c r="P339" s="10" t="n"/>
      <c r="Q339" s="61">
        <f>IF(V339="","",IF(T339="","Covered by "&amp;INDEX('Form Calc'!$B:$B,V339)&amp;"'s reply (same party)","Replied "&amp;TEXT(INDEX('Form Calc'!$A:$A,T339),"mm/dd")&amp;" · "&amp;INDEX('Form Calc'!$H:$H,T339)&amp;" adult(s), "&amp;INDEX('Form Calc'!$I:$I,T339)&amp;" child(ren)"&amp;IF(INDEX('Form Calc'!$K:$K,T339)&lt;&gt;""," · "&amp;INDEX('Form Calc'!$K:$K,T339),"")&amp;IF(INDEX('Form Calc'!$M:$M,T339)&lt;&gt;""," · “"&amp;INDEX('Form Calc'!$M:$M,T339)&amp;"”","")))</f>
        <v/>
      </c>
      <c r="R339" s="32">
        <f>SUBSTITUTE(SUBSTITUTE(SUBSTITUTE(SUBSTITUTE(SUBSTITUTE(SUBSTITUTE(SUBSTITUTE(SUBSTITUTE(D339&amp;""," ",""),"-",""),"(",""),")",""),".",""),"+",""),"/",""),CHAR(160),"")</f>
        <v/>
      </c>
      <c r="S339" s="32">
        <f>IF(LEN(R339)&gt;=10,RIGHT(R339,10),R339)</f>
        <v/>
      </c>
      <c r="T339" s="32">
        <f>IF(TRIM(A339&amp;"")="","",IF(S339&lt;&gt;"",IFERROR(MATCH(S339,'Form Calc'!$P:$P,0),IFERROR(MATCH(TRIM(A339&amp;""),'Form Calc'!$Q:$Q,0),"")),IFERROR(MATCH(TRIM(A339&amp;""),'Form Calc'!$Q:$Q,0),"")))</f>
        <v/>
      </c>
      <c r="U339" s="32">
        <f>IF(AND(T339&lt;&gt;"",TRIM(E339&amp;"")&lt;&gt;""),TRIM(E339&amp;""),"")</f>
        <v/>
      </c>
      <c r="V339" s="32">
        <f>IF(TRIM(A339&amp;"")="","",IF(T339&lt;&gt;"",T339,IF(TRIM(E339&amp;"")="","",IFERROR(INDEX($T$6:$T$505,MATCH(TRIM(E339&amp;""),$U$6:$U$505,0)),""))))</f>
        <v/>
      </c>
      <c r="W339" s="32">
        <f>IF(V339="","",INDEX('Form Calc'!$G:$G,V339))</f>
        <v/>
      </c>
      <c r="X339" s="32">
        <f>IF(TRIM(A339&amp;"")="","",IF(T339&lt;&gt;"",IF(INDEX('Form Calc'!$K:$K,T339)&lt;&gt;"",INDEX('Form Calc'!$K:$K,T339),J339&amp;""),J339&amp;""))</f>
        <v/>
      </c>
      <c r="Y339" s="32">
        <f>IF(TRIM(A339&amp;"")="","",IF(TRIM(D339&amp;"")&lt;&gt;"",TRIM(D339&amp;""),IF(T339&lt;&gt;"",INDEX('Form Calc'!$C:$C,T339)&amp;"","")))</f>
        <v/>
      </c>
      <c r="Z339" s="32">
        <f>SUBSTITUTE(SUBSTITUTE(SUBSTITUTE(SUBSTITUTE(SUBSTITUTE(SUBSTITUTE(SUBSTITUTE(SUBSTITUTE(Y339," ",""),"-",""),"(",""),")",""),".",""),"+",""),"/",""),CHAR(160),"")</f>
        <v/>
      </c>
      <c r="AA339" s="32">
        <f>IF(Z339="","",IF(LEN(Z339)=10,"+1"&amp;Z339,IF(AND(LEN(Z339)=11,LEFT(Z339,1)="1"),"+"&amp;Z339,IF(LEFT(Y339,1)="+","+"&amp;Z339,Z339))))</f>
        <v/>
      </c>
      <c r="AB339" s="32">
        <f>IF(TRIM(A339&amp;"")="","",IF(TRIM(M339&amp;"")&lt;&gt;"",TRIM(M339&amp;""),IFERROR(LEFT(TRIM(A339&amp;""),FIND(" ",TRIM(A339&amp;""))-1),TRIM(A339&amp;""))))</f>
        <v/>
      </c>
      <c r="AC339" s="32">
        <f>SUBSTITUTE(SUBSTITUTE(SUBSTITUTE(SUBSTITUTE(SUBSTITUTE(SUBSTITUTE(SUBSTITUTE(SUBSTITUTE(SUBSTITUTE(SUBSTITUTE(AB339,"%","%25"),"&amp;","%26"),"#","%23"),"+","%2B"),"=","%3D"),"?","%3F"),CHAR(34),"%22"),CHAR(10),"%0A"),CHAR(13),"")," ","+")</f>
        <v/>
      </c>
      <c r="AD339" s="32">
        <f>IF(OR(AA339="",AB339=""),"",'Start Here'!$B$20&amp;"#p="&amp;SUBSTITUTE(AA339,"+","%2B")&amp;"&amp;n="&amp;AC339&amp;"&amp;m="&amp;SUBSTITUTE('Start Here'!$B$24,"{name}",AC339))</f>
        <v/>
      </c>
      <c r="AE339" s="32">
        <f>LEN(AD339)</f>
        <v/>
      </c>
      <c r="AF339" s="32">
        <f>IF(AND(TRIM(A339&amp;"")&lt;&gt;"",OR(B339="Awaiting",B339="Not sure yet")),1,0)</f>
        <v/>
      </c>
      <c r="AG339" s="32">
        <f>N(AG338)+AF339</f>
        <v/>
      </c>
      <c r="AH339" s="32">
        <f>IF(AF339=1,AG339,"")</f>
        <v/>
      </c>
      <c r="AI339" s="32">
        <f>IF(AND(TRIM(A339&amp;"")&lt;&gt;"",L339&amp;""&lt;&gt;"",L339&amp;""=Seating!$I$3&amp;"",B339&lt;&gt;"Declined"),1,0)</f>
        <v/>
      </c>
      <c r="AJ339" s="32">
        <f>N(AJ338)+AI339</f>
        <v/>
      </c>
      <c r="AK339" s="32">
        <f>IF(AI339=1,AJ339,"")</f>
        <v/>
      </c>
    </row>
    <row r="340">
      <c r="A340" s="10" t="n"/>
      <c r="B340" s="47">
        <f>IF(TRIM(A340&amp;"")="","",IF(W340&lt;&gt;"",W340,IF(I340="","Awaiting",I340)))</f>
        <v/>
      </c>
      <c r="C340" s="60">
        <f>IF(OR(B340="Awaiting",B340="Not sure yet"),IF(AD340&lt;&gt;"",HYPERLINK(AD340,"💬 Remind"),"add mobile"),"")</f>
        <v/>
      </c>
      <c r="D340" s="58" t="n"/>
      <c r="E340" s="10" t="n"/>
      <c r="F340" s="10" t="n"/>
      <c r="G340" s="10" t="n"/>
      <c r="H340" s="10" t="n"/>
      <c r="I340" s="10" t="n"/>
      <c r="J340" s="10" t="n"/>
      <c r="K340" s="10" t="n"/>
      <c r="L340" s="56" t="n"/>
      <c r="M340" s="10" t="n"/>
      <c r="N340" s="12" t="n"/>
      <c r="O340" s="10" t="n"/>
      <c r="P340" s="10" t="n"/>
      <c r="Q340" s="61">
        <f>IF(V340="","",IF(T340="","Covered by "&amp;INDEX('Form Calc'!$B:$B,V340)&amp;"'s reply (same party)","Replied "&amp;TEXT(INDEX('Form Calc'!$A:$A,T340),"mm/dd")&amp;" · "&amp;INDEX('Form Calc'!$H:$H,T340)&amp;" adult(s), "&amp;INDEX('Form Calc'!$I:$I,T340)&amp;" child(ren)"&amp;IF(INDEX('Form Calc'!$K:$K,T340)&lt;&gt;""," · "&amp;INDEX('Form Calc'!$K:$K,T340),"")&amp;IF(INDEX('Form Calc'!$M:$M,T340)&lt;&gt;""," · “"&amp;INDEX('Form Calc'!$M:$M,T340)&amp;"”","")))</f>
        <v/>
      </c>
      <c r="R340" s="32">
        <f>SUBSTITUTE(SUBSTITUTE(SUBSTITUTE(SUBSTITUTE(SUBSTITUTE(SUBSTITUTE(SUBSTITUTE(SUBSTITUTE(D340&amp;""," ",""),"-",""),"(",""),")",""),".",""),"+",""),"/",""),CHAR(160),"")</f>
        <v/>
      </c>
      <c r="S340" s="32">
        <f>IF(LEN(R340)&gt;=10,RIGHT(R340,10),R340)</f>
        <v/>
      </c>
      <c r="T340" s="32">
        <f>IF(TRIM(A340&amp;"")="","",IF(S340&lt;&gt;"",IFERROR(MATCH(S340,'Form Calc'!$P:$P,0),IFERROR(MATCH(TRIM(A340&amp;""),'Form Calc'!$Q:$Q,0),"")),IFERROR(MATCH(TRIM(A340&amp;""),'Form Calc'!$Q:$Q,0),"")))</f>
        <v/>
      </c>
      <c r="U340" s="32">
        <f>IF(AND(T340&lt;&gt;"",TRIM(E340&amp;"")&lt;&gt;""),TRIM(E340&amp;""),"")</f>
        <v/>
      </c>
      <c r="V340" s="32">
        <f>IF(TRIM(A340&amp;"")="","",IF(T340&lt;&gt;"",T340,IF(TRIM(E340&amp;"")="","",IFERROR(INDEX($T$6:$T$505,MATCH(TRIM(E340&amp;""),$U$6:$U$505,0)),""))))</f>
        <v/>
      </c>
      <c r="W340" s="32">
        <f>IF(V340="","",INDEX('Form Calc'!$G:$G,V340))</f>
        <v/>
      </c>
      <c r="X340" s="32">
        <f>IF(TRIM(A340&amp;"")="","",IF(T340&lt;&gt;"",IF(INDEX('Form Calc'!$K:$K,T340)&lt;&gt;"",INDEX('Form Calc'!$K:$K,T340),J340&amp;""),J340&amp;""))</f>
        <v/>
      </c>
      <c r="Y340" s="32">
        <f>IF(TRIM(A340&amp;"")="","",IF(TRIM(D340&amp;"")&lt;&gt;"",TRIM(D340&amp;""),IF(T340&lt;&gt;"",INDEX('Form Calc'!$C:$C,T340)&amp;"","")))</f>
        <v/>
      </c>
      <c r="Z340" s="32">
        <f>SUBSTITUTE(SUBSTITUTE(SUBSTITUTE(SUBSTITUTE(SUBSTITUTE(SUBSTITUTE(SUBSTITUTE(SUBSTITUTE(Y340," ",""),"-",""),"(",""),")",""),".",""),"+",""),"/",""),CHAR(160),"")</f>
        <v/>
      </c>
      <c r="AA340" s="32">
        <f>IF(Z340="","",IF(LEN(Z340)=10,"+1"&amp;Z340,IF(AND(LEN(Z340)=11,LEFT(Z340,1)="1"),"+"&amp;Z340,IF(LEFT(Y340,1)="+","+"&amp;Z340,Z340))))</f>
        <v/>
      </c>
      <c r="AB340" s="32">
        <f>IF(TRIM(A340&amp;"")="","",IF(TRIM(M340&amp;"")&lt;&gt;"",TRIM(M340&amp;""),IFERROR(LEFT(TRIM(A340&amp;""),FIND(" ",TRIM(A340&amp;""))-1),TRIM(A340&amp;""))))</f>
        <v/>
      </c>
      <c r="AC340" s="32">
        <f>SUBSTITUTE(SUBSTITUTE(SUBSTITUTE(SUBSTITUTE(SUBSTITUTE(SUBSTITUTE(SUBSTITUTE(SUBSTITUTE(SUBSTITUTE(SUBSTITUTE(AB340,"%","%25"),"&amp;","%26"),"#","%23"),"+","%2B"),"=","%3D"),"?","%3F"),CHAR(34),"%22"),CHAR(10),"%0A"),CHAR(13),"")," ","+")</f>
        <v/>
      </c>
      <c r="AD340" s="32">
        <f>IF(OR(AA340="",AB340=""),"",'Start Here'!$B$20&amp;"#p="&amp;SUBSTITUTE(AA340,"+","%2B")&amp;"&amp;n="&amp;AC340&amp;"&amp;m="&amp;SUBSTITUTE('Start Here'!$B$24,"{name}",AC340))</f>
        <v/>
      </c>
      <c r="AE340" s="32">
        <f>LEN(AD340)</f>
        <v/>
      </c>
      <c r="AF340" s="32">
        <f>IF(AND(TRIM(A340&amp;"")&lt;&gt;"",OR(B340="Awaiting",B340="Not sure yet")),1,0)</f>
        <v/>
      </c>
      <c r="AG340" s="32">
        <f>N(AG339)+AF340</f>
        <v/>
      </c>
      <c r="AH340" s="32">
        <f>IF(AF340=1,AG340,"")</f>
        <v/>
      </c>
      <c r="AI340" s="32">
        <f>IF(AND(TRIM(A340&amp;"")&lt;&gt;"",L340&amp;""&lt;&gt;"",L340&amp;""=Seating!$I$3&amp;"",B340&lt;&gt;"Declined"),1,0)</f>
        <v/>
      </c>
      <c r="AJ340" s="32">
        <f>N(AJ339)+AI340</f>
        <v/>
      </c>
      <c r="AK340" s="32">
        <f>IF(AI340=1,AJ340,"")</f>
        <v/>
      </c>
    </row>
    <row r="341">
      <c r="A341" s="10" t="n"/>
      <c r="B341" s="47">
        <f>IF(TRIM(A341&amp;"")="","",IF(W341&lt;&gt;"",W341,IF(I341="","Awaiting",I341)))</f>
        <v/>
      </c>
      <c r="C341" s="60">
        <f>IF(OR(B341="Awaiting",B341="Not sure yet"),IF(AD341&lt;&gt;"",HYPERLINK(AD341,"💬 Remind"),"add mobile"),"")</f>
        <v/>
      </c>
      <c r="D341" s="58" t="n"/>
      <c r="E341" s="10" t="n"/>
      <c r="F341" s="10" t="n"/>
      <c r="G341" s="10" t="n"/>
      <c r="H341" s="10" t="n"/>
      <c r="I341" s="10" t="n"/>
      <c r="J341" s="10" t="n"/>
      <c r="K341" s="10" t="n"/>
      <c r="L341" s="56" t="n"/>
      <c r="M341" s="10" t="n"/>
      <c r="N341" s="12" t="n"/>
      <c r="O341" s="10" t="n"/>
      <c r="P341" s="10" t="n"/>
      <c r="Q341" s="61">
        <f>IF(V341="","",IF(T341="","Covered by "&amp;INDEX('Form Calc'!$B:$B,V341)&amp;"'s reply (same party)","Replied "&amp;TEXT(INDEX('Form Calc'!$A:$A,T341),"mm/dd")&amp;" · "&amp;INDEX('Form Calc'!$H:$H,T341)&amp;" adult(s), "&amp;INDEX('Form Calc'!$I:$I,T341)&amp;" child(ren)"&amp;IF(INDEX('Form Calc'!$K:$K,T341)&lt;&gt;""," · "&amp;INDEX('Form Calc'!$K:$K,T341),"")&amp;IF(INDEX('Form Calc'!$M:$M,T341)&lt;&gt;""," · “"&amp;INDEX('Form Calc'!$M:$M,T341)&amp;"”","")))</f>
        <v/>
      </c>
      <c r="R341" s="32">
        <f>SUBSTITUTE(SUBSTITUTE(SUBSTITUTE(SUBSTITUTE(SUBSTITUTE(SUBSTITUTE(SUBSTITUTE(SUBSTITUTE(D341&amp;""," ",""),"-",""),"(",""),")",""),".",""),"+",""),"/",""),CHAR(160),"")</f>
        <v/>
      </c>
      <c r="S341" s="32">
        <f>IF(LEN(R341)&gt;=10,RIGHT(R341,10),R341)</f>
        <v/>
      </c>
      <c r="T341" s="32">
        <f>IF(TRIM(A341&amp;"")="","",IF(S341&lt;&gt;"",IFERROR(MATCH(S341,'Form Calc'!$P:$P,0),IFERROR(MATCH(TRIM(A341&amp;""),'Form Calc'!$Q:$Q,0),"")),IFERROR(MATCH(TRIM(A341&amp;""),'Form Calc'!$Q:$Q,0),"")))</f>
        <v/>
      </c>
      <c r="U341" s="32">
        <f>IF(AND(T341&lt;&gt;"",TRIM(E341&amp;"")&lt;&gt;""),TRIM(E341&amp;""),"")</f>
        <v/>
      </c>
      <c r="V341" s="32">
        <f>IF(TRIM(A341&amp;"")="","",IF(T341&lt;&gt;"",T341,IF(TRIM(E341&amp;"")="","",IFERROR(INDEX($T$6:$T$505,MATCH(TRIM(E341&amp;""),$U$6:$U$505,0)),""))))</f>
        <v/>
      </c>
      <c r="W341" s="32">
        <f>IF(V341="","",INDEX('Form Calc'!$G:$G,V341))</f>
        <v/>
      </c>
      <c r="X341" s="32">
        <f>IF(TRIM(A341&amp;"")="","",IF(T341&lt;&gt;"",IF(INDEX('Form Calc'!$K:$K,T341)&lt;&gt;"",INDEX('Form Calc'!$K:$K,T341),J341&amp;""),J341&amp;""))</f>
        <v/>
      </c>
      <c r="Y341" s="32">
        <f>IF(TRIM(A341&amp;"")="","",IF(TRIM(D341&amp;"")&lt;&gt;"",TRIM(D341&amp;""),IF(T341&lt;&gt;"",INDEX('Form Calc'!$C:$C,T341)&amp;"","")))</f>
        <v/>
      </c>
      <c r="Z341" s="32">
        <f>SUBSTITUTE(SUBSTITUTE(SUBSTITUTE(SUBSTITUTE(SUBSTITUTE(SUBSTITUTE(SUBSTITUTE(SUBSTITUTE(Y341," ",""),"-",""),"(",""),")",""),".",""),"+",""),"/",""),CHAR(160),"")</f>
        <v/>
      </c>
      <c r="AA341" s="32">
        <f>IF(Z341="","",IF(LEN(Z341)=10,"+1"&amp;Z341,IF(AND(LEN(Z341)=11,LEFT(Z341,1)="1"),"+"&amp;Z341,IF(LEFT(Y341,1)="+","+"&amp;Z341,Z341))))</f>
        <v/>
      </c>
      <c r="AB341" s="32">
        <f>IF(TRIM(A341&amp;"")="","",IF(TRIM(M341&amp;"")&lt;&gt;"",TRIM(M341&amp;""),IFERROR(LEFT(TRIM(A341&amp;""),FIND(" ",TRIM(A341&amp;""))-1),TRIM(A341&amp;""))))</f>
        <v/>
      </c>
      <c r="AC341" s="32">
        <f>SUBSTITUTE(SUBSTITUTE(SUBSTITUTE(SUBSTITUTE(SUBSTITUTE(SUBSTITUTE(SUBSTITUTE(SUBSTITUTE(SUBSTITUTE(SUBSTITUTE(AB341,"%","%25"),"&amp;","%26"),"#","%23"),"+","%2B"),"=","%3D"),"?","%3F"),CHAR(34),"%22"),CHAR(10),"%0A"),CHAR(13),"")," ","+")</f>
        <v/>
      </c>
      <c r="AD341" s="32">
        <f>IF(OR(AA341="",AB341=""),"",'Start Here'!$B$20&amp;"#p="&amp;SUBSTITUTE(AA341,"+","%2B")&amp;"&amp;n="&amp;AC341&amp;"&amp;m="&amp;SUBSTITUTE('Start Here'!$B$24,"{name}",AC341))</f>
        <v/>
      </c>
      <c r="AE341" s="32">
        <f>LEN(AD341)</f>
        <v/>
      </c>
      <c r="AF341" s="32">
        <f>IF(AND(TRIM(A341&amp;"")&lt;&gt;"",OR(B341="Awaiting",B341="Not sure yet")),1,0)</f>
        <v/>
      </c>
      <c r="AG341" s="32">
        <f>N(AG340)+AF341</f>
        <v/>
      </c>
      <c r="AH341" s="32">
        <f>IF(AF341=1,AG341,"")</f>
        <v/>
      </c>
      <c r="AI341" s="32">
        <f>IF(AND(TRIM(A341&amp;"")&lt;&gt;"",L341&amp;""&lt;&gt;"",L341&amp;""=Seating!$I$3&amp;"",B341&lt;&gt;"Declined"),1,0)</f>
        <v/>
      </c>
      <c r="AJ341" s="32">
        <f>N(AJ340)+AI341</f>
        <v/>
      </c>
      <c r="AK341" s="32">
        <f>IF(AI341=1,AJ341,"")</f>
        <v/>
      </c>
    </row>
    <row r="342">
      <c r="A342" s="10" t="n"/>
      <c r="B342" s="47">
        <f>IF(TRIM(A342&amp;"")="","",IF(W342&lt;&gt;"",W342,IF(I342="","Awaiting",I342)))</f>
        <v/>
      </c>
      <c r="C342" s="60">
        <f>IF(OR(B342="Awaiting",B342="Not sure yet"),IF(AD342&lt;&gt;"",HYPERLINK(AD342,"💬 Remind"),"add mobile"),"")</f>
        <v/>
      </c>
      <c r="D342" s="58" t="n"/>
      <c r="E342" s="10" t="n"/>
      <c r="F342" s="10" t="n"/>
      <c r="G342" s="10" t="n"/>
      <c r="H342" s="10" t="n"/>
      <c r="I342" s="10" t="n"/>
      <c r="J342" s="10" t="n"/>
      <c r="K342" s="10" t="n"/>
      <c r="L342" s="56" t="n"/>
      <c r="M342" s="10" t="n"/>
      <c r="N342" s="12" t="n"/>
      <c r="O342" s="10" t="n"/>
      <c r="P342" s="10" t="n"/>
      <c r="Q342" s="61">
        <f>IF(V342="","",IF(T342="","Covered by "&amp;INDEX('Form Calc'!$B:$B,V342)&amp;"'s reply (same party)","Replied "&amp;TEXT(INDEX('Form Calc'!$A:$A,T342),"mm/dd")&amp;" · "&amp;INDEX('Form Calc'!$H:$H,T342)&amp;" adult(s), "&amp;INDEX('Form Calc'!$I:$I,T342)&amp;" child(ren)"&amp;IF(INDEX('Form Calc'!$K:$K,T342)&lt;&gt;""," · "&amp;INDEX('Form Calc'!$K:$K,T342),"")&amp;IF(INDEX('Form Calc'!$M:$M,T342)&lt;&gt;""," · “"&amp;INDEX('Form Calc'!$M:$M,T342)&amp;"”","")))</f>
        <v/>
      </c>
      <c r="R342" s="32">
        <f>SUBSTITUTE(SUBSTITUTE(SUBSTITUTE(SUBSTITUTE(SUBSTITUTE(SUBSTITUTE(SUBSTITUTE(SUBSTITUTE(D342&amp;""," ",""),"-",""),"(",""),")",""),".",""),"+",""),"/",""),CHAR(160),"")</f>
        <v/>
      </c>
      <c r="S342" s="32">
        <f>IF(LEN(R342)&gt;=10,RIGHT(R342,10),R342)</f>
        <v/>
      </c>
      <c r="T342" s="32">
        <f>IF(TRIM(A342&amp;"")="","",IF(S342&lt;&gt;"",IFERROR(MATCH(S342,'Form Calc'!$P:$P,0),IFERROR(MATCH(TRIM(A342&amp;""),'Form Calc'!$Q:$Q,0),"")),IFERROR(MATCH(TRIM(A342&amp;""),'Form Calc'!$Q:$Q,0),"")))</f>
        <v/>
      </c>
      <c r="U342" s="32">
        <f>IF(AND(T342&lt;&gt;"",TRIM(E342&amp;"")&lt;&gt;""),TRIM(E342&amp;""),"")</f>
        <v/>
      </c>
      <c r="V342" s="32">
        <f>IF(TRIM(A342&amp;"")="","",IF(T342&lt;&gt;"",T342,IF(TRIM(E342&amp;"")="","",IFERROR(INDEX($T$6:$T$505,MATCH(TRIM(E342&amp;""),$U$6:$U$505,0)),""))))</f>
        <v/>
      </c>
      <c r="W342" s="32">
        <f>IF(V342="","",INDEX('Form Calc'!$G:$G,V342))</f>
        <v/>
      </c>
      <c r="X342" s="32">
        <f>IF(TRIM(A342&amp;"")="","",IF(T342&lt;&gt;"",IF(INDEX('Form Calc'!$K:$K,T342)&lt;&gt;"",INDEX('Form Calc'!$K:$K,T342),J342&amp;""),J342&amp;""))</f>
        <v/>
      </c>
      <c r="Y342" s="32">
        <f>IF(TRIM(A342&amp;"")="","",IF(TRIM(D342&amp;"")&lt;&gt;"",TRIM(D342&amp;""),IF(T342&lt;&gt;"",INDEX('Form Calc'!$C:$C,T342)&amp;"","")))</f>
        <v/>
      </c>
      <c r="Z342" s="32">
        <f>SUBSTITUTE(SUBSTITUTE(SUBSTITUTE(SUBSTITUTE(SUBSTITUTE(SUBSTITUTE(SUBSTITUTE(SUBSTITUTE(Y342," ",""),"-",""),"(",""),")",""),".",""),"+",""),"/",""),CHAR(160),"")</f>
        <v/>
      </c>
      <c r="AA342" s="32">
        <f>IF(Z342="","",IF(LEN(Z342)=10,"+1"&amp;Z342,IF(AND(LEN(Z342)=11,LEFT(Z342,1)="1"),"+"&amp;Z342,IF(LEFT(Y342,1)="+","+"&amp;Z342,Z342))))</f>
        <v/>
      </c>
      <c r="AB342" s="32">
        <f>IF(TRIM(A342&amp;"")="","",IF(TRIM(M342&amp;"")&lt;&gt;"",TRIM(M342&amp;""),IFERROR(LEFT(TRIM(A342&amp;""),FIND(" ",TRIM(A342&amp;""))-1),TRIM(A342&amp;""))))</f>
        <v/>
      </c>
      <c r="AC342" s="32">
        <f>SUBSTITUTE(SUBSTITUTE(SUBSTITUTE(SUBSTITUTE(SUBSTITUTE(SUBSTITUTE(SUBSTITUTE(SUBSTITUTE(SUBSTITUTE(SUBSTITUTE(AB342,"%","%25"),"&amp;","%26"),"#","%23"),"+","%2B"),"=","%3D"),"?","%3F"),CHAR(34),"%22"),CHAR(10),"%0A"),CHAR(13),"")," ","+")</f>
        <v/>
      </c>
      <c r="AD342" s="32">
        <f>IF(OR(AA342="",AB342=""),"",'Start Here'!$B$20&amp;"#p="&amp;SUBSTITUTE(AA342,"+","%2B")&amp;"&amp;n="&amp;AC342&amp;"&amp;m="&amp;SUBSTITUTE('Start Here'!$B$24,"{name}",AC342))</f>
        <v/>
      </c>
      <c r="AE342" s="32">
        <f>LEN(AD342)</f>
        <v/>
      </c>
      <c r="AF342" s="32">
        <f>IF(AND(TRIM(A342&amp;"")&lt;&gt;"",OR(B342="Awaiting",B342="Not sure yet")),1,0)</f>
        <v/>
      </c>
      <c r="AG342" s="32">
        <f>N(AG341)+AF342</f>
        <v/>
      </c>
      <c r="AH342" s="32">
        <f>IF(AF342=1,AG342,"")</f>
        <v/>
      </c>
      <c r="AI342" s="32">
        <f>IF(AND(TRIM(A342&amp;"")&lt;&gt;"",L342&amp;""&lt;&gt;"",L342&amp;""=Seating!$I$3&amp;"",B342&lt;&gt;"Declined"),1,0)</f>
        <v/>
      </c>
      <c r="AJ342" s="32">
        <f>N(AJ341)+AI342</f>
        <v/>
      </c>
      <c r="AK342" s="32">
        <f>IF(AI342=1,AJ342,"")</f>
        <v/>
      </c>
    </row>
    <row r="343">
      <c r="A343" s="10" t="n"/>
      <c r="B343" s="47">
        <f>IF(TRIM(A343&amp;"")="","",IF(W343&lt;&gt;"",W343,IF(I343="","Awaiting",I343)))</f>
        <v/>
      </c>
      <c r="C343" s="60">
        <f>IF(OR(B343="Awaiting",B343="Not sure yet"),IF(AD343&lt;&gt;"",HYPERLINK(AD343,"💬 Remind"),"add mobile"),"")</f>
        <v/>
      </c>
      <c r="D343" s="58" t="n"/>
      <c r="E343" s="10" t="n"/>
      <c r="F343" s="10" t="n"/>
      <c r="G343" s="10" t="n"/>
      <c r="H343" s="10" t="n"/>
      <c r="I343" s="10" t="n"/>
      <c r="J343" s="10" t="n"/>
      <c r="K343" s="10" t="n"/>
      <c r="L343" s="56" t="n"/>
      <c r="M343" s="10" t="n"/>
      <c r="N343" s="12" t="n"/>
      <c r="O343" s="10" t="n"/>
      <c r="P343" s="10" t="n"/>
      <c r="Q343" s="61">
        <f>IF(V343="","",IF(T343="","Covered by "&amp;INDEX('Form Calc'!$B:$B,V343)&amp;"'s reply (same party)","Replied "&amp;TEXT(INDEX('Form Calc'!$A:$A,T343),"mm/dd")&amp;" · "&amp;INDEX('Form Calc'!$H:$H,T343)&amp;" adult(s), "&amp;INDEX('Form Calc'!$I:$I,T343)&amp;" child(ren)"&amp;IF(INDEX('Form Calc'!$K:$K,T343)&lt;&gt;""," · "&amp;INDEX('Form Calc'!$K:$K,T343),"")&amp;IF(INDEX('Form Calc'!$M:$M,T343)&lt;&gt;""," · “"&amp;INDEX('Form Calc'!$M:$M,T343)&amp;"”","")))</f>
        <v/>
      </c>
      <c r="R343" s="32">
        <f>SUBSTITUTE(SUBSTITUTE(SUBSTITUTE(SUBSTITUTE(SUBSTITUTE(SUBSTITUTE(SUBSTITUTE(SUBSTITUTE(D343&amp;""," ",""),"-",""),"(",""),")",""),".",""),"+",""),"/",""),CHAR(160),"")</f>
        <v/>
      </c>
      <c r="S343" s="32">
        <f>IF(LEN(R343)&gt;=10,RIGHT(R343,10),R343)</f>
        <v/>
      </c>
      <c r="T343" s="32">
        <f>IF(TRIM(A343&amp;"")="","",IF(S343&lt;&gt;"",IFERROR(MATCH(S343,'Form Calc'!$P:$P,0),IFERROR(MATCH(TRIM(A343&amp;""),'Form Calc'!$Q:$Q,0),"")),IFERROR(MATCH(TRIM(A343&amp;""),'Form Calc'!$Q:$Q,0),"")))</f>
        <v/>
      </c>
      <c r="U343" s="32">
        <f>IF(AND(T343&lt;&gt;"",TRIM(E343&amp;"")&lt;&gt;""),TRIM(E343&amp;""),"")</f>
        <v/>
      </c>
      <c r="V343" s="32">
        <f>IF(TRIM(A343&amp;"")="","",IF(T343&lt;&gt;"",T343,IF(TRIM(E343&amp;"")="","",IFERROR(INDEX($T$6:$T$505,MATCH(TRIM(E343&amp;""),$U$6:$U$505,0)),""))))</f>
        <v/>
      </c>
      <c r="W343" s="32">
        <f>IF(V343="","",INDEX('Form Calc'!$G:$G,V343))</f>
        <v/>
      </c>
      <c r="X343" s="32">
        <f>IF(TRIM(A343&amp;"")="","",IF(T343&lt;&gt;"",IF(INDEX('Form Calc'!$K:$K,T343)&lt;&gt;"",INDEX('Form Calc'!$K:$K,T343),J343&amp;""),J343&amp;""))</f>
        <v/>
      </c>
      <c r="Y343" s="32">
        <f>IF(TRIM(A343&amp;"")="","",IF(TRIM(D343&amp;"")&lt;&gt;"",TRIM(D343&amp;""),IF(T343&lt;&gt;"",INDEX('Form Calc'!$C:$C,T343)&amp;"","")))</f>
        <v/>
      </c>
      <c r="Z343" s="32">
        <f>SUBSTITUTE(SUBSTITUTE(SUBSTITUTE(SUBSTITUTE(SUBSTITUTE(SUBSTITUTE(SUBSTITUTE(SUBSTITUTE(Y343," ",""),"-",""),"(",""),")",""),".",""),"+",""),"/",""),CHAR(160),"")</f>
        <v/>
      </c>
      <c r="AA343" s="32">
        <f>IF(Z343="","",IF(LEN(Z343)=10,"+1"&amp;Z343,IF(AND(LEN(Z343)=11,LEFT(Z343,1)="1"),"+"&amp;Z343,IF(LEFT(Y343,1)="+","+"&amp;Z343,Z343))))</f>
        <v/>
      </c>
      <c r="AB343" s="32">
        <f>IF(TRIM(A343&amp;"")="","",IF(TRIM(M343&amp;"")&lt;&gt;"",TRIM(M343&amp;""),IFERROR(LEFT(TRIM(A343&amp;""),FIND(" ",TRIM(A343&amp;""))-1),TRIM(A343&amp;""))))</f>
        <v/>
      </c>
      <c r="AC343" s="32">
        <f>SUBSTITUTE(SUBSTITUTE(SUBSTITUTE(SUBSTITUTE(SUBSTITUTE(SUBSTITUTE(SUBSTITUTE(SUBSTITUTE(SUBSTITUTE(SUBSTITUTE(AB343,"%","%25"),"&amp;","%26"),"#","%23"),"+","%2B"),"=","%3D"),"?","%3F"),CHAR(34),"%22"),CHAR(10),"%0A"),CHAR(13),"")," ","+")</f>
        <v/>
      </c>
      <c r="AD343" s="32">
        <f>IF(OR(AA343="",AB343=""),"",'Start Here'!$B$20&amp;"#p="&amp;SUBSTITUTE(AA343,"+","%2B")&amp;"&amp;n="&amp;AC343&amp;"&amp;m="&amp;SUBSTITUTE('Start Here'!$B$24,"{name}",AC343))</f>
        <v/>
      </c>
      <c r="AE343" s="32">
        <f>LEN(AD343)</f>
        <v/>
      </c>
      <c r="AF343" s="32">
        <f>IF(AND(TRIM(A343&amp;"")&lt;&gt;"",OR(B343="Awaiting",B343="Not sure yet")),1,0)</f>
        <v/>
      </c>
      <c r="AG343" s="32">
        <f>N(AG342)+AF343</f>
        <v/>
      </c>
      <c r="AH343" s="32">
        <f>IF(AF343=1,AG343,"")</f>
        <v/>
      </c>
      <c r="AI343" s="32">
        <f>IF(AND(TRIM(A343&amp;"")&lt;&gt;"",L343&amp;""&lt;&gt;"",L343&amp;""=Seating!$I$3&amp;"",B343&lt;&gt;"Declined"),1,0)</f>
        <v/>
      </c>
      <c r="AJ343" s="32">
        <f>N(AJ342)+AI343</f>
        <v/>
      </c>
      <c r="AK343" s="32">
        <f>IF(AI343=1,AJ343,"")</f>
        <v/>
      </c>
    </row>
    <row r="344">
      <c r="A344" s="10" t="n"/>
      <c r="B344" s="47">
        <f>IF(TRIM(A344&amp;"")="","",IF(W344&lt;&gt;"",W344,IF(I344="","Awaiting",I344)))</f>
        <v/>
      </c>
      <c r="C344" s="60">
        <f>IF(OR(B344="Awaiting",B344="Not sure yet"),IF(AD344&lt;&gt;"",HYPERLINK(AD344,"💬 Remind"),"add mobile"),"")</f>
        <v/>
      </c>
      <c r="D344" s="58" t="n"/>
      <c r="E344" s="10" t="n"/>
      <c r="F344" s="10" t="n"/>
      <c r="G344" s="10" t="n"/>
      <c r="H344" s="10" t="n"/>
      <c r="I344" s="10" t="n"/>
      <c r="J344" s="10" t="n"/>
      <c r="K344" s="10" t="n"/>
      <c r="L344" s="56" t="n"/>
      <c r="M344" s="10" t="n"/>
      <c r="N344" s="12" t="n"/>
      <c r="O344" s="10" t="n"/>
      <c r="P344" s="10" t="n"/>
      <c r="Q344" s="61">
        <f>IF(V344="","",IF(T344="","Covered by "&amp;INDEX('Form Calc'!$B:$B,V344)&amp;"'s reply (same party)","Replied "&amp;TEXT(INDEX('Form Calc'!$A:$A,T344),"mm/dd")&amp;" · "&amp;INDEX('Form Calc'!$H:$H,T344)&amp;" adult(s), "&amp;INDEX('Form Calc'!$I:$I,T344)&amp;" child(ren)"&amp;IF(INDEX('Form Calc'!$K:$K,T344)&lt;&gt;""," · "&amp;INDEX('Form Calc'!$K:$K,T344),"")&amp;IF(INDEX('Form Calc'!$M:$M,T344)&lt;&gt;""," · “"&amp;INDEX('Form Calc'!$M:$M,T344)&amp;"”","")))</f>
        <v/>
      </c>
      <c r="R344" s="32">
        <f>SUBSTITUTE(SUBSTITUTE(SUBSTITUTE(SUBSTITUTE(SUBSTITUTE(SUBSTITUTE(SUBSTITUTE(SUBSTITUTE(D344&amp;""," ",""),"-",""),"(",""),")",""),".",""),"+",""),"/",""),CHAR(160),"")</f>
        <v/>
      </c>
      <c r="S344" s="32">
        <f>IF(LEN(R344)&gt;=10,RIGHT(R344,10),R344)</f>
        <v/>
      </c>
      <c r="T344" s="32">
        <f>IF(TRIM(A344&amp;"")="","",IF(S344&lt;&gt;"",IFERROR(MATCH(S344,'Form Calc'!$P:$P,0),IFERROR(MATCH(TRIM(A344&amp;""),'Form Calc'!$Q:$Q,0),"")),IFERROR(MATCH(TRIM(A344&amp;""),'Form Calc'!$Q:$Q,0),"")))</f>
        <v/>
      </c>
      <c r="U344" s="32">
        <f>IF(AND(T344&lt;&gt;"",TRIM(E344&amp;"")&lt;&gt;""),TRIM(E344&amp;""),"")</f>
        <v/>
      </c>
      <c r="V344" s="32">
        <f>IF(TRIM(A344&amp;"")="","",IF(T344&lt;&gt;"",T344,IF(TRIM(E344&amp;"")="","",IFERROR(INDEX($T$6:$T$505,MATCH(TRIM(E344&amp;""),$U$6:$U$505,0)),""))))</f>
        <v/>
      </c>
      <c r="W344" s="32">
        <f>IF(V344="","",INDEX('Form Calc'!$G:$G,V344))</f>
        <v/>
      </c>
      <c r="X344" s="32">
        <f>IF(TRIM(A344&amp;"")="","",IF(T344&lt;&gt;"",IF(INDEX('Form Calc'!$K:$K,T344)&lt;&gt;"",INDEX('Form Calc'!$K:$K,T344),J344&amp;""),J344&amp;""))</f>
        <v/>
      </c>
      <c r="Y344" s="32">
        <f>IF(TRIM(A344&amp;"")="","",IF(TRIM(D344&amp;"")&lt;&gt;"",TRIM(D344&amp;""),IF(T344&lt;&gt;"",INDEX('Form Calc'!$C:$C,T344)&amp;"","")))</f>
        <v/>
      </c>
      <c r="Z344" s="32">
        <f>SUBSTITUTE(SUBSTITUTE(SUBSTITUTE(SUBSTITUTE(SUBSTITUTE(SUBSTITUTE(SUBSTITUTE(SUBSTITUTE(Y344," ",""),"-",""),"(",""),")",""),".",""),"+",""),"/",""),CHAR(160),"")</f>
        <v/>
      </c>
      <c r="AA344" s="32">
        <f>IF(Z344="","",IF(LEN(Z344)=10,"+1"&amp;Z344,IF(AND(LEN(Z344)=11,LEFT(Z344,1)="1"),"+"&amp;Z344,IF(LEFT(Y344,1)="+","+"&amp;Z344,Z344))))</f>
        <v/>
      </c>
      <c r="AB344" s="32">
        <f>IF(TRIM(A344&amp;"")="","",IF(TRIM(M344&amp;"")&lt;&gt;"",TRIM(M344&amp;""),IFERROR(LEFT(TRIM(A344&amp;""),FIND(" ",TRIM(A344&amp;""))-1),TRIM(A344&amp;""))))</f>
        <v/>
      </c>
      <c r="AC344" s="32">
        <f>SUBSTITUTE(SUBSTITUTE(SUBSTITUTE(SUBSTITUTE(SUBSTITUTE(SUBSTITUTE(SUBSTITUTE(SUBSTITUTE(SUBSTITUTE(SUBSTITUTE(AB344,"%","%25"),"&amp;","%26"),"#","%23"),"+","%2B"),"=","%3D"),"?","%3F"),CHAR(34),"%22"),CHAR(10),"%0A"),CHAR(13),"")," ","+")</f>
        <v/>
      </c>
      <c r="AD344" s="32">
        <f>IF(OR(AA344="",AB344=""),"",'Start Here'!$B$20&amp;"#p="&amp;SUBSTITUTE(AA344,"+","%2B")&amp;"&amp;n="&amp;AC344&amp;"&amp;m="&amp;SUBSTITUTE('Start Here'!$B$24,"{name}",AC344))</f>
        <v/>
      </c>
      <c r="AE344" s="32">
        <f>LEN(AD344)</f>
        <v/>
      </c>
      <c r="AF344" s="32">
        <f>IF(AND(TRIM(A344&amp;"")&lt;&gt;"",OR(B344="Awaiting",B344="Not sure yet")),1,0)</f>
        <v/>
      </c>
      <c r="AG344" s="32">
        <f>N(AG343)+AF344</f>
        <v/>
      </c>
      <c r="AH344" s="32">
        <f>IF(AF344=1,AG344,"")</f>
        <v/>
      </c>
      <c r="AI344" s="32">
        <f>IF(AND(TRIM(A344&amp;"")&lt;&gt;"",L344&amp;""&lt;&gt;"",L344&amp;""=Seating!$I$3&amp;"",B344&lt;&gt;"Declined"),1,0)</f>
        <v/>
      </c>
      <c r="AJ344" s="32">
        <f>N(AJ343)+AI344</f>
        <v/>
      </c>
      <c r="AK344" s="32">
        <f>IF(AI344=1,AJ344,"")</f>
        <v/>
      </c>
    </row>
    <row r="345">
      <c r="A345" s="10" t="n"/>
      <c r="B345" s="47">
        <f>IF(TRIM(A345&amp;"")="","",IF(W345&lt;&gt;"",W345,IF(I345="","Awaiting",I345)))</f>
        <v/>
      </c>
      <c r="C345" s="60">
        <f>IF(OR(B345="Awaiting",B345="Not sure yet"),IF(AD345&lt;&gt;"",HYPERLINK(AD345,"💬 Remind"),"add mobile"),"")</f>
        <v/>
      </c>
      <c r="D345" s="58" t="n"/>
      <c r="E345" s="10" t="n"/>
      <c r="F345" s="10" t="n"/>
      <c r="G345" s="10" t="n"/>
      <c r="H345" s="10" t="n"/>
      <c r="I345" s="10" t="n"/>
      <c r="J345" s="10" t="n"/>
      <c r="K345" s="10" t="n"/>
      <c r="L345" s="56" t="n"/>
      <c r="M345" s="10" t="n"/>
      <c r="N345" s="12" t="n"/>
      <c r="O345" s="10" t="n"/>
      <c r="P345" s="10" t="n"/>
      <c r="Q345" s="61">
        <f>IF(V345="","",IF(T345="","Covered by "&amp;INDEX('Form Calc'!$B:$B,V345)&amp;"'s reply (same party)","Replied "&amp;TEXT(INDEX('Form Calc'!$A:$A,T345),"mm/dd")&amp;" · "&amp;INDEX('Form Calc'!$H:$H,T345)&amp;" adult(s), "&amp;INDEX('Form Calc'!$I:$I,T345)&amp;" child(ren)"&amp;IF(INDEX('Form Calc'!$K:$K,T345)&lt;&gt;""," · "&amp;INDEX('Form Calc'!$K:$K,T345),"")&amp;IF(INDEX('Form Calc'!$M:$M,T345)&lt;&gt;""," · “"&amp;INDEX('Form Calc'!$M:$M,T345)&amp;"”","")))</f>
        <v/>
      </c>
      <c r="R345" s="32">
        <f>SUBSTITUTE(SUBSTITUTE(SUBSTITUTE(SUBSTITUTE(SUBSTITUTE(SUBSTITUTE(SUBSTITUTE(SUBSTITUTE(D345&amp;""," ",""),"-",""),"(",""),")",""),".",""),"+",""),"/",""),CHAR(160),"")</f>
        <v/>
      </c>
      <c r="S345" s="32">
        <f>IF(LEN(R345)&gt;=10,RIGHT(R345,10),R345)</f>
        <v/>
      </c>
      <c r="T345" s="32">
        <f>IF(TRIM(A345&amp;"")="","",IF(S345&lt;&gt;"",IFERROR(MATCH(S345,'Form Calc'!$P:$P,0),IFERROR(MATCH(TRIM(A345&amp;""),'Form Calc'!$Q:$Q,0),"")),IFERROR(MATCH(TRIM(A345&amp;""),'Form Calc'!$Q:$Q,0),"")))</f>
        <v/>
      </c>
      <c r="U345" s="32">
        <f>IF(AND(T345&lt;&gt;"",TRIM(E345&amp;"")&lt;&gt;""),TRIM(E345&amp;""),"")</f>
        <v/>
      </c>
      <c r="V345" s="32">
        <f>IF(TRIM(A345&amp;"")="","",IF(T345&lt;&gt;"",T345,IF(TRIM(E345&amp;"")="","",IFERROR(INDEX($T$6:$T$505,MATCH(TRIM(E345&amp;""),$U$6:$U$505,0)),""))))</f>
        <v/>
      </c>
      <c r="W345" s="32">
        <f>IF(V345="","",INDEX('Form Calc'!$G:$G,V345))</f>
        <v/>
      </c>
      <c r="X345" s="32">
        <f>IF(TRIM(A345&amp;"")="","",IF(T345&lt;&gt;"",IF(INDEX('Form Calc'!$K:$K,T345)&lt;&gt;"",INDEX('Form Calc'!$K:$K,T345),J345&amp;""),J345&amp;""))</f>
        <v/>
      </c>
      <c r="Y345" s="32">
        <f>IF(TRIM(A345&amp;"")="","",IF(TRIM(D345&amp;"")&lt;&gt;"",TRIM(D345&amp;""),IF(T345&lt;&gt;"",INDEX('Form Calc'!$C:$C,T345)&amp;"","")))</f>
        <v/>
      </c>
      <c r="Z345" s="32">
        <f>SUBSTITUTE(SUBSTITUTE(SUBSTITUTE(SUBSTITUTE(SUBSTITUTE(SUBSTITUTE(SUBSTITUTE(SUBSTITUTE(Y345," ",""),"-",""),"(",""),")",""),".",""),"+",""),"/",""),CHAR(160),"")</f>
        <v/>
      </c>
      <c r="AA345" s="32">
        <f>IF(Z345="","",IF(LEN(Z345)=10,"+1"&amp;Z345,IF(AND(LEN(Z345)=11,LEFT(Z345,1)="1"),"+"&amp;Z345,IF(LEFT(Y345,1)="+","+"&amp;Z345,Z345))))</f>
        <v/>
      </c>
      <c r="AB345" s="32">
        <f>IF(TRIM(A345&amp;"")="","",IF(TRIM(M345&amp;"")&lt;&gt;"",TRIM(M345&amp;""),IFERROR(LEFT(TRIM(A345&amp;""),FIND(" ",TRIM(A345&amp;""))-1),TRIM(A345&amp;""))))</f>
        <v/>
      </c>
      <c r="AC345" s="32">
        <f>SUBSTITUTE(SUBSTITUTE(SUBSTITUTE(SUBSTITUTE(SUBSTITUTE(SUBSTITUTE(SUBSTITUTE(SUBSTITUTE(SUBSTITUTE(SUBSTITUTE(AB345,"%","%25"),"&amp;","%26"),"#","%23"),"+","%2B"),"=","%3D"),"?","%3F"),CHAR(34),"%22"),CHAR(10),"%0A"),CHAR(13),"")," ","+")</f>
        <v/>
      </c>
      <c r="AD345" s="32">
        <f>IF(OR(AA345="",AB345=""),"",'Start Here'!$B$20&amp;"#p="&amp;SUBSTITUTE(AA345,"+","%2B")&amp;"&amp;n="&amp;AC345&amp;"&amp;m="&amp;SUBSTITUTE('Start Here'!$B$24,"{name}",AC345))</f>
        <v/>
      </c>
      <c r="AE345" s="32">
        <f>LEN(AD345)</f>
        <v/>
      </c>
      <c r="AF345" s="32">
        <f>IF(AND(TRIM(A345&amp;"")&lt;&gt;"",OR(B345="Awaiting",B345="Not sure yet")),1,0)</f>
        <v/>
      </c>
      <c r="AG345" s="32">
        <f>N(AG344)+AF345</f>
        <v/>
      </c>
      <c r="AH345" s="32">
        <f>IF(AF345=1,AG345,"")</f>
        <v/>
      </c>
      <c r="AI345" s="32">
        <f>IF(AND(TRIM(A345&amp;"")&lt;&gt;"",L345&amp;""&lt;&gt;"",L345&amp;""=Seating!$I$3&amp;"",B345&lt;&gt;"Declined"),1,0)</f>
        <v/>
      </c>
      <c r="AJ345" s="32">
        <f>N(AJ344)+AI345</f>
        <v/>
      </c>
      <c r="AK345" s="32">
        <f>IF(AI345=1,AJ345,"")</f>
        <v/>
      </c>
    </row>
    <row r="346">
      <c r="A346" s="10" t="n"/>
      <c r="B346" s="47">
        <f>IF(TRIM(A346&amp;"")="","",IF(W346&lt;&gt;"",W346,IF(I346="","Awaiting",I346)))</f>
        <v/>
      </c>
      <c r="C346" s="60">
        <f>IF(OR(B346="Awaiting",B346="Not sure yet"),IF(AD346&lt;&gt;"",HYPERLINK(AD346,"💬 Remind"),"add mobile"),"")</f>
        <v/>
      </c>
      <c r="D346" s="58" t="n"/>
      <c r="E346" s="10" t="n"/>
      <c r="F346" s="10" t="n"/>
      <c r="G346" s="10" t="n"/>
      <c r="H346" s="10" t="n"/>
      <c r="I346" s="10" t="n"/>
      <c r="J346" s="10" t="n"/>
      <c r="K346" s="10" t="n"/>
      <c r="L346" s="56" t="n"/>
      <c r="M346" s="10" t="n"/>
      <c r="N346" s="12" t="n"/>
      <c r="O346" s="10" t="n"/>
      <c r="P346" s="10" t="n"/>
      <c r="Q346" s="61">
        <f>IF(V346="","",IF(T346="","Covered by "&amp;INDEX('Form Calc'!$B:$B,V346)&amp;"'s reply (same party)","Replied "&amp;TEXT(INDEX('Form Calc'!$A:$A,T346),"mm/dd")&amp;" · "&amp;INDEX('Form Calc'!$H:$H,T346)&amp;" adult(s), "&amp;INDEX('Form Calc'!$I:$I,T346)&amp;" child(ren)"&amp;IF(INDEX('Form Calc'!$K:$K,T346)&lt;&gt;""," · "&amp;INDEX('Form Calc'!$K:$K,T346),"")&amp;IF(INDEX('Form Calc'!$M:$M,T346)&lt;&gt;""," · “"&amp;INDEX('Form Calc'!$M:$M,T346)&amp;"”","")))</f>
        <v/>
      </c>
      <c r="R346" s="32">
        <f>SUBSTITUTE(SUBSTITUTE(SUBSTITUTE(SUBSTITUTE(SUBSTITUTE(SUBSTITUTE(SUBSTITUTE(SUBSTITUTE(D346&amp;""," ",""),"-",""),"(",""),")",""),".",""),"+",""),"/",""),CHAR(160),"")</f>
        <v/>
      </c>
      <c r="S346" s="32">
        <f>IF(LEN(R346)&gt;=10,RIGHT(R346,10),R346)</f>
        <v/>
      </c>
      <c r="T346" s="32">
        <f>IF(TRIM(A346&amp;"")="","",IF(S346&lt;&gt;"",IFERROR(MATCH(S346,'Form Calc'!$P:$P,0),IFERROR(MATCH(TRIM(A346&amp;""),'Form Calc'!$Q:$Q,0),"")),IFERROR(MATCH(TRIM(A346&amp;""),'Form Calc'!$Q:$Q,0),"")))</f>
        <v/>
      </c>
      <c r="U346" s="32">
        <f>IF(AND(T346&lt;&gt;"",TRIM(E346&amp;"")&lt;&gt;""),TRIM(E346&amp;""),"")</f>
        <v/>
      </c>
      <c r="V346" s="32">
        <f>IF(TRIM(A346&amp;"")="","",IF(T346&lt;&gt;"",T346,IF(TRIM(E346&amp;"")="","",IFERROR(INDEX($T$6:$T$505,MATCH(TRIM(E346&amp;""),$U$6:$U$505,0)),""))))</f>
        <v/>
      </c>
      <c r="W346" s="32">
        <f>IF(V346="","",INDEX('Form Calc'!$G:$G,V346))</f>
        <v/>
      </c>
      <c r="X346" s="32">
        <f>IF(TRIM(A346&amp;"")="","",IF(T346&lt;&gt;"",IF(INDEX('Form Calc'!$K:$K,T346)&lt;&gt;"",INDEX('Form Calc'!$K:$K,T346),J346&amp;""),J346&amp;""))</f>
        <v/>
      </c>
      <c r="Y346" s="32">
        <f>IF(TRIM(A346&amp;"")="","",IF(TRIM(D346&amp;"")&lt;&gt;"",TRIM(D346&amp;""),IF(T346&lt;&gt;"",INDEX('Form Calc'!$C:$C,T346)&amp;"","")))</f>
        <v/>
      </c>
      <c r="Z346" s="32">
        <f>SUBSTITUTE(SUBSTITUTE(SUBSTITUTE(SUBSTITUTE(SUBSTITUTE(SUBSTITUTE(SUBSTITUTE(SUBSTITUTE(Y346," ",""),"-",""),"(",""),")",""),".",""),"+",""),"/",""),CHAR(160),"")</f>
        <v/>
      </c>
      <c r="AA346" s="32">
        <f>IF(Z346="","",IF(LEN(Z346)=10,"+1"&amp;Z346,IF(AND(LEN(Z346)=11,LEFT(Z346,1)="1"),"+"&amp;Z346,IF(LEFT(Y346,1)="+","+"&amp;Z346,Z346))))</f>
        <v/>
      </c>
      <c r="AB346" s="32">
        <f>IF(TRIM(A346&amp;"")="","",IF(TRIM(M346&amp;"")&lt;&gt;"",TRIM(M346&amp;""),IFERROR(LEFT(TRIM(A346&amp;""),FIND(" ",TRIM(A346&amp;""))-1),TRIM(A346&amp;""))))</f>
        <v/>
      </c>
      <c r="AC346" s="32">
        <f>SUBSTITUTE(SUBSTITUTE(SUBSTITUTE(SUBSTITUTE(SUBSTITUTE(SUBSTITUTE(SUBSTITUTE(SUBSTITUTE(SUBSTITUTE(SUBSTITUTE(AB346,"%","%25"),"&amp;","%26"),"#","%23"),"+","%2B"),"=","%3D"),"?","%3F"),CHAR(34),"%22"),CHAR(10),"%0A"),CHAR(13),"")," ","+")</f>
        <v/>
      </c>
      <c r="AD346" s="32">
        <f>IF(OR(AA346="",AB346=""),"",'Start Here'!$B$20&amp;"#p="&amp;SUBSTITUTE(AA346,"+","%2B")&amp;"&amp;n="&amp;AC346&amp;"&amp;m="&amp;SUBSTITUTE('Start Here'!$B$24,"{name}",AC346))</f>
        <v/>
      </c>
      <c r="AE346" s="32">
        <f>LEN(AD346)</f>
        <v/>
      </c>
      <c r="AF346" s="32">
        <f>IF(AND(TRIM(A346&amp;"")&lt;&gt;"",OR(B346="Awaiting",B346="Not sure yet")),1,0)</f>
        <v/>
      </c>
      <c r="AG346" s="32">
        <f>N(AG345)+AF346</f>
        <v/>
      </c>
      <c r="AH346" s="32">
        <f>IF(AF346=1,AG346,"")</f>
        <v/>
      </c>
      <c r="AI346" s="32">
        <f>IF(AND(TRIM(A346&amp;"")&lt;&gt;"",L346&amp;""&lt;&gt;"",L346&amp;""=Seating!$I$3&amp;"",B346&lt;&gt;"Declined"),1,0)</f>
        <v/>
      </c>
      <c r="AJ346" s="32">
        <f>N(AJ345)+AI346</f>
        <v/>
      </c>
      <c r="AK346" s="32">
        <f>IF(AI346=1,AJ346,"")</f>
        <v/>
      </c>
    </row>
    <row r="347">
      <c r="A347" s="10" t="n"/>
      <c r="B347" s="47">
        <f>IF(TRIM(A347&amp;"")="","",IF(W347&lt;&gt;"",W347,IF(I347="","Awaiting",I347)))</f>
        <v/>
      </c>
      <c r="C347" s="60">
        <f>IF(OR(B347="Awaiting",B347="Not sure yet"),IF(AD347&lt;&gt;"",HYPERLINK(AD347,"💬 Remind"),"add mobile"),"")</f>
        <v/>
      </c>
      <c r="D347" s="58" t="n"/>
      <c r="E347" s="10" t="n"/>
      <c r="F347" s="10" t="n"/>
      <c r="G347" s="10" t="n"/>
      <c r="H347" s="10" t="n"/>
      <c r="I347" s="10" t="n"/>
      <c r="J347" s="10" t="n"/>
      <c r="K347" s="10" t="n"/>
      <c r="L347" s="56" t="n"/>
      <c r="M347" s="10" t="n"/>
      <c r="N347" s="12" t="n"/>
      <c r="O347" s="10" t="n"/>
      <c r="P347" s="10" t="n"/>
      <c r="Q347" s="61">
        <f>IF(V347="","",IF(T347="","Covered by "&amp;INDEX('Form Calc'!$B:$B,V347)&amp;"'s reply (same party)","Replied "&amp;TEXT(INDEX('Form Calc'!$A:$A,T347),"mm/dd")&amp;" · "&amp;INDEX('Form Calc'!$H:$H,T347)&amp;" adult(s), "&amp;INDEX('Form Calc'!$I:$I,T347)&amp;" child(ren)"&amp;IF(INDEX('Form Calc'!$K:$K,T347)&lt;&gt;""," · "&amp;INDEX('Form Calc'!$K:$K,T347),"")&amp;IF(INDEX('Form Calc'!$M:$M,T347)&lt;&gt;""," · “"&amp;INDEX('Form Calc'!$M:$M,T347)&amp;"”","")))</f>
        <v/>
      </c>
      <c r="R347" s="32">
        <f>SUBSTITUTE(SUBSTITUTE(SUBSTITUTE(SUBSTITUTE(SUBSTITUTE(SUBSTITUTE(SUBSTITUTE(SUBSTITUTE(D347&amp;""," ",""),"-",""),"(",""),")",""),".",""),"+",""),"/",""),CHAR(160),"")</f>
        <v/>
      </c>
      <c r="S347" s="32">
        <f>IF(LEN(R347)&gt;=10,RIGHT(R347,10),R347)</f>
        <v/>
      </c>
      <c r="T347" s="32">
        <f>IF(TRIM(A347&amp;"")="","",IF(S347&lt;&gt;"",IFERROR(MATCH(S347,'Form Calc'!$P:$P,0),IFERROR(MATCH(TRIM(A347&amp;""),'Form Calc'!$Q:$Q,0),"")),IFERROR(MATCH(TRIM(A347&amp;""),'Form Calc'!$Q:$Q,0),"")))</f>
        <v/>
      </c>
      <c r="U347" s="32">
        <f>IF(AND(T347&lt;&gt;"",TRIM(E347&amp;"")&lt;&gt;""),TRIM(E347&amp;""),"")</f>
        <v/>
      </c>
      <c r="V347" s="32">
        <f>IF(TRIM(A347&amp;"")="","",IF(T347&lt;&gt;"",T347,IF(TRIM(E347&amp;"")="","",IFERROR(INDEX($T$6:$T$505,MATCH(TRIM(E347&amp;""),$U$6:$U$505,0)),""))))</f>
        <v/>
      </c>
      <c r="W347" s="32">
        <f>IF(V347="","",INDEX('Form Calc'!$G:$G,V347))</f>
        <v/>
      </c>
      <c r="X347" s="32">
        <f>IF(TRIM(A347&amp;"")="","",IF(T347&lt;&gt;"",IF(INDEX('Form Calc'!$K:$K,T347)&lt;&gt;"",INDEX('Form Calc'!$K:$K,T347),J347&amp;""),J347&amp;""))</f>
        <v/>
      </c>
      <c r="Y347" s="32">
        <f>IF(TRIM(A347&amp;"")="","",IF(TRIM(D347&amp;"")&lt;&gt;"",TRIM(D347&amp;""),IF(T347&lt;&gt;"",INDEX('Form Calc'!$C:$C,T347)&amp;"","")))</f>
        <v/>
      </c>
      <c r="Z347" s="32">
        <f>SUBSTITUTE(SUBSTITUTE(SUBSTITUTE(SUBSTITUTE(SUBSTITUTE(SUBSTITUTE(SUBSTITUTE(SUBSTITUTE(Y347," ",""),"-",""),"(",""),")",""),".",""),"+",""),"/",""),CHAR(160),"")</f>
        <v/>
      </c>
      <c r="AA347" s="32">
        <f>IF(Z347="","",IF(LEN(Z347)=10,"+1"&amp;Z347,IF(AND(LEN(Z347)=11,LEFT(Z347,1)="1"),"+"&amp;Z347,IF(LEFT(Y347,1)="+","+"&amp;Z347,Z347))))</f>
        <v/>
      </c>
      <c r="AB347" s="32">
        <f>IF(TRIM(A347&amp;"")="","",IF(TRIM(M347&amp;"")&lt;&gt;"",TRIM(M347&amp;""),IFERROR(LEFT(TRIM(A347&amp;""),FIND(" ",TRIM(A347&amp;""))-1),TRIM(A347&amp;""))))</f>
        <v/>
      </c>
      <c r="AC347" s="32">
        <f>SUBSTITUTE(SUBSTITUTE(SUBSTITUTE(SUBSTITUTE(SUBSTITUTE(SUBSTITUTE(SUBSTITUTE(SUBSTITUTE(SUBSTITUTE(SUBSTITUTE(AB347,"%","%25"),"&amp;","%26"),"#","%23"),"+","%2B"),"=","%3D"),"?","%3F"),CHAR(34),"%22"),CHAR(10),"%0A"),CHAR(13),"")," ","+")</f>
        <v/>
      </c>
      <c r="AD347" s="32">
        <f>IF(OR(AA347="",AB347=""),"",'Start Here'!$B$20&amp;"#p="&amp;SUBSTITUTE(AA347,"+","%2B")&amp;"&amp;n="&amp;AC347&amp;"&amp;m="&amp;SUBSTITUTE('Start Here'!$B$24,"{name}",AC347))</f>
        <v/>
      </c>
      <c r="AE347" s="32">
        <f>LEN(AD347)</f>
        <v/>
      </c>
      <c r="AF347" s="32">
        <f>IF(AND(TRIM(A347&amp;"")&lt;&gt;"",OR(B347="Awaiting",B347="Not sure yet")),1,0)</f>
        <v/>
      </c>
      <c r="AG347" s="32">
        <f>N(AG346)+AF347</f>
        <v/>
      </c>
      <c r="AH347" s="32">
        <f>IF(AF347=1,AG347,"")</f>
        <v/>
      </c>
      <c r="AI347" s="32">
        <f>IF(AND(TRIM(A347&amp;"")&lt;&gt;"",L347&amp;""&lt;&gt;"",L347&amp;""=Seating!$I$3&amp;"",B347&lt;&gt;"Declined"),1,0)</f>
        <v/>
      </c>
      <c r="AJ347" s="32">
        <f>N(AJ346)+AI347</f>
        <v/>
      </c>
      <c r="AK347" s="32">
        <f>IF(AI347=1,AJ347,"")</f>
        <v/>
      </c>
    </row>
    <row r="348">
      <c r="A348" s="10" t="n"/>
      <c r="B348" s="47">
        <f>IF(TRIM(A348&amp;"")="","",IF(W348&lt;&gt;"",W348,IF(I348="","Awaiting",I348)))</f>
        <v/>
      </c>
      <c r="C348" s="60">
        <f>IF(OR(B348="Awaiting",B348="Not sure yet"),IF(AD348&lt;&gt;"",HYPERLINK(AD348,"💬 Remind"),"add mobile"),"")</f>
        <v/>
      </c>
      <c r="D348" s="58" t="n"/>
      <c r="E348" s="10" t="n"/>
      <c r="F348" s="10" t="n"/>
      <c r="G348" s="10" t="n"/>
      <c r="H348" s="10" t="n"/>
      <c r="I348" s="10" t="n"/>
      <c r="J348" s="10" t="n"/>
      <c r="K348" s="10" t="n"/>
      <c r="L348" s="56" t="n"/>
      <c r="M348" s="10" t="n"/>
      <c r="N348" s="12" t="n"/>
      <c r="O348" s="10" t="n"/>
      <c r="P348" s="10" t="n"/>
      <c r="Q348" s="61">
        <f>IF(V348="","",IF(T348="","Covered by "&amp;INDEX('Form Calc'!$B:$B,V348)&amp;"'s reply (same party)","Replied "&amp;TEXT(INDEX('Form Calc'!$A:$A,T348),"mm/dd")&amp;" · "&amp;INDEX('Form Calc'!$H:$H,T348)&amp;" adult(s), "&amp;INDEX('Form Calc'!$I:$I,T348)&amp;" child(ren)"&amp;IF(INDEX('Form Calc'!$K:$K,T348)&lt;&gt;""," · "&amp;INDEX('Form Calc'!$K:$K,T348),"")&amp;IF(INDEX('Form Calc'!$M:$M,T348)&lt;&gt;""," · “"&amp;INDEX('Form Calc'!$M:$M,T348)&amp;"”","")))</f>
        <v/>
      </c>
      <c r="R348" s="32">
        <f>SUBSTITUTE(SUBSTITUTE(SUBSTITUTE(SUBSTITUTE(SUBSTITUTE(SUBSTITUTE(SUBSTITUTE(SUBSTITUTE(D348&amp;""," ",""),"-",""),"(",""),")",""),".",""),"+",""),"/",""),CHAR(160),"")</f>
        <v/>
      </c>
      <c r="S348" s="32">
        <f>IF(LEN(R348)&gt;=10,RIGHT(R348,10),R348)</f>
        <v/>
      </c>
      <c r="T348" s="32">
        <f>IF(TRIM(A348&amp;"")="","",IF(S348&lt;&gt;"",IFERROR(MATCH(S348,'Form Calc'!$P:$P,0),IFERROR(MATCH(TRIM(A348&amp;""),'Form Calc'!$Q:$Q,0),"")),IFERROR(MATCH(TRIM(A348&amp;""),'Form Calc'!$Q:$Q,0),"")))</f>
        <v/>
      </c>
      <c r="U348" s="32">
        <f>IF(AND(T348&lt;&gt;"",TRIM(E348&amp;"")&lt;&gt;""),TRIM(E348&amp;""),"")</f>
        <v/>
      </c>
      <c r="V348" s="32">
        <f>IF(TRIM(A348&amp;"")="","",IF(T348&lt;&gt;"",T348,IF(TRIM(E348&amp;"")="","",IFERROR(INDEX($T$6:$T$505,MATCH(TRIM(E348&amp;""),$U$6:$U$505,0)),""))))</f>
        <v/>
      </c>
      <c r="W348" s="32">
        <f>IF(V348="","",INDEX('Form Calc'!$G:$G,V348))</f>
        <v/>
      </c>
      <c r="X348" s="32">
        <f>IF(TRIM(A348&amp;"")="","",IF(T348&lt;&gt;"",IF(INDEX('Form Calc'!$K:$K,T348)&lt;&gt;"",INDEX('Form Calc'!$K:$K,T348),J348&amp;""),J348&amp;""))</f>
        <v/>
      </c>
      <c r="Y348" s="32">
        <f>IF(TRIM(A348&amp;"")="","",IF(TRIM(D348&amp;"")&lt;&gt;"",TRIM(D348&amp;""),IF(T348&lt;&gt;"",INDEX('Form Calc'!$C:$C,T348)&amp;"","")))</f>
        <v/>
      </c>
      <c r="Z348" s="32">
        <f>SUBSTITUTE(SUBSTITUTE(SUBSTITUTE(SUBSTITUTE(SUBSTITUTE(SUBSTITUTE(SUBSTITUTE(SUBSTITUTE(Y348," ",""),"-",""),"(",""),")",""),".",""),"+",""),"/",""),CHAR(160),"")</f>
        <v/>
      </c>
      <c r="AA348" s="32">
        <f>IF(Z348="","",IF(LEN(Z348)=10,"+1"&amp;Z348,IF(AND(LEN(Z348)=11,LEFT(Z348,1)="1"),"+"&amp;Z348,IF(LEFT(Y348,1)="+","+"&amp;Z348,Z348))))</f>
        <v/>
      </c>
      <c r="AB348" s="32">
        <f>IF(TRIM(A348&amp;"")="","",IF(TRIM(M348&amp;"")&lt;&gt;"",TRIM(M348&amp;""),IFERROR(LEFT(TRIM(A348&amp;""),FIND(" ",TRIM(A348&amp;""))-1),TRIM(A348&amp;""))))</f>
        <v/>
      </c>
      <c r="AC348" s="32">
        <f>SUBSTITUTE(SUBSTITUTE(SUBSTITUTE(SUBSTITUTE(SUBSTITUTE(SUBSTITUTE(SUBSTITUTE(SUBSTITUTE(SUBSTITUTE(SUBSTITUTE(AB348,"%","%25"),"&amp;","%26"),"#","%23"),"+","%2B"),"=","%3D"),"?","%3F"),CHAR(34),"%22"),CHAR(10),"%0A"),CHAR(13),"")," ","+")</f>
        <v/>
      </c>
      <c r="AD348" s="32">
        <f>IF(OR(AA348="",AB348=""),"",'Start Here'!$B$20&amp;"#p="&amp;SUBSTITUTE(AA348,"+","%2B")&amp;"&amp;n="&amp;AC348&amp;"&amp;m="&amp;SUBSTITUTE('Start Here'!$B$24,"{name}",AC348))</f>
        <v/>
      </c>
      <c r="AE348" s="32">
        <f>LEN(AD348)</f>
        <v/>
      </c>
      <c r="AF348" s="32">
        <f>IF(AND(TRIM(A348&amp;"")&lt;&gt;"",OR(B348="Awaiting",B348="Not sure yet")),1,0)</f>
        <v/>
      </c>
      <c r="AG348" s="32">
        <f>N(AG347)+AF348</f>
        <v/>
      </c>
      <c r="AH348" s="32">
        <f>IF(AF348=1,AG348,"")</f>
        <v/>
      </c>
      <c r="AI348" s="32">
        <f>IF(AND(TRIM(A348&amp;"")&lt;&gt;"",L348&amp;""&lt;&gt;"",L348&amp;""=Seating!$I$3&amp;"",B348&lt;&gt;"Declined"),1,0)</f>
        <v/>
      </c>
      <c r="AJ348" s="32">
        <f>N(AJ347)+AI348</f>
        <v/>
      </c>
      <c r="AK348" s="32">
        <f>IF(AI348=1,AJ348,"")</f>
        <v/>
      </c>
    </row>
    <row r="349">
      <c r="A349" s="10" t="n"/>
      <c r="B349" s="47">
        <f>IF(TRIM(A349&amp;"")="","",IF(W349&lt;&gt;"",W349,IF(I349="","Awaiting",I349)))</f>
        <v/>
      </c>
      <c r="C349" s="60">
        <f>IF(OR(B349="Awaiting",B349="Not sure yet"),IF(AD349&lt;&gt;"",HYPERLINK(AD349,"💬 Remind"),"add mobile"),"")</f>
        <v/>
      </c>
      <c r="D349" s="58" t="n"/>
      <c r="E349" s="10" t="n"/>
      <c r="F349" s="10" t="n"/>
      <c r="G349" s="10" t="n"/>
      <c r="H349" s="10" t="n"/>
      <c r="I349" s="10" t="n"/>
      <c r="J349" s="10" t="n"/>
      <c r="K349" s="10" t="n"/>
      <c r="L349" s="56" t="n"/>
      <c r="M349" s="10" t="n"/>
      <c r="N349" s="12" t="n"/>
      <c r="O349" s="10" t="n"/>
      <c r="P349" s="10" t="n"/>
      <c r="Q349" s="61">
        <f>IF(V349="","",IF(T349="","Covered by "&amp;INDEX('Form Calc'!$B:$B,V349)&amp;"'s reply (same party)","Replied "&amp;TEXT(INDEX('Form Calc'!$A:$A,T349),"mm/dd")&amp;" · "&amp;INDEX('Form Calc'!$H:$H,T349)&amp;" adult(s), "&amp;INDEX('Form Calc'!$I:$I,T349)&amp;" child(ren)"&amp;IF(INDEX('Form Calc'!$K:$K,T349)&lt;&gt;""," · "&amp;INDEX('Form Calc'!$K:$K,T349),"")&amp;IF(INDEX('Form Calc'!$M:$M,T349)&lt;&gt;""," · “"&amp;INDEX('Form Calc'!$M:$M,T349)&amp;"”","")))</f>
        <v/>
      </c>
      <c r="R349" s="32">
        <f>SUBSTITUTE(SUBSTITUTE(SUBSTITUTE(SUBSTITUTE(SUBSTITUTE(SUBSTITUTE(SUBSTITUTE(SUBSTITUTE(D349&amp;""," ",""),"-",""),"(",""),")",""),".",""),"+",""),"/",""),CHAR(160),"")</f>
        <v/>
      </c>
      <c r="S349" s="32">
        <f>IF(LEN(R349)&gt;=10,RIGHT(R349,10),R349)</f>
        <v/>
      </c>
      <c r="T349" s="32">
        <f>IF(TRIM(A349&amp;"")="","",IF(S349&lt;&gt;"",IFERROR(MATCH(S349,'Form Calc'!$P:$P,0),IFERROR(MATCH(TRIM(A349&amp;""),'Form Calc'!$Q:$Q,0),"")),IFERROR(MATCH(TRIM(A349&amp;""),'Form Calc'!$Q:$Q,0),"")))</f>
        <v/>
      </c>
      <c r="U349" s="32">
        <f>IF(AND(T349&lt;&gt;"",TRIM(E349&amp;"")&lt;&gt;""),TRIM(E349&amp;""),"")</f>
        <v/>
      </c>
      <c r="V349" s="32">
        <f>IF(TRIM(A349&amp;"")="","",IF(T349&lt;&gt;"",T349,IF(TRIM(E349&amp;"")="","",IFERROR(INDEX($T$6:$T$505,MATCH(TRIM(E349&amp;""),$U$6:$U$505,0)),""))))</f>
        <v/>
      </c>
      <c r="W349" s="32">
        <f>IF(V349="","",INDEX('Form Calc'!$G:$G,V349))</f>
        <v/>
      </c>
      <c r="X349" s="32">
        <f>IF(TRIM(A349&amp;"")="","",IF(T349&lt;&gt;"",IF(INDEX('Form Calc'!$K:$K,T349)&lt;&gt;"",INDEX('Form Calc'!$K:$K,T349),J349&amp;""),J349&amp;""))</f>
        <v/>
      </c>
      <c r="Y349" s="32">
        <f>IF(TRIM(A349&amp;"")="","",IF(TRIM(D349&amp;"")&lt;&gt;"",TRIM(D349&amp;""),IF(T349&lt;&gt;"",INDEX('Form Calc'!$C:$C,T349)&amp;"","")))</f>
        <v/>
      </c>
      <c r="Z349" s="32">
        <f>SUBSTITUTE(SUBSTITUTE(SUBSTITUTE(SUBSTITUTE(SUBSTITUTE(SUBSTITUTE(SUBSTITUTE(SUBSTITUTE(Y349," ",""),"-",""),"(",""),")",""),".",""),"+",""),"/",""),CHAR(160),"")</f>
        <v/>
      </c>
      <c r="AA349" s="32">
        <f>IF(Z349="","",IF(LEN(Z349)=10,"+1"&amp;Z349,IF(AND(LEN(Z349)=11,LEFT(Z349,1)="1"),"+"&amp;Z349,IF(LEFT(Y349,1)="+","+"&amp;Z349,Z349))))</f>
        <v/>
      </c>
      <c r="AB349" s="32">
        <f>IF(TRIM(A349&amp;"")="","",IF(TRIM(M349&amp;"")&lt;&gt;"",TRIM(M349&amp;""),IFERROR(LEFT(TRIM(A349&amp;""),FIND(" ",TRIM(A349&amp;""))-1),TRIM(A349&amp;""))))</f>
        <v/>
      </c>
      <c r="AC349" s="32">
        <f>SUBSTITUTE(SUBSTITUTE(SUBSTITUTE(SUBSTITUTE(SUBSTITUTE(SUBSTITUTE(SUBSTITUTE(SUBSTITUTE(SUBSTITUTE(SUBSTITUTE(AB349,"%","%25"),"&amp;","%26"),"#","%23"),"+","%2B"),"=","%3D"),"?","%3F"),CHAR(34),"%22"),CHAR(10),"%0A"),CHAR(13),"")," ","+")</f>
        <v/>
      </c>
      <c r="AD349" s="32">
        <f>IF(OR(AA349="",AB349=""),"",'Start Here'!$B$20&amp;"#p="&amp;SUBSTITUTE(AA349,"+","%2B")&amp;"&amp;n="&amp;AC349&amp;"&amp;m="&amp;SUBSTITUTE('Start Here'!$B$24,"{name}",AC349))</f>
        <v/>
      </c>
      <c r="AE349" s="32">
        <f>LEN(AD349)</f>
        <v/>
      </c>
      <c r="AF349" s="32">
        <f>IF(AND(TRIM(A349&amp;"")&lt;&gt;"",OR(B349="Awaiting",B349="Not sure yet")),1,0)</f>
        <v/>
      </c>
      <c r="AG349" s="32">
        <f>N(AG348)+AF349</f>
        <v/>
      </c>
      <c r="AH349" s="32">
        <f>IF(AF349=1,AG349,"")</f>
        <v/>
      </c>
      <c r="AI349" s="32">
        <f>IF(AND(TRIM(A349&amp;"")&lt;&gt;"",L349&amp;""&lt;&gt;"",L349&amp;""=Seating!$I$3&amp;"",B349&lt;&gt;"Declined"),1,0)</f>
        <v/>
      </c>
      <c r="AJ349" s="32">
        <f>N(AJ348)+AI349</f>
        <v/>
      </c>
      <c r="AK349" s="32">
        <f>IF(AI349=1,AJ349,"")</f>
        <v/>
      </c>
    </row>
    <row r="350">
      <c r="A350" s="10" t="n"/>
      <c r="B350" s="47">
        <f>IF(TRIM(A350&amp;"")="","",IF(W350&lt;&gt;"",W350,IF(I350="","Awaiting",I350)))</f>
        <v/>
      </c>
      <c r="C350" s="60">
        <f>IF(OR(B350="Awaiting",B350="Not sure yet"),IF(AD350&lt;&gt;"",HYPERLINK(AD350,"💬 Remind"),"add mobile"),"")</f>
        <v/>
      </c>
      <c r="D350" s="58" t="n"/>
      <c r="E350" s="10" t="n"/>
      <c r="F350" s="10" t="n"/>
      <c r="G350" s="10" t="n"/>
      <c r="H350" s="10" t="n"/>
      <c r="I350" s="10" t="n"/>
      <c r="J350" s="10" t="n"/>
      <c r="K350" s="10" t="n"/>
      <c r="L350" s="56" t="n"/>
      <c r="M350" s="10" t="n"/>
      <c r="N350" s="12" t="n"/>
      <c r="O350" s="10" t="n"/>
      <c r="P350" s="10" t="n"/>
      <c r="Q350" s="61">
        <f>IF(V350="","",IF(T350="","Covered by "&amp;INDEX('Form Calc'!$B:$B,V350)&amp;"'s reply (same party)","Replied "&amp;TEXT(INDEX('Form Calc'!$A:$A,T350),"mm/dd")&amp;" · "&amp;INDEX('Form Calc'!$H:$H,T350)&amp;" adult(s), "&amp;INDEX('Form Calc'!$I:$I,T350)&amp;" child(ren)"&amp;IF(INDEX('Form Calc'!$K:$K,T350)&lt;&gt;""," · "&amp;INDEX('Form Calc'!$K:$K,T350),"")&amp;IF(INDEX('Form Calc'!$M:$M,T350)&lt;&gt;""," · “"&amp;INDEX('Form Calc'!$M:$M,T350)&amp;"”","")))</f>
        <v/>
      </c>
      <c r="R350" s="32">
        <f>SUBSTITUTE(SUBSTITUTE(SUBSTITUTE(SUBSTITUTE(SUBSTITUTE(SUBSTITUTE(SUBSTITUTE(SUBSTITUTE(D350&amp;""," ",""),"-",""),"(",""),")",""),".",""),"+",""),"/",""),CHAR(160),"")</f>
        <v/>
      </c>
      <c r="S350" s="32">
        <f>IF(LEN(R350)&gt;=10,RIGHT(R350,10),R350)</f>
        <v/>
      </c>
      <c r="T350" s="32">
        <f>IF(TRIM(A350&amp;"")="","",IF(S350&lt;&gt;"",IFERROR(MATCH(S350,'Form Calc'!$P:$P,0),IFERROR(MATCH(TRIM(A350&amp;""),'Form Calc'!$Q:$Q,0),"")),IFERROR(MATCH(TRIM(A350&amp;""),'Form Calc'!$Q:$Q,0),"")))</f>
        <v/>
      </c>
      <c r="U350" s="32">
        <f>IF(AND(T350&lt;&gt;"",TRIM(E350&amp;"")&lt;&gt;""),TRIM(E350&amp;""),"")</f>
        <v/>
      </c>
      <c r="V350" s="32">
        <f>IF(TRIM(A350&amp;"")="","",IF(T350&lt;&gt;"",T350,IF(TRIM(E350&amp;"")="","",IFERROR(INDEX($T$6:$T$505,MATCH(TRIM(E350&amp;""),$U$6:$U$505,0)),""))))</f>
        <v/>
      </c>
      <c r="W350" s="32">
        <f>IF(V350="","",INDEX('Form Calc'!$G:$G,V350))</f>
        <v/>
      </c>
      <c r="X350" s="32">
        <f>IF(TRIM(A350&amp;"")="","",IF(T350&lt;&gt;"",IF(INDEX('Form Calc'!$K:$K,T350)&lt;&gt;"",INDEX('Form Calc'!$K:$K,T350),J350&amp;""),J350&amp;""))</f>
        <v/>
      </c>
      <c r="Y350" s="32">
        <f>IF(TRIM(A350&amp;"")="","",IF(TRIM(D350&amp;"")&lt;&gt;"",TRIM(D350&amp;""),IF(T350&lt;&gt;"",INDEX('Form Calc'!$C:$C,T350)&amp;"","")))</f>
        <v/>
      </c>
      <c r="Z350" s="32">
        <f>SUBSTITUTE(SUBSTITUTE(SUBSTITUTE(SUBSTITUTE(SUBSTITUTE(SUBSTITUTE(SUBSTITUTE(SUBSTITUTE(Y350," ",""),"-",""),"(",""),")",""),".",""),"+",""),"/",""),CHAR(160),"")</f>
        <v/>
      </c>
      <c r="AA350" s="32">
        <f>IF(Z350="","",IF(LEN(Z350)=10,"+1"&amp;Z350,IF(AND(LEN(Z350)=11,LEFT(Z350,1)="1"),"+"&amp;Z350,IF(LEFT(Y350,1)="+","+"&amp;Z350,Z350))))</f>
        <v/>
      </c>
      <c r="AB350" s="32">
        <f>IF(TRIM(A350&amp;"")="","",IF(TRIM(M350&amp;"")&lt;&gt;"",TRIM(M350&amp;""),IFERROR(LEFT(TRIM(A350&amp;""),FIND(" ",TRIM(A350&amp;""))-1),TRIM(A350&amp;""))))</f>
        <v/>
      </c>
      <c r="AC350" s="32">
        <f>SUBSTITUTE(SUBSTITUTE(SUBSTITUTE(SUBSTITUTE(SUBSTITUTE(SUBSTITUTE(SUBSTITUTE(SUBSTITUTE(SUBSTITUTE(SUBSTITUTE(AB350,"%","%25"),"&amp;","%26"),"#","%23"),"+","%2B"),"=","%3D"),"?","%3F"),CHAR(34),"%22"),CHAR(10),"%0A"),CHAR(13),"")," ","+")</f>
        <v/>
      </c>
      <c r="AD350" s="32">
        <f>IF(OR(AA350="",AB350=""),"",'Start Here'!$B$20&amp;"#p="&amp;SUBSTITUTE(AA350,"+","%2B")&amp;"&amp;n="&amp;AC350&amp;"&amp;m="&amp;SUBSTITUTE('Start Here'!$B$24,"{name}",AC350))</f>
        <v/>
      </c>
      <c r="AE350" s="32">
        <f>LEN(AD350)</f>
        <v/>
      </c>
      <c r="AF350" s="32">
        <f>IF(AND(TRIM(A350&amp;"")&lt;&gt;"",OR(B350="Awaiting",B350="Not sure yet")),1,0)</f>
        <v/>
      </c>
      <c r="AG350" s="32">
        <f>N(AG349)+AF350</f>
        <v/>
      </c>
      <c r="AH350" s="32">
        <f>IF(AF350=1,AG350,"")</f>
        <v/>
      </c>
      <c r="AI350" s="32">
        <f>IF(AND(TRIM(A350&amp;"")&lt;&gt;"",L350&amp;""&lt;&gt;"",L350&amp;""=Seating!$I$3&amp;"",B350&lt;&gt;"Declined"),1,0)</f>
        <v/>
      </c>
      <c r="AJ350" s="32">
        <f>N(AJ349)+AI350</f>
        <v/>
      </c>
      <c r="AK350" s="32">
        <f>IF(AI350=1,AJ350,"")</f>
        <v/>
      </c>
    </row>
    <row r="351">
      <c r="A351" s="10" t="n"/>
      <c r="B351" s="47">
        <f>IF(TRIM(A351&amp;"")="","",IF(W351&lt;&gt;"",W351,IF(I351="","Awaiting",I351)))</f>
        <v/>
      </c>
      <c r="C351" s="60">
        <f>IF(OR(B351="Awaiting",B351="Not sure yet"),IF(AD351&lt;&gt;"",HYPERLINK(AD351,"💬 Remind"),"add mobile"),"")</f>
        <v/>
      </c>
      <c r="D351" s="58" t="n"/>
      <c r="E351" s="10" t="n"/>
      <c r="F351" s="10" t="n"/>
      <c r="G351" s="10" t="n"/>
      <c r="H351" s="10" t="n"/>
      <c r="I351" s="10" t="n"/>
      <c r="J351" s="10" t="n"/>
      <c r="K351" s="10" t="n"/>
      <c r="L351" s="56" t="n"/>
      <c r="M351" s="10" t="n"/>
      <c r="N351" s="12" t="n"/>
      <c r="O351" s="10" t="n"/>
      <c r="P351" s="10" t="n"/>
      <c r="Q351" s="61">
        <f>IF(V351="","",IF(T351="","Covered by "&amp;INDEX('Form Calc'!$B:$B,V351)&amp;"'s reply (same party)","Replied "&amp;TEXT(INDEX('Form Calc'!$A:$A,T351),"mm/dd")&amp;" · "&amp;INDEX('Form Calc'!$H:$H,T351)&amp;" adult(s), "&amp;INDEX('Form Calc'!$I:$I,T351)&amp;" child(ren)"&amp;IF(INDEX('Form Calc'!$K:$K,T351)&lt;&gt;""," · "&amp;INDEX('Form Calc'!$K:$K,T351),"")&amp;IF(INDEX('Form Calc'!$M:$M,T351)&lt;&gt;""," · “"&amp;INDEX('Form Calc'!$M:$M,T351)&amp;"”","")))</f>
        <v/>
      </c>
      <c r="R351" s="32">
        <f>SUBSTITUTE(SUBSTITUTE(SUBSTITUTE(SUBSTITUTE(SUBSTITUTE(SUBSTITUTE(SUBSTITUTE(SUBSTITUTE(D351&amp;""," ",""),"-",""),"(",""),")",""),".",""),"+",""),"/",""),CHAR(160),"")</f>
        <v/>
      </c>
      <c r="S351" s="32">
        <f>IF(LEN(R351)&gt;=10,RIGHT(R351,10),R351)</f>
        <v/>
      </c>
      <c r="T351" s="32">
        <f>IF(TRIM(A351&amp;"")="","",IF(S351&lt;&gt;"",IFERROR(MATCH(S351,'Form Calc'!$P:$P,0),IFERROR(MATCH(TRIM(A351&amp;""),'Form Calc'!$Q:$Q,0),"")),IFERROR(MATCH(TRIM(A351&amp;""),'Form Calc'!$Q:$Q,0),"")))</f>
        <v/>
      </c>
      <c r="U351" s="32">
        <f>IF(AND(T351&lt;&gt;"",TRIM(E351&amp;"")&lt;&gt;""),TRIM(E351&amp;""),"")</f>
        <v/>
      </c>
      <c r="V351" s="32">
        <f>IF(TRIM(A351&amp;"")="","",IF(T351&lt;&gt;"",T351,IF(TRIM(E351&amp;"")="","",IFERROR(INDEX($T$6:$T$505,MATCH(TRIM(E351&amp;""),$U$6:$U$505,0)),""))))</f>
        <v/>
      </c>
      <c r="W351" s="32">
        <f>IF(V351="","",INDEX('Form Calc'!$G:$G,V351))</f>
        <v/>
      </c>
      <c r="X351" s="32">
        <f>IF(TRIM(A351&amp;"")="","",IF(T351&lt;&gt;"",IF(INDEX('Form Calc'!$K:$K,T351)&lt;&gt;"",INDEX('Form Calc'!$K:$K,T351),J351&amp;""),J351&amp;""))</f>
        <v/>
      </c>
      <c r="Y351" s="32">
        <f>IF(TRIM(A351&amp;"")="","",IF(TRIM(D351&amp;"")&lt;&gt;"",TRIM(D351&amp;""),IF(T351&lt;&gt;"",INDEX('Form Calc'!$C:$C,T351)&amp;"","")))</f>
        <v/>
      </c>
      <c r="Z351" s="32">
        <f>SUBSTITUTE(SUBSTITUTE(SUBSTITUTE(SUBSTITUTE(SUBSTITUTE(SUBSTITUTE(SUBSTITUTE(SUBSTITUTE(Y351," ",""),"-",""),"(",""),")",""),".",""),"+",""),"/",""),CHAR(160),"")</f>
        <v/>
      </c>
      <c r="AA351" s="32">
        <f>IF(Z351="","",IF(LEN(Z351)=10,"+1"&amp;Z351,IF(AND(LEN(Z351)=11,LEFT(Z351,1)="1"),"+"&amp;Z351,IF(LEFT(Y351,1)="+","+"&amp;Z351,Z351))))</f>
        <v/>
      </c>
      <c r="AB351" s="32">
        <f>IF(TRIM(A351&amp;"")="","",IF(TRIM(M351&amp;"")&lt;&gt;"",TRIM(M351&amp;""),IFERROR(LEFT(TRIM(A351&amp;""),FIND(" ",TRIM(A351&amp;""))-1),TRIM(A351&amp;""))))</f>
        <v/>
      </c>
      <c r="AC351" s="32">
        <f>SUBSTITUTE(SUBSTITUTE(SUBSTITUTE(SUBSTITUTE(SUBSTITUTE(SUBSTITUTE(SUBSTITUTE(SUBSTITUTE(SUBSTITUTE(SUBSTITUTE(AB351,"%","%25"),"&amp;","%26"),"#","%23"),"+","%2B"),"=","%3D"),"?","%3F"),CHAR(34),"%22"),CHAR(10),"%0A"),CHAR(13),"")," ","+")</f>
        <v/>
      </c>
      <c r="AD351" s="32">
        <f>IF(OR(AA351="",AB351=""),"",'Start Here'!$B$20&amp;"#p="&amp;SUBSTITUTE(AA351,"+","%2B")&amp;"&amp;n="&amp;AC351&amp;"&amp;m="&amp;SUBSTITUTE('Start Here'!$B$24,"{name}",AC351))</f>
        <v/>
      </c>
      <c r="AE351" s="32">
        <f>LEN(AD351)</f>
        <v/>
      </c>
      <c r="AF351" s="32">
        <f>IF(AND(TRIM(A351&amp;"")&lt;&gt;"",OR(B351="Awaiting",B351="Not sure yet")),1,0)</f>
        <v/>
      </c>
      <c r="AG351" s="32">
        <f>N(AG350)+AF351</f>
        <v/>
      </c>
      <c r="AH351" s="32">
        <f>IF(AF351=1,AG351,"")</f>
        <v/>
      </c>
      <c r="AI351" s="32">
        <f>IF(AND(TRIM(A351&amp;"")&lt;&gt;"",L351&amp;""&lt;&gt;"",L351&amp;""=Seating!$I$3&amp;"",B351&lt;&gt;"Declined"),1,0)</f>
        <v/>
      </c>
      <c r="AJ351" s="32">
        <f>N(AJ350)+AI351</f>
        <v/>
      </c>
      <c r="AK351" s="32">
        <f>IF(AI351=1,AJ351,"")</f>
        <v/>
      </c>
    </row>
    <row r="352">
      <c r="A352" s="10" t="n"/>
      <c r="B352" s="47">
        <f>IF(TRIM(A352&amp;"")="","",IF(W352&lt;&gt;"",W352,IF(I352="","Awaiting",I352)))</f>
        <v/>
      </c>
      <c r="C352" s="60">
        <f>IF(OR(B352="Awaiting",B352="Not sure yet"),IF(AD352&lt;&gt;"",HYPERLINK(AD352,"💬 Remind"),"add mobile"),"")</f>
        <v/>
      </c>
      <c r="D352" s="58" t="n"/>
      <c r="E352" s="10" t="n"/>
      <c r="F352" s="10" t="n"/>
      <c r="G352" s="10" t="n"/>
      <c r="H352" s="10" t="n"/>
      <c r="I352" s="10" t="n"/>
      <c r="J352" s="10" t="n"/>
      <c r="K352" s="10" t="n"/>
      <c r="L352" s="56" t="n"/>
      <c r="M352" s="10" t="n"/>
      <c r="N352" s="12" t="n"/>
      <c r="O352" s="10" t="n"/>
      <c r="P352" s="10" t="n"/>
      <c r="Q352" s="61">
        <f>IF(V352="","",IF(T352="","Covered by "&amp;INDEX('Form Calc'!$B:$B,V352)&amp;"'s reply (same party)","Replied "&amp;TEXT(INDEX('Form Calc'!$A:$A,T352),"mm/dd")&amp;" · "&amp;INDEX('Form Calc'!$H:$H,T352)&amp;" adult(s), "&amp;INDEX('Form Calc'!$I:$I,T352)&amp;" child(ren)"&amp;IF(INDEX('Form Calc'!$K:$K,T352)&lt;&gt;""," · "&amp;INDEX('Form Calc'!$K:$K,T352),"")&amp;IF(INDEX('Form Calc'!$M:$M,T352)&lt;&gt;""," · “"&amp;INDEX('Form Calc'!$M:$M,T352)&amp;"”","")))</f>
        <v/>
      </c>
      <c r="R352" s="32">
        <f>SUBSTITUTE(SUBSTITUTE(SUBSTITUTE(SUBSTITUTE(SUBSTITUTE(SUBSTITUTE(SUBSTITUTE(SUBSTITUTE(D352&amp;""," ",""),"-",""),"(",""),")",""),".",""),"+",""),"/",""),CHAR(160),"")</f>
        <v/>
      </c>
      <c r="S352" s="32">
        <f>IF(LEN(R352)&gt;=10,RIGHT(R352,10),R352)</f>
        <v/>
      </c>
      <c r="T352" s="32">
        <f>IF(TRIM(A352&amp;"")="","",IF(S352&lt;&gt;"",IFERROR(MATCH(S352,'Form Calc'!$P:$P,0),IFERROR(MATCH(TRIM(A352&amp;""),'Form Calc'!$Q:$Q,0),"")),IFERROR(MATCH(TRIM(A352&amp;""),'Form Calc'!$Q:$Q,0),"")))</f>
        <v/>
      </c>
      <c r="U352" s="32">
        <f>IF(AND(T352&lt;&gt;"",TRIM(E352&amp;"")&lt;&gt;""),TRIM(E352&amp;""),"")</f>
        <v/>
      </c>
      <c r="V352" s="32">
        <f>IF(TRIM(A352&amp;"")="","",IF(T352&lt;&gt;"",T352,IF(TRIM(E352&amp;"")="","",IFERROR(INDEX($T$6:$T$505,MATCH(TRIM(E352&amp;""),$U$6:$U$505,0)),""))))</f>
        <v/>
      </c>
      <c r="W352" s="32">
        <f>IF(V352="","",INDEX('Form Calc'!$G:$G,V352))</f>
        <v/>
      </c>
      <c r="X352" s="32">
        <f>IF(TRIM(A352&amp;"")="","",IF(T352&lt;&gt;"",IF(INDEX('Form Calc'!$K:$K,T352)&lt;&gt;"",INDEX('Form Calc'!$K:$K,T352),J352&amp;""),J352&amp;""))</f>
        <v/>
      </c>
      <c r="Y352" s="32">
        <f>IF(TRIM(A352&amp;"")="","",IF(TRIM(D352&amp;"")&lt;&gt;"",TRIM(D352&amp;""),IF(T352&lt;&gt;"",INDEX('Form Calc'!$C:$C,T352)&amp;"","")))</f>
        <v/>
      </c>
      <c r="Z352" s="32">
        <f>SUBSTITUTE(SUBSTITUTE(SUBSTITUTE(SUBSTITUTE(SUBSTITUTE(SUBSTITUTE(SUBSTITUTE(SUBSTITUTE(Y352," ",""),"-",""),"(",""),")",""),".",""),"+",""),"/",""),CHAR(160),"")</f>
        <v/>
      </c>
      <c r="AA352" s="32">
        <f>IF(Z352="","",IF(LEN(Z352)=10,"+1"&amp;Z352,IF(AND(LEN(Z352)=11,LEFT(Z352,1)="1"),"+"&amp;Z352,IF(LEFT(Y352,1)="+","+"&amp;Z352,Z352))))</f>
        <v/>
      </c>
      <c r="AB352" s="32">
        <f>IF(TRIM(A352&amp;"")="","",IF(TRIM(M352&amp;"")&lt;&gt;"",TRIM(M352&amp;""),IFERROR(LEFT(TRIM(A352&amp;""),FIND(" ",TRIM(A352&amp;""))-1),TRIM(A352&amp;""))))</f>
        <v/>
      </c>
      <c r="AC352" s="32">
        <f>SUBSTITUTE(SUBSTITUTE(SUBSTITUTE(SUBSTITUTE(SUBSTITUTE(SUBSTITUTE(SUBSTITUTE(SUBSTITUTE(SUBSTITUTE(SUBSTITUTE(AB352,"%","%25"),"&amp;","%26"),"#","%23"),"+","%2B"),"=","%3D"),"?","%3F"),CHAR(34),"%22"),CHAR(10),"%0A"),CHAR(13),"")," ","+")</f>
        <v/>
      </c>
      <c r="AD352" s="32">
        <f>IF(OR(AA352="",AB352=""),"",'Start Here'!$B$20&amp;"#p="&amp;SUBSTITUTE(AA352,"+","%2B")&amp;"&amp;n="&amp;AC352&amp;"&amp;m="&amp;SUBSTITUTE('Start Here'!$B$24,"{name}",AC352))</f>
        <v/>
      </c>
      <c r="AE352" s="32">
        <f>LEN(AD352)</f>
        <v/>
      </c>
      <c r="AF352" s="32">
        <f>IF(AND(TRIM(A352&amp;"")&lt;&gt;"",OR(B352="Awaiting",B352="Not sure yet")),1,0)</f>
        <v/>
      </c>
      <c r="AG352" s="32">
        <f>N(AG351)+AF352</f>
        <v/>
      </c>
      <c r="AH352" s="32">
        <f>IF(AF352=1,AG352,"")</f>
        <v/>
      </c>
      <c r="AI352" s="32">
        <f>IF(AND(TRIM(A352&amp;"")&lt;&gt;"",L352&amp;""&lt;&gt;"",L352&amp;""=Seating!$I$3&amp;"",B352&lt;&gt;"Declined"),1,0)</f>
        <v/>
      </c>
      <c r="AJ352" s="32">
        <f>N(AJ351)+AI352</f>
        <v/>
      </c>
      <c r="AK352" s="32">
        <f>IF(AI352=1,AJ352,"")</f>
        <v/>
      </c>
    </row>
    <row r="353">
      <c r="A353" s="10" t="n"/>
      <c r="B353" s="47">
        <f>IF(TRIM(A353&amp;"")="","",IF(W353&lt;&gt;"",W353,IF(I353="","Awaiting",I353)))</f>
        <v/>
      </c>
      <c r="C353" s="60">
        <f>IF(OR(B353="Awaiting",B353="Not sure yet"),IF(AD353&lt;&gt;"",HYPERLINK(AD353,"💬 Remind"),"add mobile"),"")</f>
        <v/>
      </c>
      <c r="D353" s="58" t="n"/>
      <c r="E353" s="10" t="n"/>
      <c r="F353" s="10" t="n"/>
      <c r="G353" s="10" t="n"/>
      <c r="H353" s="10" t="n"/>
      <c r="I353" s="10" t="n"/>
      <c r="J353" s="10" t="n"/>
      <c r="K353" s="10" t="n"/>
      <c r="L353" s="56" t="n"/>
      <c r="M353" s="10" t="n"/>
      <c r="N353" s="12" t="n"/>
      <c r="O353" s="10" t="n"/>
      <c r="P353" s="10" t="n"/>
      <c r="Q353" s="61">
        <f>IF(V353="","",IF(T353="","Covered by "&amp;INDEX('Form Calc'!$B:$B,V353)&amp;"'s reply (same party)","Replied "&amp;TEXT(INDEX('Form Calc'!$A:$A,T353),"mm/dd")&amp;" · "&amp;INDEX('Form Calc'!$H:$H,T353)&amp;" adult(s), "&amp;INDEX('Form Calc'!$I:$I,T353)&amp;" child(ren)"&amp;IF(INDEX('Form Calc'!$K:$K,T353)&lt;&gt;""," · "&amp;INDEX('Form Calc'!$K:$K,T353),"")&amp;IF(INDEX('Form Calc'!$M:$M,T353)&lt;&gt;""," · “"&amp;INDEX('Form Calc'!$M:$M,T353)&amp;"”","")))</f>
        <v/>
      </c>
      <c r="R353" s="32">
        <f>SUBSTITUTE(SUBSTITUTE(SUBSTITUTE(SUBSTITUTE(SUBSTITUTE(SUBSTITUTE(SUBSTITUTE(SUBSTITUTE(D353&amp;""," ",""),"-",""),"(",""),")",""),".",""),"+",""),"/",""),CHAR(160),"")</f>
        <v/>
      </c>
      <c r="S353" s="32">
        <f>IF(LEN(R353)&gt;=10,RIGHT(R353,10),R353)</f>
        <v/>
      </c>
      <c r="T353" s="32">
        <f>IF(TRIM(A353&amp;"")="","",IF(S353&lt;&gt;"",IFERROR(MATCH(S353,'Form Calc'!$P:$P,0),IFERROR(MATCH(TRIM(A353&amp;""),'Form Calc'!$Q:$Q,0),"")),IFERROR(MATCH(TRIM(A353&amp;""),'Form Calc'!$Q:$Q,0),"")))</f>
        <v/>
      </c>
      <c r="U353" s="32">
        <f>IF(AND(T353&lt;&gt;"",TRIM(E353&amp;"")&lt;&gt;""),TRIM(E353&amp;""),"")</f>
        <v/>
      </c>
      <c r="V353" s="32">
        <f>IF(TRIM(A353&amp;"")="","",IF(T353&lt;&gt;"",T353,IF(TRIM(E353&amp;"")="","",IFERROR(INDEX($T$6:$T$505,MATCH(TRIM(E353&amp;""),$U$6:$U$505,0)),""))))</f>
        <v/>
      </c>
      <c r="W353" s="32">
        <f>IF(V353="","",INDEX('Form Calc'!$G:$G,V353))</f>
        <v/>
      </c>
      <c r="X353" s="32">
        <f>IF(TRIM(A353&amp;"")="","",IF(T353&lt;&gt;"",IF(INDEX('Form Calc'!$K:$K,T353)&lt;&gt;"",INDEX('Form Calc'!$K:$K,T353),J353&amp;""),J353&amp;""))</f>
        <v/>
      </c>
      <c r="Y353" s="32">
        <f>IF(TRIM(A353&amp;"")="","",IF(TRIM(D353&amp;"")&lt;&gt;"",TRIM(D353&amp;""),IF(T353&lt;&gt;"",INDEX('Form Calc'!$C:$C,T353)&amp;"","")))</f>
        <v/>
      </c>
      <c r="Z353" s="32">
        <f>SUBSTITUTE(SUBSTITUTE(SUBSTITUTE(SUBSTITUTE(SUBSTITUTE(SUBSTITUTE(SUBSTITUTE(SUBSTITUTE(Y353," ",""),"-",""),"(",""),")",""),".",""),"+",""),"/",""),CHAR(160),"")</f>
        <v/>
      </c>
      <c r="AA353" s="32">
        <f>IF(Z353="","",IF(LEN(Z353)=10,"+1"&amp;Z353,IF(AND(LEN(Z353)=11,LEFT(Z353,1)="1"),"+"&amp;Z353,IF(LEFT(Y353,1)="+","+"&amp;Z353,Z353))))</f>
        <v/>
      </c>
      <c r="AB353" s="32">
        <f>IF(TRIM(A353&amp;"")="","",IF(TRIM(M353&amp;"")&lt;&gt;"",TRIM(M353&amp;""),IFERROR(LEFT(TRIM(A353&amp;""),FIND(" ",TRIM(A353&amp;""))-1),TRIM(A353&amp;""))))</f>
        <v/>
      </c>
      <c r="AC353" s="32">
        <f>SUBSTITUTE(SUBSTITUTE(SUBSTITUTE(SUBSTITUTE(SUBSTITUTE(SUBSTITUTE(SUBSTITUTE(SUBSTITUTE(SUBSTITUTE(SUBSTITUTE(AB353,"%","%25"),"&amp;","%26"),"#","%23"),"+","%2B"),"=","%3D"),"?","%3F"),CHAR(34),"%22"),CHAR(10),"%0A"),CHAR(13),"")," ","+")</f>
        <v/>
      </c>
      <c r="AD353" s="32">
        <f>IF(OR(AA353="",AB353=""),"",'Start Here'!$B$20&amp;"#p="&amp;SUBSTITUTE(AA353,"+","%2B")&amp;"&amp;n="&amp;AC353&amp;"&amp;m="&amp;SUBSTITUTE('Start Here'!$B$24,"{name}",AC353))</f>
        <v/>
      </c>
      <c r="AE353" s="32">
        <f>LEN(AD353)</f>
        <v/>
      </c>
      <c r="AF353" s="32">
        <f>IF(AND(TRIM(A353&amp;"")&lt;&gt;"",OR(B353="Awaiting",B353="Not sure yet")),1,0)</f>
        <v/>
      </c>
      <c r="AG353" s="32">
        <f>N(AG352)+AF353</f>
        <v/>
      </c>
      <c r="AH353" s="32">
        <f>IF(AF353=1,AG353,"")</f>
        <v/>
      </c>
      <c r="AI353" s="32">
        <f>IF(AND(TRIM(A353&amp;"")&lt;&gt;"",L353&amp;""&lt;&gt;"",L353&amp;""=Seating!$I$3&amp;"",B353&lt;&gt;"Declined"),1,0)</f>
        <v/>
      </c>
      <c r="AJ353" s="32">
        <f>N(AJ352)+AI353</f>
        <v/>
      </c>
      <c r="AK353" s="32">
        <f>IF(AI353=1,AJ353,"")</f>
        <v/>
      </c>
    </row>
    <row r="354">
      <c r="A354" s="10" t="n"/>
      <c r="B354" s="47">
        <f>IF(TRIM(A354&amp;"")="","",IF(W354&lt;&gt;"",W354,IF(I354="","Awaiting",I354)))</f>
        <v/>
      </c>
      <c r="C354" s="60">
        <f>IF(OR(B354="Awaiting",B354="Not sure yet"),IF(AD354&lt;&gt;"",HYPERLINK(AD354,"💬 Remind"),"add mobile"),"")</f>
        <v/>
      </c>
      <c r="D354" s="58" t="n"/>
      <c r="E354" s="10" t="n"/>
      <c r="F354" s="10" t="n"/>
      <c r="G354" s="10" t="n"/>
      <c r="H354" s="10" t="n"/>
      <c r="I354" s="10" t="n"/>
      <c r="J354" s="10" t="n"/>
      <c r="K354" s="10" t="n"/>
      <c r="L354" s="56" t="n"/>
      <c r="M354" s="10" t="n"/>
      <c r="N354" s="12" t="n"/>
      <c r="O354" s="10" t="n"/>
      <c r="P354" s="10" t="n"/>
      <c r="Q354" s="61">
        <f>IF(V354="","",IF(T354="","Covered by "&amp;INDEX('Form Calc'!$B:$B,V354)&amp;"'s reply (same party)","Replied "&amp;TEXT(INDEX('Form Calc'!$A:$A,T354),"mm/dd")&amp;" · "&amp;INDEX('Form Calc'!$H:$H,T354)&amp;" adult(s), "&amp;INDEX('Form Calc'!$I:$I,T354)&amp;" child(ren)"&amp;IF(INDEX('Form Calc'!$K:$K,T354)&lt;&gt;""," · "&amp;INDEX('Form Calc'!$K:$K,T354),"")&amp;IF(INDEX('Form Calc'!$M:$M,T354)&lt;&gt;""," · “"&amp;INDEX('Form Calc'!$M:$M,T354)&amp;"”","")))</f>
        <v/>
      </c>
      <c r="R354" s="32">
        <f>SUBSTITUTE(SUBSTITUTE(SUBSTITUTE(SUBSTITUTE(SUBSTITUTE(SUBSTITUTE(SUBSTITUTE(SUBSTITUTE(D354&amp;""," ",""),"-",""),"(",""),")",""),".",""),"+",""),"/",""),CHAR(160),"")</f>
        <v/>
      </c>
      <c r="S354" s="32">
        <f>IF(LEN(R354)&gt;=10,RIGHT(R354,10),R354)</f>
        <v/>
      </c>
      <c r="T354" s="32">
        <f>IF(TRIM(A354&amp;"")="","",IF(S354&lt;&gt;"",IFERROR(MATCH(S354,'Form Calc'!$P:$P,0),IFERROR(MATCH(TRIM(A354&amp;""),'Form Calc'!$Q:$Q,0),"")),IFERROR(MATCH(TRIM(A354&amp;""),'Form Calc'!$Q:$Q,0),"")))</f>
        <v/>
      </c>
      <c r="U354" s="32">
        <f>IF(AND(T354&lt;&gt;"",TRIM(E354&amp;"")&lt;&gt;""),TRIM(E354&amp;""),"")</f>
        <v/>
      </c>
      <c r="V354" s="32">
        <f>IF(TRIM(A354&amp;"")="","",IF(T354&lt;&gt;"",T354,IF(TRIM(E354&amp;"")="","",IFERROR(INDEX($T$6:$T$505,MATCH(TRIM(E354&amp;""),$U$6:$U$505,0)),""))))</f>
        <v/>
      </c>
      <c r="W354" s="32">
        <f>IF(V354="","",INDEX('Form Calc'!$G:$G,V354))</f>
        <v/>
      </c>
      <c r="X354" s="32">
        <f>IF(TRIM(A354&amp;"")="","",IF(T354&lt;&gt;"",IF(INDEX('Form Calc'!$K:$K,T354)&lt;&gt;"",INDEX('Form Calc'!$K:$K,T354),J354&amp;""),J354&amp;""))</f>
        <v/>
      </c>
      <c r="Y354" s="32">
        <f>IF(TRIM(A354&amp;"")="","",IF(TRIM(D354&amp;"")&lt;&gt;"",TRIM(D354&amp;""),IF(T354&lt;&gt;"",INDEX('Form Calc'!$C:$C,T354)&amp;"","")))</f>
        <v/>
      </c>
      <c r="Z354" s="32">
        <f>SUBSTITUTE(SUBSTITUTE(SUBSTITUTE(SUBSTITUTE(SUBSTITUTE(SUBSTITUTE(SUBSTITUTE(SUBSTITUTE(Y354," ",""),"-",""),"(",""),")",""),".",""),"+",""),"/",""),CHAR(160),"")</f>
        <v/>
      </c>
      <c r="AA354" s="32">
        <f>IF(Z354="","",IF(LEN(Z354)=10,"+1"&amp;Z354,IF(AND(LEN(Z354)=11,LEFT(Z354,1)="1"),"+"&amp;Z354,IF(LEFT(Y354,1)="+","+"&amp;Z354,Z354))))</f>
        <v/>
      </c>
      <c r="AB354" s="32">
        <f>IF(TRIM(A354&amp;"")="","",IF(TRIM(M354&amp;"")&lt;&gt;"",TRIM(M354&amp;""),IFERROR(LEFT(TRIM(A354&amp;""),FIND(" ",TRIM(A354&amp;""))-1),TRIM(A354&amp;""))))</f>
        <v/>
      </c>
      <c r="AC354" s="32">
        <f>SUBSTITUTE(SUBSTITUTE(SUBSTITUTE(SUBSTITUTE(SUBSTITUTE(SUBSTITUTE(SUBSTITUTE(SUBSTITUTE(SUBSTITUTE(SUBSTITUTE(AB354,"%","%25"),"&amp;","%26"),"#","%23"),"+","%2B"),"=","%3D"),"?","%3F"),CHAR(34),"%22"),CHAR(10),"%0A"),CHAR(13),"")," ","+")</f>
        <v/>
      </c>
      <c r="AD354" s="32">
        <f>IF(OR(AA354="",AB354=""),"",'Start Here'!$B$20&amp;"#p="&amp;SUBSTITUTE(AA354,"+","%2B")&amp;"&amp;n="&amp;AC354&amp;"&amp;m="&amp;SUBSTITUTE('Start Here'!$B$24,"{name}",AC354))</f>
        <v/>
      </c>
      <c r="AE354" s="32">
        <f>LEN(AD354)</f>
        <v/>
      </c>
      <c r="AF354" s="32">
        <f>IF(AND(TRIM(A354&amp;"")&lt;&gt;"",OR(B354="Awaiting",B354="Not sure yet")),1,0)</f>
        <v/>
      </c>
      <c r="AG354" s="32">
        <f>N(AG353)+AF354</f>
        <v/>
      </c>
      <c r="AH354" s="32">
        <f>IF(AF354=1,AG354,"")</f>
        <v/>
      </c>
      <c r="AI354" s="32">
        <f>IF(AND(TRIM(A354&amp;"")&lt;&gt;"",L354&amp;""&lt;&gt;"",L354&amp;""=Seating!$I$3&amp;"",B354&lt;&gt;"Declined"),1,0)</f>
        <v/>
      </c>
      <c r="AJ354" s="32">
        <f>N(AJ353)+AI354</f>
        <v/>
      </c>
      <c r="AK354" s="32">
        <f>IF(AI354=1,AJ354,"")</f>
        <v/>
      </c>
    </row>
    <row r="355">
      <c r="A355" s="10" t="n"/>
      <c r="B355" s="47">
        <f>IF(TRIM(A355&amp;"")="","",IF(W355&lt;&gt;"",W355,IF(I355="","Awaiting",I355)))</f>
        <v/>
      </c>
      <c r="C355" s="60">
        <f>IF(OR(B355="Awaiting",B355="Not sure yet"),IF(AD355&lt;&gt;"",HYPERLINK(AD355,"💬 Remind"),"add mobile"),"")</f>
        <v/>
      </c>
      <c r="D355" s="58" t="n"/>
      <c r="E355" s="10" t="n"/>
      <c r="F355" s="10" t="n"/>
      <c r="G355" s="10" t="n"/>
      <c r="H355" s="10" t="n"/>
      <c r="I355" s="10" t="n"/>
      <c r="J355" s="10" t="n"/>
      <c r="K355" s="10" t="n"/>
      <c r="L355" s="56" t="n"/>
      <c r="M355" s="10" t="n"/>
      <c r="N355" s="12" t="n"/>
      <c r="O355" s="10" t="n"/>
      <c r="P355" s="10" t="n"/>
      <c r="Q355" s="61">
        <f>IF(V355="","",IF(T355="","Covered by "&amp;INDEX('Form Calc'!$B:$B,V355)&amp;"'s reply (same party)","Replied "&amp;TEXT(INDEX('Form Calc'!$A:$A,T355),"mm/dd")&amp;" · "&amp;INDEX('Form Calc'!$H:$H,T355)&amp;" adult(s), "&amp;INDEX('Form Calc'!$I:$I,T355)&amp;" child(ren)"&amp;IF(INDEX('Form Calc'!$K:$K,T355)&lt;&gt;""," · "&amp;INDEX('Form Calc'!$K:$K,T355),"")&amp;IF(INDEX('Form Calc'!$M:$M,T355)&lt;&gt;""," · “"&amp;INDEX('Form Calc'!$M:$M,T355)&amp;"”","")))</f>
        <v/>
      </c>
      <c r="R355" s="32">
        <f>SUBSTITUTE(SUBSTITUTE(SUBSTITUTE(SUBSTITUTE(SUBSTITUTE(SUBSTITUTE(SUBSTITUTE(SUBSTITUTE(D355&amp;""," ",""),"-",""),"(",""),")",""),".",""),"+",""),"/",""),CHAR(160),"")</f>
        <v/>
      </c>
      <c r="S355" s="32">
        <f>IF(LEN(R355)&gt;=10,RIGHT(R355,10),R355)</f>
        <v/>
      </c>
      <c r="T355" s="32">
        <f>IF(TRIM(A355&amp;"")="","",IF(S355&lt;&gt;"",IFERROR(MATCH(S355,'Form Calc'!$P:$P,0),IFERROR(MATCH(TRIM(A355&amp;""),'Form Calc'!$Q:$Q,0),"")),IFERROR(MATCH(TRIM(A355&amp;""),'Form Calc'!$Q:$Q,0),"")))</f>
        <v/>
      </c>
      <c r="U355" s="32">
        <f>IF(AND(T355&lt;&gt;"",TRIM(E355&amp;"")&lt;&gt;""),TRIM(E355&amp;""),"")</f>
        <v/>
      </c>
      <c r="V355" s="32">
        <f>IF(TRIM(A355&amp;"")="","",IF(T355&lt;&gt;"",T355,IF(TRIM(E355&amp;"")="","",IFERROR(INDEX($T$6:$T$505,MATCH(TRIM(E355&amp;""),$U$6:$U$505,0)),""))))</f>
        <v/>
      </c>
      <c r="W355" s="32">
        <f>IF(V355="","",INDEX('Form Calc'!$G:$G,V355))</f>
        <v/>
      </c>
      <c r="X355" s="32">
        <f>IF(TRIM(A355&amp;"")="","",IF(T355&lt;&gt;"",IF(INDEX('Form Calc'!$K:$K,T355)&lt;&gt;"",INDEX('Form Calc'!$K:$K,T355),J355&amp;""),J355&amp;""))</f>
        <v/>
      </c>
      <c r="Y355" s="32">
        <f>IF(TRIM(A355&amp;"")="","",IF(TRIM(D355&amp;"")&lt;&gt;"",TRIM(D355&amp;""),IF(T355&lt;&gt;"",INDEX('Form Calc'!$C:$C,T355)&amp;"","")))</f>
        <v/>
      </c>
      <c r="Z355" s="32">
        <f>SUBSTITUTE(SUBSTITUTE(SUBSTITUTE(SUBSTITUTE(SUBSTITUTE(SUBSTITUTE(SUBSTITUTE(SUBSTITUTE(Y355," ",""),"-",""),"(",""),")",""),".",""),"+",""),"/",""),CHAR(160),"")</f>
        <v/>
      </c>
      <c r="AA355" s="32">
        <f>IF(Z355="","",IF(LEN(Z355)=10,"+1"&amp;Z355,IF(AND(LEN(Z355)=11,LEFT(Z355,1)="1"),"+"&amp;Z355,IF(LEFT(Y355,1)="+","+"&amp;Z355,Z355))))</f>
        <v/>
      </c>
      <c r="AB355" s="32">
        <f>IF(TRIM(A355&amp;"")="","",IF(TRIM(M355&amp;"")&lt;&gt;"",TRIM(M355&amp;""),IFERROR(LEFT(TRIM(A355&amp;""),FIND(" ",TRIM(A355&amp;""))-1),TRIM(A355&amp;""))))</f>
        <v/>
      </c>
      <c r="AC355" s="32">
        <f>SUBSTITUTE(SUBSTITUTE(SUBSTITUTE(SUBSTITUTE(SUBSTITUTE(SUBSTITUTE(SUBSTITUTE(SUBSTITUTE(SUBSTITUTE(SUBSTITUTE(AB355,"%","%25"),"&amp;","%26"),"#","%23"),"+","%2B"),"=","%3D"),"?","%3F"),CHAR(34),"%22"),CHAR(10),"%0A"),CHAR(13),"")," ","+")</f>
        <v/>
      </c>
      <c r="AD355" s="32">
        <f>IF(OR(AA355="",AB355=""),"",'Start Here'!$B$20&amp;"#p="&amp;SUBSTITUTE(AA355,"+","%2B")&amp;"&amp;n="&amp;AC355&amp;"&amp;m="&amp;SUBSTITUTE('Start Here'!$B$24,"{name}",AC355))</f>
        <v/>
      </c>
      <c r="AE355" s="32">
        <f>LEN(AD355)</f>
        <v/>
      </c>
      <c r="AF355" s="32">
        <f>IF(AND(TRIM(A355&amp;"")&lt;&gt;"",OR(B355="Awaiting",B355="Not sure yet")),1,0)</f>
        <v/>
      </c>
      <c r="AG355" s="32">
        <f>N(AG354)+AF355</f>
        <v/>
      </c>
      <c r="AH355" s="32">
        <f>IF(AF355=1,AG355,"")</f>
        <v/>
      </c>
      <c r="AI355" s="32">
        <f>IF(AND(TRIM(A355&amp;"")&lt;&gt;"",L355&amp;""&lt;&gt;"",L355&amp;""=Seating!$I$3&amp;"",B355&lt;&gt;"Declined"),1,0)</f>
        <v/>
      </c>
      <c r="AJ355" s="32">
        <f>N(AJ354)+AI355</f>
        <v/>
      </c>
      <c r="AK355" s="32">
        <f>IF(AI355=1,AJ355,"")</f>
        <v/>
      </c>
    </row>
    <row r="356">
      <c r="A356" s="10" t="n"/>
      <c r="B356" s="47">
        <f>IF(TRIM(A356&amp;"")="","",IF(W356&lt;&gt;"",W356,IF(I356="","Awaiting",I356)))</f>
        <v/>
      </c>
      <c r="C356" s="60">
        <f>IF(OR(B356="Awaiting",B356="Not sure yet"),IF(AD356&lt;&gt;"",HYPERLINK(AD356,"💬 Remind"),"add mobile"),"")</f>
        <v/>
      </c>
      <c r="D356" s="58" t="n"/>
      <c r="E356" s="10" t="n"/>
      <c r="F356" s="10" t="n"/>
      <c r="G356" s="10" t="n"/>
      <c r="H356" s="10" t="n"/>
      <c r="I356" s="10" t="n"/>
      <c r="J356" s="10" t="n"/>
      <c r="K356" s="10" t="n"/>
      <c r="L356" s="56" t="n"/>
      <c r="M356" s="10" t="n"/>
      <c r="N356" s="12" t="n"/>
      <c r="O356" s="10" t="n"/>
      <c r="P356" s="10" t="n"/>
      <c r="Q356" s="61">
        <f>IF(V356="","",IF(T356="","Covered by "&amp;INDEX('Form Calc'!$B:$B,V356)&amp;"'s reply (same party)","Replied "&amp;TEXT(INDEX('Form Calc'!$A:$A,T356),"mm/dd")&amp;" · "&amp;INDEX('Form Calc'!$H:$H,T356)&amp;" adult(s), "&amp;INDEX('Form Calc'!$I:$I,T356)&amp;" child(ren)"&amp;IF(INDEX('Form Calc'!$K:$K,T356)&lt;&gt;""," · "&amp;INDEX('Form Calc'!$K:$K,T356),"")&amp;IF(INDEX('Form Calc'!$M:$M,T356)&lt;&gt;""," · “"&amp;INDEX('Form Calc'!$M:$M,T356)&amp;"”","")))</f>
        <v/>
      </c>
      <c r="R356" s="32">
        <f>SUBSTITUTE(SUBSTITUTE(SUBSTITUTE(SUBSTITUTE(SUBSTITUTE(SUBSTITUTE(SUBSTITUTE(SUBSTITUTE(D356&amp;""," ",""),"-",""),"(",""),")",""),".",""),"+",""),"/",""),CHAR(160),"")</f>
        <v/>
      </c>
      <c r="S356" s="32">
        <f>IF(LEN(R356)&gt;=10,RIGHT(R356,10),R356)</f>
        <v/>
      </c>
      <c r="T356" s="32">
        <f>IF(TRIM(A356&amp;"")="","",IF(S356&lt;&gt;"",IFERROR(MATCH(S356,'Form Calc'!$P:$P,0),IFERROR(MATCH(TRIM(A356&amp;""),'Form Calc'!$Q:$Q,0),"")),IFERROR(MATCH(TRIM(A356&amp;""),'Form Calc'!$Q:$Q,0),"")))</f>
        <v/>
      </c>
      <c r="U356" s="32">
        <f>IF(AND(T356&lt;&gt;"",TRIM(E356&amp;"")&lt;&gt;""),TRIM(E356&amp;""),"")</f>
        <v/>
      </c>
      <c r="V356" s="32">
        <f>IF(TRIM(A356&amp;"")="","",IF(T356&lt;&gt;"",T356,IF(TRIM(E356&amp;"")="","",IFERROR(INDEX($T$6:$T$505,MATCH(TRIM(E356&amp;""),$U$6:$U$505,0)),""))))</f>
        <v/>
      </c>
      <c r="W356" s="32">
        <f>IF(V356="","",INDEX('Form Calc'!$G:$G,V356))</f>
        <v/>
      </c>
      <c r="X356" s="32">
        <f>IF(TRIM(A356&amp;"")="","",IF(T356&lt;&gt;"",IF(INDEX('Form Calc'!$K:$K,T356)&lt;&gt;"",INDEX('Form Calc'!$K:$K,T356),J356&amp;""),J356&amp;""))</f>
        <v/>
      </c>
      <c r="Y356" s="32">
        <f>IF(TRIM(A356&amp;"")="","",IF(TRIM(D356&amp;"")&lt;&gt;"",TRIM(D356&amp;""),IF(T356&lt;&gt;"",INDEX('Form Calc'!$C:$C,T356)&amp;"","")))</f>
        <v/>
      </c>
      <c r="Z356" s="32">
        <f>SUBSTITUTE(SUBSTITUTE(SUBSTITUTE(SUBSTITUTE(SUBSTITUTE(SUBSTITUTE(SUBSTITUTE(SUBSTITUTE(Y356," ",""),"-",""),"(",""),")",""),".",""),"+",""),"/",""),CHAR(160),"")</f>
        <v/>
      </c>
      <c r="AA356" s="32">
        <f>IF(Z356="","",IF(LEN(Z356)=10,"+1"&amp;Z356,IF(AND(LEN(Z356)=11,LEFT(Z356,1)="1"),"+"&amp;Z356,IF(LEFT(Y356,1)="+","+"&amp;Z356,Z356))))</f>
        <v/>
      </c>
      <c r="AB356" s="32">
        <f>IF(TRIM(A356&amp;"")="","",IF(TRIM(M356&amp;"")&lt;&gt;"",TRIM(M356&amp;""),IFERROR(LEFT(TRIM(A356&amp;""),FIND(" ",TRIM(A356&amp;""))-1),TRIM(A356&amp;""))))</f>
        <v/>
      </c>
      <c r="AC356" s="32">
        <f>SUBSTITUTE(SUBSTITUTE(SUBSTITUTE(SUBSTITUTE(SUBSTITUTE(SUBSTITUTE(SUBSTITUTE(SUBSTITUTE(SUBSTITUTE(SUBSTITUTE(AB356,"%","%25"),"&amp;","%26"),"#","%23"),"+","%2B"),"=","%3D"),"?","%3F"),CHAR(34),"%22"),CHAR(10),"%0A"),CHAR(13),"")," ","+")</f>
        <v/>
      </c>
      <c r="AD356" s="32">
        <f>IF(OR(AA356="",AB356=""),"",'Start Here'!$B$20&amp;"#p="&amp;SUBSTITUTE(AA356,"+","%2B")&amp;"&amp;n="&amp;AC356&amp;"&amp;m="&amp;SUBSTITUTE('Start Here'!$B$24,"{name}",AC356))</f>
        <v/>
      </c>
      <c r="AE356" s="32">
        <f>LEN(AD356)</f>
        <v/>
      </c>
      <c r="AF356" s="32">
        <f>IF(AND(TRIM(A356&amp;"")&lt;&gt;"",OR(B356="Awaiting",B356="Not sure yet")),1,0)</f>
        <v/>
      </c>
      <c r="AG356" s="32">
        <f>N(AG355)+AF356</f>
        <v/>
      </c>
      <c r="AH356" s="32">
        <f>IF(AF356=1,AG356,"")</f>
        <v/>
      </c>
      <c r="AI356" s="32">
        <f>IF(AND(TRIM(A356&amp;"")&lt;&gt;"",L356&amp;""&lt;&gt;"",L356&amp;""=Seating!$I$3&amp;"",B356&lt;&gt;"Declined"),1,0)</f>
        <v/>
      </c>
      <c r="AJ356" s="32">
        <f>N(AJ355)+AI356</f>
        <v/>
      </c>
      <c r="AK356" s="32">
        <f>IF(AI356=1,AJ356,"")</f>
        <v/>
      </c>
    </row>
    <row r="357">
      <c r="A357" s="10" t="n"/>
      <c r="B357" s="47">
        <f>IF(TRIM(A357&amp;"")="","",IF(W357&lt;&gt;"",W357,IF(I357="","Awaiting",I357)))</f>
        <v/>
      </c>
      <c r="C357" s="60">
        <f>IF(OR(B357="Awaiting",B357="Not sure yet"),IF(AD357&lt;&gt;"",HYPERLINK(AD357,"💬 Remind"),"add mobile"),"")</f>
        <v/>
      </c>
      <c r="D357" s="58" t="n"/>
      <c r="E357" s="10" t="n"/>
      <c r="F357" s="10" t="n"/>
      <c r="G357" s="10" t="n"/>
      <c r="H357" s="10" t="n"/>
      <c r="I357" s="10" t="n"/>
      <c r="J357" s="10" t="n"/>
      <c r="K357" s="10" t="n"/>
      <c r="L357" s="56" t="n"/>
      <c r="M357" s="10" t="n"/>
      <c r="N357" s="12" t="n"/>
      <c r="O357" s="10" t="n"/>
      <c r="P357" s="10" t="n"/>
      <c r="Q357" s="61">
        <f>IF(V357="","",IF(T357="","Covered by "&amp;INDEX('Form Calc'!$B:$B,V357)&amp;"'s reply (same party)","Replied "&amp;TEXT(INDEX('Form Calc'!$A:$A,T357),"mm/dd")&amp;" · "&amp;INDEX('Form Calc'!$H:$H,T357)&amp;" adult(s), "&amp;INDEX('Form Calc'!$I:$I,T357)&amp;" child(ren)"&amp;IF(INDEX('Form Calc'!$K:$K,T357)&lt;&gt;""," · "&amp;INDEX('Form Calc'!$K:$K,T357),"")&amp;IF(INDEX('Form Calc'!$M:$M,T357)&lt;&gt;""," · “"&amp;INDEX('Form Calc'!$M:$M,T357)&amp;"”","")))</f>
        <v/>
      </c>
      <c r="R357" s="32">
        <f>SUBSTITUTE(SUBSTITUTE(SUBSTITUTE(SUBSTITUTE(SUBSTITUTE(SUBSTITUTE(SUBSTITUTE(SUBSTITUTE(D357&amp;""," ",""),"-",""),"(",""),")",""),".",""),"+",""),"/",""),CHAR(160),"")</f>
        <v/>
      </c>
      <c r="S357" s="32">
        <f>IF(LEN(R357)&gt;=10,RIGHT(R357,10),R357)</f>
        <v/>
      </c>
      <c r="T357" s="32">
        <f>IF(TRIM(A357&amp;"")="","",IF(S357&lt;&gt;"",IFERROR(MATCH(S357,'Form Calc'!$P:$P,0),IFERROR(MATCH(TRIM(A357&amp;""),'Form Calc'!$Q:$Q,0),"")),IFERROR(MATCH(TRIM(A357&amp;""),'Form Calc'!$Q:$Q,0),"")))</f>
        <v/>
      </c>
      <c r="U357" s="32">
        <f>IF(AND(T357&lt;&gt;"",TRIM(E357&amp;"")&lt;&gt;""),TRIM(E357&amp;""),"")</f>
        <v/>
      </c>
      <c r="V357" s="32">
        <f>IF(TRIM(A357&amp;"")="","",IF(T357&lt;&gt;"",T357,IF(TRIM(E357&amp;"")="","",IFERROR(INDEX($T$6:$T$505,MATCH(TRIM(E357&amp;""),$U$6:$U$505,0)),""))))</f>
        <v/>
      </c>
      <c r="W357" s="32">
        <f>IF(V357="","",INDEX('Form Calc'!$G:$G,V357))</f>
        <v/>
      </c>
      <c r="X357" s="32">
        <f>IF(TRIM(A357&amp;"")="","",IF(T357&lt;&gt;"",IF(INDEX('Form Calc'!$K:$K,T357)&lt;&gt;"",INDEX('Form Calc'!$K:$K,T357),J357&amp;""),J357&amp;""))</f>
        <v/>
      </c>
      <c r="Y357" s="32">
        <f>IF(TRIM(A357&amp;"")="","",IF(TRIM(D357&amp;"")&lt;&gt;"",TRIM(D357&amp;""),IF(T357&lt;&gt;"",INDEX('Form Calc'!$C:$C,T357)&amp;"","")))</f>
        <v/>
      </c>
      <c r="Z357" s="32">
        <f>SUBSTITUTE(SUBSTITUTE(SUBSTITUTE(SUBSTITUTE(SUBSTITUTE(SUBSTITUTE(SUBSTITUTE(SUBSTITUTE(Y357," ",""),"-",""),"(",""),")",""),".",""),"+",""),"/",""),CHAR(160),"")</f>
        <v/>
      </c>
      <c r="AA357" s="32">
        <f>IF(Z357="","",IF(LEN(Z357)=10,"+1"&amp;Z357,IF(AND(LEN(Z357)=11,LEFT(Z357,1)="1"),"+"&amp;Z357,IF(LEFT(Y357,1)="+","+"&amp;Z357,Z357))))</f>
        <v/>
      </c>
      <c r="AB357" s="32">
        <f>IF(TRIM(A357&amp;"")="","",IF(TRIM(M357&amp;"")&lt;&gt;"",TRIM(M357&amp;""),IFERROR(LEFT(TRIM(A357&amp;""),FIND(" ",TRIM(A357&amp;""))-1),TRIM(A357&amp;""))))</f>
        <v/>
      </c>
      <c r="AC357" s="32">
        <f>SUBSTITUTE(SUBSTITUTE(SUBSTITUTE(SUBSTITUTE(SUBSTITUTE(SUBSTITUTE(SUBSTITUTE(SUBSTITUTE(SUBSTITUTE(SUBSTITUTE(AB357,"%","%25"),"&amp;","%26"),"#","%23"),"+","%2B"),"=","%3D"),"?","%3F"),CHAR(34),"%22"),CHAR(10),"%0A"),CHAR(13),"")," ","+")</f>
        <v/>
      </c>
      <c r="AD357" s="32">
        <f>IF(OR(AA357="",AB357=""),"",'Start Here'!$B$20&amp;"#p="&amp;SUBSTITUTE(AA357,"+","%2B")&amp;"&amp;n="&amp;AC357&amp;"&amp;m="&amp;SUBSTITUTE('Start Here'!$B$24,"{name}",AC357))</f>
        <v/>
      </c>
      <c r="AE357" s="32">
        <f>LEN(AD357)</f>
        <v/>
      </c>
      <c r="AF357" s="32">
        <f>IF(AND(TRIM(A357&amp;"")&lt;&gt;"",OR(B357="Awaiting",B357="Not sure yet")),1,0)</f>
        <v/>
      </c>
      <c r="AG357" s="32">
        <f>N(AG356)+AF357</f>
        <v/>
      </c>
      <c r="AH357" s="32">
        <f>IF(AF357=1,AG357,"")</f>
        <v/>
      </c>
      <c r="AI357" s="32">
        <f>IF(AND(TRIM(A357&amp;"")&lt;&gt;"",L357&amp;""&lt;&gt;"",L357&amp;""=Seating!$I$3&amp;"",B357&lt;&gt;"Declined"),1,0)</f>
        <v/>
      </c>
      <c r="AJ357" s="32">
        <f>N(AJ356)+AI357</f>
        <v/>
      </c>
      <c r="AK357" s="32">
        <f>IF(AI357=1,AJ357,"")</f>
        <v/>
      </c>
    </row>
    <row r="358">
      <c r="A358" s="10" t="n"/>
      <c r="B358" s="47">
        <f>IF(TRIM(A358&amp;"")="","",IF(W358&lt;&gt;"",W358,IF(I358="","Awaiting",I358)))</f>
        <v/>
      </c>
      <c r="C358" s="60">
        <f>IF(OR(B358="Awaiting",B358="Not sure yet"),IF(AD358&lt;&gt;"",HYPERLINK(AD358,"💬 Remind"),"add mobile"),"")</f>
        <v/>
      </c>
      <c r="D358" s="58" t="n"/>
      <c r="E358" s="10" t="n"/>
      <c r="F358" s="10" t="n"/>
      <c r="G358" s="10" t="n"/>
      <c r="H358" s="10" t="n"/>
      <c r="I358" s="10" t="n"/>
      <c r="J358" s="10" t="n"/>
      <c r="K358" s="10" t="n"/>
      <c r="L358" s="56" t="n"/>
      <c r="M358" s="10" t="n"/>
      <c r="N358" s="12" t="n"/>
      <c r="O358" s="10" t="n"/>
      <c r="P358" s="10" t="n"/>
      <c r="Q358" s="61">
        <f>IF(V358="","",IF(T358="","Covered by "&amp;INDEX('Form Calc'!$B:$B,V358)&amp;"'s reply (same party)","Replied "&amp;TEXT(INDEX('Form Calc'!$A:$A,T358),"mm/dd")&amp;" · "&amp;INDEX('Form Calc'!$H:$H,T358)&amp;" adult(s), "&amp;INDEX('Form Calc'!$I:$I,T358)&amp;" child(ren)"&amp;IF(INDEX('Form Calc'!$K:$K,T358)&lt;&gt;""," · "&amp;INDEX('Form Calc'!$K:$K,T358),"")&amp;IF(INDEX('Form Calc'!$M:$M,T358)&lt;&gt;""," · “"&amp;INDEX('Form Calc'!$M:$M,T358)&amp;"”","")))</f>
        <v/>
      </c>
      <c r="R358" s="32">
        <f>SUBSTITUTE(SUBSTITUTE(SUBSTITUTE(SUBSTITUTE(SUBSTITUTE(SUBSTITUTE(SUBSTITUTE(SUBSTITUTE(D358&amp;""," ",""),"-",""),"(",""),")",""),".",""),"+",""),"/",""),CHAR(160),"")</f>
        <v/>
      </c>
      <c r="S358" s="32">
        <f>IF(LEN(R358)&gt;=10,RIGHT(R358,10),R358)</f>
        <v/>
      </c>
      <c r="T358" s="32">
        <f>IF(TRIM(A358&amp;"")="","",IF(S358&lt;&gt;"",IFERROR(MATCH(S358,'Form Calc'!$P:$P,0),IFERROR(MATCH(TRIM(A358&amp;""),'Form Calc'!$Q:$Q,0),"")),IFERROR(MATCH(TRIM(A358&amp;""),'Form Calc'!$Q:$Q,0),"")))</f>
        <v/>
      </c>
      <c r="U358" s="32">
        <f>IF(AND(T358&lt;&gt;"",TRIM(E358&amp;"")&lt;&gt;""),TRIM(E358&amp;""),"")</f>
        <v/>
      </c>
      <c r="V358" s="32">
        <f>IF(TRIM(A358&amp;"")="","",IF(T358&lt;&gt;"",T358,IF(TRIM(E358&amp;"")="","",IFERROR(INDEX($T$6:$T$505,MATCH(TRIM(E358&amp;""),$U$6:$U$505,0)),""))))</f>
        <v/>
      </c>
      <c r="W358" s="32">
        <f>IF(V358="","",INDEX('Form Calc'!$G:$G,V358))</f>
        <v/>
      </c>
      <c r="X358" s="32">
        <f>IF(TRIM(A358&amp;"")="","",IF(T358&lt;&gt;"",IF(INDEX('Form Calc'!$K:$K,T358)&lt;&gt;"",INDEX('Form Calc'!$K:$K,T358),J358&amp;""),J358&amp;""))</f>
        <v/>
      </c>
      <c r="Y358" s="32">
        <f>IF(TRIM(A358&amp;"")="","",IF(TRIM(D358&amp;"")&lt;&gt;"",TRIM(D358&amp;""),IF(T358&lt;&gt;"",INDEX('Form Calc'!$C:$C,T358)&amp;"","")))</f>
        <v/>
      </c>
      <c r="Z358" s="32">
        <f>SUBSTITUTE(SUBSTITUTE(SUBSTITUTE(SUBSTITUTE(SUBSTITUTE(SUBSTITUTE(SUBSTITUTE(SUBSTITUTE(Y358," ",""),"-",""),"(",""),")",""),".",""),"+",""),"/",""),CHAR(160),"")</f>
        <v/>
      </c>
      <c r="AA358" s="32">
        <f>IF(Z358="","",IF(LEN(Z358)=10,"+1"&amp;Z358,IF(AND(LEN(Z358)=11,LEFT(Z358,1)="1"),"+"&amp;Z358,IF(LEFT(Y358,1)="+","+"&amp;Z358,Z358))))</f>
        <v/>
      </c>
      <c r="AB358" s="32">
        <f>IF(TRIM(A358&amp;"")="","",IF(TRIM(M358&amp;"")&lt;&gt;"",TRIM(M358&amp;""),IFERROR(LEFT(TRIM(A358&amp;""),FIND(" ",TRIM(A358&amp;""))-1),TRIM(A358&amp;""))))</f>
        <v/>
      </c>
      <c r="AC358" s="32">
        <f>SUBSTITUTE(SUBSTITUTE(SUBSTITUTE(SUBSTITUTE(SUBSTITUTE(SUBSTITUTE(SUBSTITUTE(SUBSTITUTE(SUBSTITUTE(SUBSTITUTE(AB358,"%","%25"),"&amp;","%26"),"#","%23"),"+","%2B"),"=","%3D"),"?","%3F"),CHAR(34),"%22"),CHAR(10),"%0A"),CHAR(13),"")," ","+")</f>
        <v/>
      </c>
      <c r="AD358" s="32">
        <f>IF(OR(AA358="",AB358=""),"",'Start Here'!$B$20&amp;"#p="&amp;SUBSTITUTE(AA358,"+","%2B")&amp;"&amp;n="&amp;AC358&amp;"&amp;m="&amp;SUBSTITUTE('Start Here'!$B$24,"{name}",AC358))</f>
        <v/>
      </c>
      <c r="AE358" s="32">
        <f>LEN(AD358)</f>
        <v/>
      </c>
      <c r="AF358" s="32">
        <f>IF(AND(TRIM(A358&amp;"")&lt;&gt;"",OR(B358="Awaiting",B358="Not sure yet")),1,0)</f>
        <v/>
      </c>
      <c r="AG358" s="32">
        <f>N(AG357)+AF358</f>
        <v/>
      </c>
      <c r="AH358" s="32">
        <f>IF(AF358=1,AG358,"")</f>
        <v/>
      </c>
      <c r="AI358" s="32">
        <f>IF(AND(TRIM(A358&amp;"")&lt;&gt;"",L358&amp;""&lt;&gt;"",L358&amp;""=Seating!$I$3&amp;"",B358&lt;&gt;"Declined"),1,0)</f>
        <v/>
      </c>
      <c r="AJ358" s="32">
        <f>N(AJ357)+AI358</f>
        <v/>
      </c>
      <c r="AK358" s="32">
        <f>IF(AI358=1,AJ358,"")</f>
        <v/>
      </c>
    </row>
    <row r="359">
      <c r="A359" s="10" t="n"/>
      <c r="B359" s="47">
        <f>IF(TRIM(A359&amp;"")="","",IF(W359&lt;&gt;"",W359,IF(I359="","Awaiting",I359)))</f>
        <v/>
      </c>
      <c r="C359" s="60">
        <f>IF(OR(B359="Awaiting",B359="Not sure yet"),IF(AD359&lt;&gt;"",HYPERLINK(AD359,"💬 Remind"),"add mobile"),"")</f>
        <v/>
      </c>
      <c r="D359" s="58" t="n"/>
      <c r="E359" s="10" t="n"/>
      <c r="F359" s="10" t="n"/>
      <c r="G359" s="10" t="n"/>
      <c r="H359" s="10" t="n"/>
      <c r="I359" s="10" t="n"/>
      <c r="J359" s="10" t="n"/>
      <c r="K359" s="10" t="n"/>
      <c r="L359" s="56" t="n"/>
      <c r="M359" s="10" t="n"/>
      <c r="N359" s="12" t="n"/>
      <c r="O359" s="10" t="n"/>
      <c r="P359" s="10" t="n"/>
      <c r="Q359" s="61">
        <f>IF(V359="","",IF(T359="","Covered by "&amp;INDEX('Form Calc'!$B:$B,V359)&amp;"'s reply (same party)","Replied "&amp;TEXT(INDEX('Form Calc'!$A:$A,T359),"mm/dd")&amp;" · "&amp;INDEX('Form Calc'!$H:$H,T359)&amp;" adult(s), "&amp;INDEX('Form Calc'!$I:$I,T359)&amp;" child(ren)"&amp;IF(INDEX('Form Calc'!$K:$K,T359)&lt;&gt;""," · "&amp;INDEX('Form Calc'!$K:$K,T359),"")&amp;IF(INDEX('Form Calc'!$M:$M,T359)&lt;&gt;""," · “"&amp;INDEX('Form Calc'!$M:$M,T359)&amp;"”","")))</f>
        <v/>
      </c>
      <c r="R359" s="32">
        <f>SUBSTITUTE(SUBSTITUTE(SUBSTITUTE(SUBSTITUTE(SUBSTITUTE(SUBSTITUTE(SUBSTITUTE(SUBSTITUTE(D359&amp;""," ",""),"-",""),"(",""),")",""),".",""),"+",""),"/",""),CHAR(160),"")</f>
        <v/>
      </c>
      <c r="S359" s="32">
        <f>IF(LEN(R359)&gt;=10,RIGHT(R359,10),R359)</f>
        <v/>
      </c>
      <c r="T359" s="32">
        <f>IF(TRIM(A359&amp;"")="","",IF(S359&lt;&gt;"",IFERROR(MATCH(S359,'Form Calc'!$P:$P,0),IFERROR(MATCH(TRIM(A359&amp;""),'Form Calc'!$Q:$Q,0),"")),IFERROR(MATCH(TRIM(A359&amp;""),'Form Calc'!$Q:$Q,0),"")))</f>
        <v/>
      </c>
      <c r="U359" s="32">
        <f>IF(AND(T359&lt;&gt;"",TRIM(E359&amp;"")&lt;&gt;""),TRIM(E359&amp;""),"")</f>
        <v/>
      </c>
      <c r="V359" s="32">
        <f>IF(TRIM(A359&amp;"")="","",IF(T359&lt;&gt;"",T359,IF(TRIM(E359&amp;"")="","",IFERROR(INDEX($T$6:$T$505,MATCH(TRIM(E359&amp;""),$U$6:$U$505,0)),""))))</f>
        <v/>
      </c>
      <c r="W359" s="32">
        <f>IF(V359="","",INDEX('Form Calc'!$G:$G,V359))</f>
        <v/>
      </c>
      <c r="X359" s="32">
        <f>IF(TRIM(A359&amp;"")="","",IF(T359&lt;&gt;"",IF(INDEX('Form Calc'!$K:$K,T359)&lt;&gt;"",INDEX('Form Calc'!$K:$K,T359),J359&amp;""),J359&amp;""))</f>
        <v/>
      </c>
      <c r="Y359" s="32">
        <f>IF(TRIM(A359&amp;"")="","",IF(TRIM(D359&amp;"")&lt;&gt;"",TRIM(D359&amp;""),IF(T359&lt;&gt;"",INDEX('Form Calc'!$C:$C,T359)&amp;"","")))</f>
        <v/>
      </c>
      <c r="Z359" s="32">
        <f>SUBSTITUTE(SUBSTITUTE(SUBSTITUTE(SUBSTITUTE(SUBSTITUTE(SUBSTITUTE(SUBSTITUTE(SUBSTITUTE(Y359," ",""),"-",""),"(",""),")",""),".",""),"+",""),"/",""),CHAR(160),"")</f>
        <v/>
      </c>
      <c r="AA359" s="32">
        <f>IF(Z359="","",IF(LEN(Z359)=10,"+1"&amp;Z359,IF(AND(LEN(Z359)=11,LEFT(Z359,1)="1"),"+"&amp;Z359,IF(LEFT(Y359,1)="+","+"&amp;Z359,Z359))))</f>
        <v/>
      </c>
      <c r="AB359" s="32">
        <f>IF(TRIM(A359&amp;"")="","",IF(TRIM(M359&amp;"")&lt;&gt;"",TRIM(M359&amp;""),IFERROR(LEFT(TRIM(A359&amp;""),FIND(" ",TRIM(A359&amp;""))-1),TRIM(A359&amp;""))))</f>
        <v/>
      </c>
      <c r="AC359" s="32">
        <f>SUBSTITUTE(SUBSTITUTE(SUBSTITUTE(SUBSTITUTE(SUBSTITUTE(SUBSTITUTE(SUBSTITUTE(SUBSTITUTE(SUBSTITUTE(SUBSTITUTE(AB359,"%","%25"),"&amp;","%26"),"#","%23"),"+","%2B"),"=","%3D"),"?","%3F"),CHAR(34),"%22"),CHAR(10),"%0A"),CHAR(13),"")," ","+")</f>
        <v/>
      </c>
      <c r="AD359" s="32">
        <f>IF(OR(AA359="",AB359=""),"",'Start Here'!$B$20&amp;"#p="&amp;SUBSTITUTE(AA359,"+","%2B")&amp;"&amp;n="&amp;AC359&amp;"&amp;m="&amp;SUBSTITUTE('Start Here'!$B$24,"{name}",AC359))</f>
        <v/>
      </c>
      <c r="AE359" s="32">
        <f>LEN(AD359)</f>
        <v/>
      </c>
      <c r="AF359" s="32">
        <f>IF(AND(TRIM(A359&amp;"")&lt;&gt;"",OR(B359="Awaiting",B359="Not sure yet")),1,0)</f>
        <v/>
      </c>
      <c r="AG359" s="32">
        <f>N(AG358)+AF359</f>
        <v/>
      </c>
      <c r="AH359" s="32">
        <f>IF(AF359=1,AG359,"")</f>
        <v/>
      </c>
      <c r="AI359" s="32">
        <f>IF(AND(TRIM(A359&amp;"")&lt;&gt;"",L359&amp;""&lt;&gt;"",L359&amp;""=Seating!$I$3&amp;"",B359&lt;&gt;"Declined"),1,0)</f>
        <v/>
      </c>
      <c r="AJ359" s="32">
        <f>N(AJ358)+AI359</f>
        <v/>
      </c>
      <c r="AK359" s="32">
        <f>IF(AI359=1,AJ359,"")</f>
        <v/>
      </c>
    </row>
    <row r="360">
      <c r="A360" s="10" t="n"/>
      <c r="B360" s="47">
        <f>IF(TRIM(A360&amp;"")="","",IF(W360&lt;&gt;"",W360,IF(I360="","Awaiting",I360)))</f>
        <v/>
      </c>
      <c r="C360" s="60">
        <f>IF(OR(B360="Awaiting",B360="Not sure yet"),IF(AD360&lt;&gt;"",HYPERLINK(AD360,"💬 Remind"),"add mobile"),"")</f>
        <v/>
      </c>
      <c r="D360" s="58" t="n"/>
      <c r="E360" s="10" t="n"/>
      <c r="F360" s="10" t="n"/>
      <c r="G360" s="10" t="n"/>
      <c r="H360" s="10" t="n"/>
      <c r="I360" s="10" t="n"/>
      <c r="J360" s="10" t="n"/>
      <c r="K360" s="10" t="n"/>
      <c r="L360" s="56" t="n"/>
      <c r="M360" s="10" t="n"/>
      <c r="N360" s="12" t="n"/>
      <c r="O360" s="10" t="n"/>
      <c r="P360" s="10" t="n"/>
      <c r="Q360" s="61">
        <f>IF(V360="","",IF(T360="","Covered by "&amp;INDEX('Form Calc'!$B:$B,V360)&amp;"'s reply (same party)","Replied "&amp;TEXT(INDEX('Form Calc'!$A:$A,T360),"mm/dd")&amp;" · "&amp;INDEX('Form Calc'!$H:$H,T360)&amp;" adult(s), "&amp;INDEX('Form Calc'!$I:$I,T360)&amp;" child(ren)"&amp;IF(INDEX('Form Calc'!$K:$K,T360)&lt;&gt;""," · "&amp;INDEX('Form Calc'!$K:$K,T360),"")&amp;IF(INDEX('Form Calc'!$M:$M,T360)&lt;&gt;""," · “"&amp;INDEX('Form Calc'!$M:$M,T360)&amp;"”","")))</f>
        <v/>
      </c>
      <c r="R360" s="32">
        <f>SUBSTITUTE(SUBSTITUTE(SUBSTITUTE(SUBSTITUTE(SUBSTITUTE(SUBSTITUTE(SUBSTITUTE(SUBSTITUTE(D360&amp;""," ",""),"-",""),"(",""),")",""),".",""),"+",""),"/",""),CHAR(160),"")</f>
        <v/>
      </c>
      <c r="S360" s="32">
        <f>IF(LEN(R360)&gt;=10,RIGHT(R360,10),R360)</f>
        <v/>
      </c>
      <c r="T360" s="32">
        <f>IF(TRIM(A360&amp;"")="","",IF(S360&lt;&gt;"",IFERROR(MATCH(S360,'Form Calc'!$P:$P,0),IFERROR(MATCH(TRIM(A360&amp;""),'Form Calc'!$Q:$Q,0),"")),IFERROR(MATCH(TRIM(A360&amp;""),'Form Calc'!$Q:$Q,0),"")))</f>
        <v/>
      </c>
      <c r="U360" s="32">
        <f>IF(AND(T360&lt;&gt;"",TRIM(E360&amp;"")&lt;&gt;""),TRIM(E360&amp;""),"")</f>
        <v/>
      </c>
      <c r="V360" s="32">
        <f>IF(TRIM(A360&amp;"")="","",IF(T360&lt;&gt;"",T360,IF(TRIM(E360&amp;"")="","",IFERROR(INDEX($T$6:$T$505,MATCH(TRIM(E360&amp;""),$U$6:$U$505,0)),""))))</f>
        <v/>
      </c>
      <c r="W360" s="32">
        <f>IF(V360="","",INDEX('Form Calc'!$G:$G,V360))</f>
        <v/>
      </c>
      <c r="X360" s="32">
        <f>IF(TRIM(A360&amp;"")="","",IF(T360&lt;&gt;"",IF(INDEX('Form Calc'!$K:$K,T360)&lt;&gt;"",INDEX('Form Calc'!$K:$K,T360),J360&amp;""),J360&amp;""))</f>
        <v/>
      </c>
      <c r="Y360" s="32">
        <f>IF(TRIM(A360&amp;"")="","",IF(TRIM(D360&amp;"")&lt;&gt;"",TRIM(D360&amp;""),IF(T360&lt;&gt;"",INDEX('Form Calc'!$C:$C,T360)&amp;"","")))</f>
        <v/>
      </c>
      <c r="Z360" s="32">
        <f>SUBSTITUTE(SUBSTITUTE(SUBSTITUTE(SUBSTITUTE(SUBSTITUTE(SUBSTITUTE(SUBSTITUTE(SUBSTITUTE(Y360," ",""),"-",""),"(",""),")",""),".",""),"+",""),"/",""),CHAR(160),"")</f>
        <v/>
      </c>
      <c r="AA360" s="32">
        <f>IF(Z360="","",IF(LEN(Z360)=10,"+1"&amp;Z360,IF(AND(LEN(Z360)=11,LEFT(Z360,1)="1"),"+"&amp;Z360,IF(LEFT(Y360,1)="+","+"&amp;Z360,Z360))))</f>
        <v/>
      </c>
      <c r="AB360" s="32">
        <f>IF(TRIM(A360&amp;"")="","",IF(TRIM(M360&amp;"")&lt;&gt;"",TRIM(M360&amp;""),IFERROR(LEFT(TRIM(A360&amp;""),FIND(" ",TRIM(A360&amp;""))-1),TRIM(A360&amp;""))))</f>
        <v/>
      </c>
      <c r="AC360" s="32">
        <f>SUBSTITUTE(SUBSTITUTE(SUBSTITUTE(SUBSTITUTE(SUBSTITUTE(SUBSTITUTE(SUBSTITUTE(SUBSTITUTE(SUBSTITUTE(SUBSTITUTE(AB360,"%","%25"),"&amp;","%26"),"#","%23"),"+","%2B"),"=","%3D"),"?","%3F"),CHAR(34),"%22"),CHAR(10),"%0A"),CHAR(13),"")," ","+")</f>
        <v/>
      </c>
      <c r="AD360" s="32">
        <f>IF(OR(AA360="",AB360=""),"",'Start Here'!$B$20&amp;"#p="&amp;SUBSTITUTE(AA360,"+","%2B")&amp;"&amp;n="&amp;AC360&amp;"&amp;m="&amp;SUBSTITUTE('Start Here'!$B$24,"{name}",AC360))</f>
        <v/>
      </c>
      <c r="AE360" s="32">
        <f>LEN(AD360)</f>
        <v/>
      </c>
      <c r="AF360" s="32">
        <f>IF(AND(TRIM(A360&amp;"")&lt;&gt;"",OR(B360="Awaiting",B360="Not sure yet")),1,0)</f>
        <v/>
      </c>
      <c r="AG360" s="32">
        <f>N(AG359)+AF360</f>
        <v/>
      </c>
      <c r="AH360" s="32">
        <f>IF(AF360=1,AG360,"")</f>
        <v/>
      </c>
      <c r="AI360" s="32">
        <f>IF(AND(TRIM(A360&amp;"")&lt;&gt;"",L360&amp;""&lt;&gt;"",L360&amp;""=Seating!$I$3&amp;"",B360&lt;&gt;"Declined"),1,0)</f>
        <v/>
      </c>
      <c r="AJ360" s="32">
        <f>N(AJ359)+AI360</f>
        <v/>
      </c>
      <c r="AK360" s="32">
        <f>IF(AI360=1,AJ360,"")</f>
        <v/>
      </c>
    </row>
    <row r="361">
      <c r="A361" s="10" t="n"/>
      <c r="B361" s="47">
        <f>IF(TRIM(A361&amp;"")="","",IF(W361&lt;&gt;"",W361,IF(I361="","Awaiting",I361)))</f>
        <v/>
      </c>
      <c r="C361" s="60">
        <f>IF(OR(B361="Awaiting",B361="Not sure yet"),IF(AD361&lt;&gt;"",HYPERLINK(AD361,"💬 Remind"),"add mobile"),"")</f>
        <v/>
      </c>
      <c r="D361" s="58" t="n"/>
      <c r="E361" s="10" t="n"/>
      <c r="F361" s="10" t="n"/>
      <c r="G361" s="10" t="n"/>
      <c r="H361" s="10" t="n"/>
      <c r="I361" s="10" t="n"/>
      <c r="J361" s="10" t="n"/>
      <c r="K361" s="10" t="n"/>
      <c r="L361" s="56" t="n"/>
      <c r="M361" s="10" t="n"/>
      <c r="N361" s="12" t="n"/>
      <c r="O361" s="10" t="n"/>
      <c r="P361" s="10" t="n"/>
      <c r="Q361" s="61">
        <f>IF(V361="","",IF(T361="","Covered by "&amp;INDEX('Form Calc'!$B:$B,V361)&amp;"'s reply (same party)","Replied "&amp;TEXT(INDEX('Form Calc'!$A:$A,T361),"mm/dd")&amp;" · "&amp;INDEX('Form Calc'!$H:$H,T361)&amp;" adult(s), "&amp;INDEX('Form Calc'!$I:$I,T361)&amp;" child(ren)"&amp;IF(INDEX('Form Calc'!$K:$K,T361)&lt;&gt;""," · "&amp;INDEX('Form Calc'!$K:$K,T361),"")&amp;IF(INDEX('Form Calc'!$M:$M,T361)&lt;&gt;""," · “"&amp;INDEX('Form Calc'!$M:$M,T361)&amp;"”","")))</f>
        <v/>
      </c>
      <c r="R361" s="32">
        <f>SUBSTITUTE(SUBSTITUTE(SUBSTITUTE(SUBSTITUTE(SUBSTITUTE(SUBSTITUTE(SUBSTITUTE(SUBSTITUTE(D361&amp;""," ",""),"-",""),"(",""),")",""),".",""),"+",""),"/",""),CHAR(160),"")</f>
        <v/>
      </c>
      <c r="S361" s="32">
        <f>IF(LEN(R361)&gt;=10,RIGHT(R361,10),R361)</f>
        <v/>
      </c>
      <c r="T361" s="32">
        <f>IF(TRIM(A361&amp;"")="","",IF(S361&lt;&gt;"",IFERROR(MATCH(S361,'Form Calc'!$P:$P,0),IFERROR(MATCH(TRIM(A361&amp;""),'Form Calc'!$Q:$Q,0),"")),IFERROR(MATCH(TRIM(A361&amp;""),'Form Calc'!$Q:$Q,0),"")))</f>
        <v/>
      </c>
      <c r="U361" s="32">
        <f>IF(AND(T361&lt;&gt;"",TRIM(E361&amp;"")&lt;&gt;""),TRIM(E361&amp;""),"")</f>
        <v/>
      </c>
      <c r="V361" s="32">
        <f>IF(TRIM(A361&amp;"")="","",IF(T361&lt;&gt;"",T361,IF(TRIM(E361&amp;"")="","",IFERROR(INDEX($T$6:$T$505,MATCH(TRIM(E361&amp;""),$U$6:$U$505,0)),""))))</f>
        <v/>
      </c>
      <c r="W361" s="32">
        <f>IF(V361="","",INDEX('Form Calc'!$G:$G,V361))</f>
        <v/>
      </c>
      <c r="X361" s="32">
        <f>IF(TRIM(A361&amp;"")="","",IF(T361&lt;&gt;"",IF(INDEX('Form Calc'!$K:$K,T361)&lt;&gt;"",INDEX('Form Calc'!$K:$K,T361),J361&amp;""),J361&amp;""))</f>
        <v/>
      </c>
      <c r="Y361" s="32">
        <f>IF(TRIM(A361&amp;"")="","",IF(TRIM(D361&amp;"")&lt;&gt;"",TRIM(D361&amp;""),IF(T361&lt;&gt;"",INDEX('Form Calc'!$C:$C,T361)&amp;"","")))</f>
        <v/>
      </c>
      <c r="Z361" s="32">
        <f>SUBSTITUTE(SUBSTITUTE(SUBSTITUTE(SUBSTITUTE(SUBSTITUTE(SUBSTITUTE(SUBSTITUTE(SUBSTITUTE(Y361," ",""),"-",""),"(",""),")",""),".",""),"+",""),"/",""),CHAR(160),"")</f>
        <v/>
      </c>
      <c r="AA361" s="32">
        <f>IF(Z361="","",IF(LEN(Z361)=10,"+1"&amp;Z361,IF(AND(LEN(Z361)=11,LEFT(Z361,1)="1"),"+"&amp;Z361,IF(LEFT(Y361,1)="+","+"&amp;Z361,Z361))))</f>
        <v/>
      </c>
      <c r="AB361" s="32">
        <f>IF(TRIM(A361&amp;"")="","",IF(TRIM(M361&amp;"")&lt;&gt;"",TRIM(M361&amp;""),IFERROR(LEFT(TRIM(A361&amp;""),FIND(" ",TRIM(A361&amp;""))-1),TRIM(A361&amp;""))))</f>
        <v/>
      </c>
      <c r="AC361" s="32">
        <f>SUBSTITUTE(SUBSTITUTE(SUBSTITUTE(SUBSTITUTE(SUBSTITUTE(SUBSTITUTE(SUBSTITUTE(SUBSTITUTE(SUBSTITUTE(SUBSTITUTE(AB361,"%","%25"),"&amp;","%26"),"#","%23"),"+","%2B"),"=","%3D"),"?","%3F"),CHAR(34),"%22"),CHAR(10),"%0A"),CHAR(13),"")," ","+")</f>
        <v/>
      </c>
      <c r="AD361" s="32">
        <f>IF(OR(AA361="",AB361=""),"",'Start Here'!$B$20&amp;"#p="&amp;SUBSTITUTE(AA361,"+","%2B")&amp;"&amp;n="&amp;AC361&amp;"&amp;m="&amp;SUBSTITUTE('Start Here'!$B$24,"{name}",AC361))</f>
        <v/>
      </c>
      <c r="AE361" s="32">
        <f>LEN(AD361)</f>
        <v/>
      </c>
      <c r="AF361" s="32">
        <f>IF(AND(TRIM(A361&amp;"")&lt;&gt;"",OR(B361="Awaiting",B361="Not sure yet")),1,0)</f>
        <v/>
      </c>
      <c r="AG361" s="32">
        <f>N(AG360)+AF361</f>
        <v/>
      </c>
      <c r="AH361" s="32">
        <f>IF(AF361=1,AG361,"")</f>
        <v/>
      </c>
      <c r="AI361" s="32">
        <f>IF(AND(TRIM(A361&amp;"")&lt;&gt;"",L361&amp;""&lt;&gt;"",L361&amp;""=Seating!$I$3&amp;"",B361&lt;&gt;"Declined"),1,0)</f>
        <v/>
      </c>
      <c r="AJ361" s="32">
        <f>N(AJ360)+AI361</f>
        <v/>
      </c>
      <c r="AK361" s="32">
        <f>IF(AI361=1,AJ361,"")</f>
        <v/>
      </c>
    </row>
    <row r="362">
      <c r="A362" s="10" t="n"/>
      <c r="B362" s="47">
        <f>IF(TRIM(A362&amp;"")="","",IF(W362&lt;&gt;"",W362,IF(I362="","Awaiting",I362)))</f>
        <v/>
      </c>
      <c r="C362" s="60">
        <f>IF(OR(B362="Awaiting",B362="Not sure yet"),IF(AD362&lt;&gt;"",HYPERLINK(AD362,"💬 Remind"),"add mobile"),"")</f>
        <v/>
      </c>
      <c r="D362" s="58" t="n"/>
      <c r="E362" s="10" t="n"/>
      <c r="F362" s="10" t="n"/>
      <c r="G362" s="10" t="n"/>
      <c r="H362" s="10" t="n"/>
      <c r="I362" s="10" t="n"/>
      <c r="J362" s="10" t="n"/>
      <c r="K362" s="10" t="n"/>
      <c r="L362" s="56" t="n"/>
      <c r="M362" s="10" t="n"/>
      <c r="N362" s="12" t="n"/>
      <c r="O362" s="10" t="n"/>
      <c r="P362" s="10" t="n"/>
      <c r="Q362" s="61">
        <f>IF(V362="","",IF(T362="","Covered by "&amp;INDEX('Form Calc'!$B:$B,V362)&amp;"'s reply (same party)","Replied "&amp;TEXT(INDEX('Form Calc'!$A:$A,T362),"mm/dd")&amp;" · "&amp;INDEX('Form Calc'!$H:$H,T362)&amp;" adult(s), "&amp;INDEX('Form Calc'!$I:$I,T362)&amp;" child(ren)"&amp;IF(INDEX('Form Calc'!$K:$K,T362)&lt;&gt;""," · "&amp;INDEX('Form Calc'!$K:$K,T362),"")&amp;IF(INDEX('Form Calc'!$M:$M,T362)&lt;&gt;""," · “"&amp;INDEX('Form Calc'!$M:$M,T362)&amp;"”","")))</f>
        <v/>
      </c>
      <c r="R362" s="32">
        <f>SUBSTITUTE(SUBSTITUTE(SUBSTITUTE(SUBSTITUTE(SUBSTITUTE(SUBSTITUTE(SUBSTITUTE(SUBSTITUTE(D362&amp;""," ",""),"-",""),"(",""),")",""),".",""),"+",""),"/",""),CHAR(160),"")</f>
        <v/>
      </c>
      <c r="S362" s="32">
        <f>IF(LEN(R362)&gt;=10,RIGHT(R362,10),R362)</f>
        <v/>
      </c>
      <c r="T362" s="32">
        <f>IF(TRIM(A362&amp;"")="","",IF(S362&lt;&gt;"",IFERROR(MATCH(S362,'Form Calc'!$P:$P,0),IFERROR(MATCH(TRIM(A362&amp;""),'Form Calc'!$Q:$Q,0),"")),IFERROR(MATCH(TRIM(A362&amp;""),'Form Calc'!$Q:$Q,0),"")))</f>
        <v/>
      </c>
      <c r="U362" s="32">
        <f>IF(AND(T362&lt;&gt;"",TRIM(E362&amp;"")&lt;&gt;""),TRIM(E362&amp;""),"")</f>
        <v/>
      </c>
      <c r="V362" s="32">
        <f>IF(TRIM(A362&amp;"")="","",IF(T362&lt;&gt;"",T362,IF(TRIM(E362&amp;"")="","",IFERROR(INDEX($T$6:$T$505,MATCH(TRIM(E362&amp;""),$U$6:$U$505,0)),""))))</f>
        <v/>
      </c>
      <c r="W362" s="32">
        <f>IF(V362="","",INDEX('Form Calc'!$G:$G,V362))</f>
        <v/>
      </c>
      <c r="X362" s="32">
        <f>IF(TRIM(A362&amp;"")="","",IF(T362&lt;&gt;"",IF(INDEX('Form Calc'!$K:$K,T362)&lt;&gt;"",INDEX('Form Calc'!$K:$K,T362),J362&amp;""),J362&amp;""))</f>
        <v/>
      </c>
      <c r="Y362" s="32">
        <f>IF(TRIM(A362&amp;"")="","",IF(TRIM(D362&amp;"")&lt;&gt;"",TRIM(D362&amp;""),IF(T362&lt;&gt;"",INDEX('Form Calc'!$C:$C,T362)&amp;"","")))</f>
        <v/>
      </c>
      <c r="Z362" s="32">
        <f>SUBSTITUTE(SUBSTITUTE(SUBSTITUTE(SUBSTITUTE(SUBSTITUTE(SUBSTITUTE(SUBSTITUTE(SUBSTITUTE(Y362," ",""),"-",""),"(",""),")",""),".",""),"+",""),"/",""),CHAR(160),"")</f>
        <v/>
      </c>
      <c r="AA362" s="32">
        <f>IF(Z362="","",IF(LEN(Z362)=10,"+1"&amp;Z362,IF(AND(LEN(Z362)=11,LEFT(Z362,1)="1"),"+"&amp;Z362,IF(LEFT(Y362,1)="+","+"&amp;Z362,Z362))))</f>
        <v/>
      </c>
      <c r="AB362" s="32">
        <f>IF(TRIM(A362&amp;"")="","",IF(TRIM(M362&amp;"")&lt;&gt;"",TRIM(M362&amp;""),IFERROR(LEFT(TRIM(A362&amp;""),FIND(" ",TRIM(A362&amp;""))-1),TRIM(A362&amp;""))))</f>
        <v/>
      </c>
      <c r="AC362" s="32">
        <f>SUBSTITUTE(SUBSTITUTE(SUBSTITUTE(SUBSTITUTE(SUBSTITUTE(SUBSTITUTE(SUBSTITUTE(SUBSTITUTE(SUBSTITUTE(SUBSTITUTE(AB362,"%","%25"),"&amp;","%26"),"#","%23"),"+","%2B"),"=","%3D"),"?","%3F"),CHAR(34),"%22"),CHAR(10),"%0A"),CHAR(13),"")," ","+")</f>
        <v/>
      </c>
      <c r="AD362" s="32">
        <f>IF(OR(AA362="",AB362=""),"",'Start Here'!$B$20&amp;"#p="&amp;SUBSTITUTE(AA362,"+","%2B")&amp;"&amp;n="&amp;AC362&amp;"&amp;m="&amp;SUBSTITUTE('Start Here'!$B$24,"{name}",AC362))</f>
        <v/>
      </c>
      <c r="AE362" s="32">
        <f>LEN(AD362)</f>
        <v/>
      </c>
      <c r="AF362" s="32">
        <f>IF(AND(TRIM(A362&amp;"")&lt;&gt;"",OR(B362="Awaiting",B362="Not sure yet")),1,0)</f>
        <v/>
      </c>
      <c r="AG362" s="32">
        <f>N(AG361)+AF362</f>
        <v/>
      </c>
      <c r="AH362" s="32">
        <f>IF(AF362=1,AG362,"")</f>
        <v/>
      </c>
      <c r="AI362" s="32">
        <f>IF(AND(TRIM(A362&amp;"")&lt;&gt;"",L362&amp;""&lt;&gt;"",L362&amp;""=Seating!$I$3&amp;"",B362&lt;&gt;"Declined"),1,0)</f>
        <v/>
      </c>
      <c r="AJ362" s="32">
        <f>N(AJ361)+AI362</f>
        <v/>
      </c>
      <c r="AK362" s="32">
        <f>IF(AI362=1,AJ362,"")</f>
        <v/>
      </c>
    </row>
    <row r="363">
      <c r="A363" s="10" t="n"/>
      <c r="B363" s="47">
        <f>IF(TRIM(A363&amp;"")="","",IF(W363&lt;&gt;"",W363,IF(I363="","Awaiting",I363)))</f>
        <v/>
      </c>
      <c r="C363" s="60">
        <f>IF(OR(B363="Awaiting",B363="Not sure yet"),IF(AD363&lt;&gt;"",HYPERLINK(AD363,"💬 Remind"),"add mobile"),"")</f>
        <v/>
      </c>
      <c r="D363" s="58" t="n"/>
      <c r="E363" s="10" t="n"/>
      <c r="F363" s="10" t="n"/>
      <c r="G363" s="10" t="n"/>
      <c r="H363" s="10" t="n"/>
      <c r="I363" s="10" t="n"/>
      <c r="J363" s="10" t="n"/>
      <c r="K363" s="10" t="n"/>
      <c r="L363" s="56" t="n"/>
      <c r="M363" s="10" t="n"/>
      <c r="N363" s="12" t="n"/>
      <c r="O363" s="10" t="n"/>
      <c r="P363" s="10" t="n"/>
      <c r="Q363" s="61">
        <f>IF(V363="","",IF(T363="","Covered by "&amp;INDEX('Form Calc'!$B:$B,V363)&amp;"'s reply (same party)","Replied "&amp;TEXT(INDEX('Form Calc'!$A:$A,T363),"mm/dd")&amp;" · "&amp;INDEX('Form Calc'!$H:$H,T363)&amp;" adult(s), "&amp;INDEX('Form Calc'!$I:$I,T363)&amp;" child(ren)"&amp;IF(INDEX('Form Calc'!$K:$K,T363)&lt;&gt;""," · "&amp;INDEX('Form Calc'!$K:$K,T363),"")&amp;IF(INDEX('Form Calc'!$M:$M,T363)&lt;&gt;""," · “"&amp;INDEX('Form Calc'!$M:$M,T363)&amp;"”","")))</f>
        <v/>
      </c>
      <c r="R363" s="32">
        <f>SUBSTITUTE(SUBSTITUTE(SUBSTITUTE(SUBSTITUTE(SUBSTITUTE(SUBSTITUTE(SUBSTITUTE(SUBSTITUTE(D363&amp;""," ",""),"-",""),"(",""),")",""),".",""),"+",""),"/",""),CHAR(160),"")</f>
        <v/>
      </c>
      <c r="S363" s="32">
        <f>IF(LEN(R363)&gt;=10,RIGHT(R363,10),R363)</f>
        <v/>
      </c>
      <c r="T363" s="32">
        <f>IF(TRIM(A363&amp;"")="","",IF(S363&lt;&gt;"",IFERROR(MATCH(S363,'Form Calc'!$P:$P,0),IFERROR(MATCH(TRIM(A363&amp;""),'Form Calc'!$Q:$Q,0),"")),IFERROR(MATCH(TRIM(A363&amp;""),'Form Calc'!$Q:$Q,0),"")))</f>
        <v/>
      </c>
      <c r="U363" s="32">
        <f>IF(AND(T363&lt;&gt;"",TRIM(E363&amp;"")&lt;&gt;""),TRIM(E363&amp;""),"")</f>
        <v/>
      </c>
      <c r="V363" s="32">
        <f>IF(TRIM(A363&amp;"")="","",IF(T363&lt;&gt;"",T363,IF(TRIM(E363&amp;"")="","",IFERROR(INDEX($T$6:$T$505,MATCH(TRIM(E363&amp;""),$U$6:$U$505,0)),""))))</f>
        <v/>
      </c>
      <c r="W363" s="32">
        <f>IF(V363="","",INDEX('Form Calc'!$G:$G,V363))</f>
        <v/>
      </c>
      <c r="X363" s="32">
        <f>IF(TRIM(A363&amp;"")="","",IF(T363&lt;&gt;"",IF(INDEX('Form Calc'!$K:$K,T363)&lt;&gt;"",INDEX('Form Calc'!$K:$K,T363),J363&amp;""),J363&amp;""))</f>
        <v/>
      </c>
      <c r="Y363" s="32">
        <f>IF(TRIM(A363&amp;"")="","",IF(TRIM(D363&amp;"")&lt;&gt;"",TRIM(D363&amp;""),IF(T363&lt;&gt;"",INDEX('Form Calc'!$C:$C,T363)&amp;"","")))</f>
        <v/>
      </c>
      <c r="Z363" s="32">
        <f>SUBSTITUTE(SUBSTITUTE(SUBSTITUTE(SUBSTITUTE(SUBSTITUTE(SUBSTITUTE(SUBSTITUTE(SUBSTITUTE(Y363," ",""),"-",""),"(",""),")",""),".",""),"+",""),"/",""),CHAR(160),"")</f>
        <v/>
      </c>
      <c r="AA363" s="32">
        <f>IF(Z363="","",IF(LEN(Z363)=10,"+1"&amp;Z363,IF(AND(LEN(Z363)=11,LEFT(Z363,1)="1"),"+"&amp;Z363,IF(LEFT(Y363,1)="+","+"&amp;Z363,Z363))))</f>
        <v/>
      </c>
      <c r="AB363" s="32">
        <f>IF(TRIM(A363&amp;"")="","",IF(TRIM(M363&amp;"")&lt;&gt;"",TRIM(M363&amp;""),IFERROR(LEFT(TRIM(A363&amp;""),FIND(" ",TRIM(A363&amp;""))-1),TRIM(A363&amp;""))))</f>
        <v/>
      </c>
      <c r="AC363" s="32">
        <f>SUBSTITUTE(SUBSTITUTE(SUBSTITUTE(SUBSTITUTE(SUBSTITUTE(SUBSTITUTE(SUBSTITUTE(SUBSTITUTE(SUBSTITUTE(SUBSTITUTE(AB363,"%","%25"),"&amp;","%26"),"#","%23"),"+","%2B"),"=","%3D"),"?","%3F"),CHAR(34),"%22"),CHAR(10),"%0A"),CHAR(13),"")," ","+")</f>
        <v/>
      </c>
      <c r="AD363" s="32">
        <f>IF(OR(AA363="",AB363=""),"",'Start Here'!$B$20&amp;"#p="&amp;SUBSTITUTE(AA363,"+","%2B")&amp;"&amp;n="&amp;AC363&amp;"&amp;m="&amp;SUBSTITUTE('Start Here'!$B$24,"{name}",AC363))</f>
        <v/>
      </c>
      <c r="AE363" s="32">
        <f>LEN(AD363)</f>
        <v/>
      </c>
      <c r="AF363" s="32">
        <f>IF(AND(TRIM(A363&amp;"")&lt;&gt;"",OR(B363="Awaiting",B363="Not sure yet")),1,0)</f>
        <v/>
      </c>
      <c r="AG363" s="32">
        <f>N(AG362)+AF363</f>
        <v/>
      </c>
      <c r="AH363" s="32">
        <f>IF(AF363=1,AG363,"")</f>
        <v/>
      </c>
      <c r="AI363" s="32">
        <f>IF(AND(TRIM(A363&amp;"")&lt;&gt;"",L363&amp;""&lt;&gt;"",L363&amp;""=Seating!$I$3&amp;"",B363&lt;&gt;"Declined"),1,0)</f>
        <v/>
      </c>
      <c r="AJ363" s="32">
        <f>N(AJ362)+AI363</f>
        <v/>
      </c>
      <c r="AK363" s="32">
        <f>IF(AI363=1,AJ363,"")</f>
        <v/>
      </c>
    </row>
    <row r="364">
      <c r="A364" s="10" t="n"/>
      <c r="B364" s="47">
        <f>IF(TRIM(A364&amp;"")="","",IF(W364&lt;&gt;"",W364,IF(I364="","Awaiting",I364)))</f>
        <v/>
      </c>
      <c r="C364" s="60">
        <f>IF(OR(B364="Awaiting",B364="Not sure yet"),IF(AD364&lt;&gt;"",HYPERLINK(AD364,"💬 Remind"),"add mobile"),"")</f>
        <v/>
      </c>
      <c r="D364" s="58" t="n"/>
      <c r="E364" s="10" t="n"/>
      <c r="F364" s="10" t="n"/>
      <c r="G364" s="10" t="n"/>
      <c r="H364" s="10" t="n"/>
      <c r="I364" s="10" t="n"/>
      <c r="J364" s="10" t="n"/>
      <c r="K364" s="10" t="n"/>
      <c r="L364" s="56" t="n"/>
      <c r="M364" s="10" t="n"/>
      <c r="N364" s="12" t="n"/>
      <c r="O364" s="10" t="n"/>
      <c r="P364" s="10" t="n"/>
      <c r="Q364" s="61">
        <f>IF(V364="","",IF(T364="","Covered by "&amp;INDEX('Form Calc'!$B:$B,V364)&amp;"'s reply (same party)","Replied "&amp;TEXT(INDEX('Form Calc'!$A:$A,T364),"mm/dd")&amp;" · "&amp;INDEX('Form Calc'!$H:$H,T364)&amp;" adult(s), "&amp;INDEX('Form Calc'!$I:$I,T364)&amp;" child(ren)"&amp;IF(INDEX('Form Calc'!$K:$K,T364)&lt;&gt;""," · "&amp;INDEX('Form Calc'!$K:$K,T364),"")&amp;IF(INDEX('Form Calc'!$M:$M,T364)&lt;&gt;""," · “"&amp;INDEX('Form Calc'!$M:$M,T364)&amp;"”","")))</f>
        <v/>
      </c>
      <c r="R364" s="32">
        <f>SUBSTITUTE(SUBSTITUTE(SUBSTITUTE(SUBSTITUTE(SUBSTITUTE(SUBSTITUTE(SUBSTITUTE(SUBSTITUTE(D364&amp;""," ",""),"-",""),"(",""),")",""),".",""),"+",""),"/",""),CHAR(160),"")</f>
        <v/>
      </c>
      <c r="S364" s="32">
        <f>IF(LEN(R364)&gt;=10,RIGHT(R364,10),R364)</f>
        <v/>
      </c>
      <c r="T364" s="32">
        <f>IF(TRIM(A364&amp;"")="","",IF(S364&lt;&gt;"",IFERROR(MATCH(S364,'Form Calc'!$P:$P,0),IFERROR(MATCH(TRIM(A364&amp;""),'Form Calc'!$Q:$Q,0),"")),IFERROR(MATCH(TRIM(A364&amp;""),'Form Calc'!$Q:$Q,0),"")))</f>
        <v/>
      </c>
      <c r="U364" s="32">
        <f>IF(AND(T364&lt;&gt;"",TRIM(E364&amp;"")&lt;&gt;""),TRIM(E364&amp;""),"")</f>
        <v/>
      </c>
      <c r="V364" s="32">
        <f>IF(TRIM(A364&amp;"")="","",IF(T364&lt;&gt;"",T364,IF(TRIM(E364&amp;"")="","",IFERROR(INDEX($T$6:$T$505,MATCH(TRIM(E364&amp;""),$U$6:$U$505,0)),""))))</f>
        <v/>
      </c>
      <c r="W364" s="32">
        <f>IF(V364="","",INDEX('Form Calc'!$G:$G,V364))</f>
        <v/>
      </c>
      <c r="X364" s="32">
        <f>IF(TRIM(A364&amp;"")="","",IF(T364&lt;&gt;"",IF(INDEX('Form Calc'!$K:$K,T364)&lt;&gt;"",INDEX('Form Calc'!$K:$K,T364),J364&amp;""),J364&amp;""))</f>
        <v/>
      </c>
      <c r="Y364" s="32">
        <f>IF(TRIM(A364&amp;"")="","",IF(TRIM(D364&amp;"")&lt;&gt;"",TRIM(D364&amp;""),IF(T364&lt;&gt;"",INDEX('Form Calc'!$C:$C,T364)&amp;"","")))</f>
        <v/>
      </c>
      <c r="Z364" s="32">
        <f>SUBSTITUTE(SUBSTITUTE(SUBSTITUTE(SUBSTITUTE(SUBSTITUTE(SUBSTITUTE(SUBSTITUTE(SUBSTITUTE(Y364," ",""),"-",""),"(",""),")",""),".",""),"+",""),"/",""),CHAR(160),"")</f>
        <v/>
      </c>
      <c r="AA364" s="32">
        <f>IF(Z364="","",IF(LEN(Z364)=10,"+1"&amp;Z364,IF(AND(LEN(Z364)=11,LEFT(Z364,1)="1"),"+"&amp;Z364,IF(LEFT(Y364,1)="+","+"&amp;Z364,Z364))))</f>
        <v/>
      </c>
      <c r="AB364" s="32">
        <f>IF(TRIM(A364&amp;"")="","",IF(TRIM(M364&amp;"")&lt;&gt;"",TRIM(M364&amp;""),IFERROR(LEFT(TRIM(A364&amp;""),FIND(" ",TRIM(A364&amp;""))-1),TRIM(A364&amp;""))))</f>
        <v/>
      </c>
      <c r="AC364" s="32">
        <f>SUBSTITUTE(SUBSTITUTE(SUBSTITUTE(SUBSTITUTE(SUBSTITUTE(SUBSTITUTE(SUBSTITUTE(SUBSTITUTE(SUBSTITUTE(SUBSTITUTE(AB364,"%","%25"),"&amp;","%26"),"#","%23"),"+","%2B"),"=","%3D"),"?","%3F"),CHAR(34),"%22"),CHAR(10),"%0A"),CHAR(13),"")," ","+")</f>
        <v/>
      </c>
      <c r="AD364" s="32">
        <f>IF(OR(AA364="",AB364=""),"",'Start Here'!$B$20&amp;"#p="&amp;SUBSTITUTE(AA364,"+","%2B")&amp;"&amp;n="&amp;AC364&amp;"&amp;m="&amp;SUBSTITUTE('Start Here'!$B$24,"{name}",AC364))</f>
        <v/>
      </c>
      <c r="AE364" s="32">
        <f>LEN(AD364)</f>
        <v/>
      </c>
      <c r="AF364" s="32">
        <f>IF(AND(TRIM(A364&amp;"")&lt;&gt;"",OR(B364="Awaiting",B364="Not sure yet")),1,0)</f>
        <v/>
      </c>
      <c r="AG364" s="32">
        <f>N(AG363)+AF364</f>
        <v/>
      </c>
      <c r="AH364" s="32">
        <f>IF(AF364=1,AG364,"")</f>
        <v/>
      </c>
      <c r="AI364" s="32">
        <f>IF(AND(TRIM(A364&amp;"")&lt;&gt;"",L364&amp;""&lt;&gt;"",L364&amp;""=Seating!$I$3&amp;"",B364&lt;&gt;"Declined"),1,0)</f>
        <v/>
      </c>
      <c r="AJ364" s="32">
        <f>N(AJ363)+AI364</f>
        <v/>
      </c>
      <c r="AK364" s="32">
        <f>IF(AI364=1,AJ364,"")</f>
        <v/>
      </c>
    </row>
    <row r="365">
      <c r="A365" s="10" t="n"/>
      <c r="B365" s="47">
        <f>IF(TRIM(A365&amp;"")="","",IF(W365&lt;&gt;"",W365,IF(I365="","Awaiting",I365)))</f>
        <v/>
      </c>
      <c r="C365" s="60">
        <f>IF(OR(B365="Awaiting",B365="Not sure yet"),IF(AD365&lt;&gt;"",HYPERLINK(AD365,"💬 Remind"),"add mobile"),"")</f>
        <v/>
      </c>
      <c r="D365" s="58" t="n"/>
      <c r="E365" s="10" t="n"/>
      <c r="F365" s="10" t="n"/>
      <c r="G365" s="10" t="n"/>
      <c r="H365" s="10" t="n"/>
      <c r="I365" s="10" t="n"/>
      <c r="J365" s="10" t="n"/>
      <c r="K365" s="10" t="n"/>
      <c r="L365" s="56" t="n"/>
      <c r="M365" s="10" t="n"/>
      <c r="N365" s="12" t="n"/>
      <c r="O365" s="10" t="n"/>
      <c r="P365" s="10" t="n"/>
      <c r="Q365" s="61">
        <f>IF(V365="","",IF(T365="","Covered by "&amp;INDEX('Form Calc'!$B:$B,V365)&amp;"'s reply (same party)","Replied "&amp;TEXT(INDEX('Form Calc'!$A:$A,T365),"mm/dd")&amp;" · "&amp;INDEX('Form Calc'!$H:$H,T365)&amp;" adult(s), "&amp;INDEX('Form Calc'!$I:$I,T365)&amp;" child(ren)"&amp;IF(INDEX('Form Calc'!$K:$K,T365)&lt;&gt;""," · "&amp;INDEX('Form Calc'!$K:$K,T365),"")&amp;IF(INDEX('Form Calc'!$M:$M,T365)&lt;&gt;""," · “"&amp;INDEX('Form Calc'!$M:$M,T365)&amp;"”","")))</f>
        <v/>
      </c>
      <c r="R365" s="32">
        <f>SUBSTITUTE(SUBSTITUTE(SUBSTITUTE(SUBSTITUTE(SUBSTITUTE(SUBSTITUTE(SUBSTITUTE(SUBSTITUTE(D365&amp;""," ",""),"-",""),"(",""),")",""),".",""),"+",""),"/",""),CHAR(160),"")</f>
        <v/>
      </c>
      <c r="S365" s="32">
        <f>IF(LEN(R365)&gt;=10,RIGHT(R365,10),R365)</f>
        <v/>
      </c>
      <c r="T365" s="32">
        <f>IF(TRIM(A365&amp;"")="","",IF(S365&lt;&gt;"",IFERROR(MATCH(S365,'Form Calc'!$P:$P,0),IFERROR(MATCH(TRIM(A365&amp;""),'Form Calc'!$Q:$Q,0),"")),IFERROR(MATCH(TRIM(A365&amp;""),'Form Calc'!$Q:$Q,0),"")))</f>
        <v/>
      </c>
      <c r="U365" s="32">
        <f>IF(AND(T365&lt;&gt;"",TRIM(E365&amp;"")&lt;&gt;""),TRIM(E365&amp;""),"")</f>
        <v/>
      </c>
      <c r="V365" s="32">
        <f>IF(TRIM(A365&amp;"")="","",IF(T365&lt;&gt;"",T365,IF(TRIM(E365&amp;"")="","",IFERROR(INDEX($T$6:$T$505,MATCH(TRIM(E365&amp;""),$U$6:$U$505,0)),""))))</f>
        <v/>
      </c>
      <c r="W365" s="32">
        <f>IF(V365="","",INDEX('Form Calc'!$G:$G,V365))</f>
        <v/>
      </c>
      <c r="X365" s="32">
        <f>IF(TRIM(A365&amp;"")="","",IF(T365&lt;&gt;"",IF(INDEX('Form Calc'!$K:$K,T365)&lt;&gt;"",INDEX('Form Calc'!$K:$K,T365),J365&amp;""),J365&amp;""))</f>
        <v/>
      </c>
      <c r="Y365" s="32">
        <f>IF(TRIM(A365&amp;"")="","",IF(TRIM(D365&amp;"")&lt;&gt;"",TRIM(D365&amp;""),IF(T365&lt;&gt;"",INDEX('Form Calc'!$C:$C,T365)&amp;"","")))</f>
        <v/>
      </c>
      <c r="Z365" s="32">
        <f>SUBSTITUTE(SUBSTITUTE(SUBSTITUTE(SUBSTITUTE(SUBSTITUTE(SUBSTITUTE(SUBSTITUTE(SUBSTITUTE(Y365," ",""),"-",""),"(",""),")",""),".",""),"+",""),"/",""),CHAR(160),"")</f>
        <v/>
      </c>
      <c r="AA365" s="32">
        <f>IF(Z365="","",IF(LEN(Z365)=10,"+1"&amp;Z365,IF(AND(LEN(Z365)=11,LEFT(Z365,1)="1"),"+"&amp;Z365,IF(LEFT(Y365,1)="+","+"&amp;Z365,Z365))))</f>
        <v/>
      </c>
      <c r="AB365" s="32">
        <f>IF(TRIM(A365&amp;"")="","",IF(TRIM(M365&amp;"")&lt;&gt;"",TRIM(M365&amp;""),IFERROR(LEFT(TRIM(A365&amp;""),FIND(" ",TRIM(A365&amp;""))-1),TRIM(A365&amp;""))))</f>
        <v/>
      </c>
      <c r="AC365" s="32">
        <f>SUBSTITUTE(SUBSTITUTE(SUBSTITUTE(SUBSTITUTE(SUBSTITUTE(SUBSTITUTE(SUBSTITUTE(SUBSTITUTE(SUBSTITUTE(SUBSTITUTE(AB365,"%","%25"),"&amp;","%26"),"#","%23"),"+","%2B"),"=","%3D"),"?","%3F"),CHAR(34),"%22"),CHAR(10),"%0A"),CHAR(13),"")," ","+")</f>
        <v/>
      </c>
      <c r="AD365" s="32">
        <f>IF(OR(AA365="",AB365=""),"",'Start Here'!$B$20&amp;"#p="&amp;SUBSTITUTE(AA365,"+","%2B")&amp;"&amp;n="&amp;AC365&amp;"&amp;m="&amp;SUBSTITUTE('Start Here'!$B$24,"{name}",AC365))</f>
        <v/>
      </c>
      <c r="AE365" s="32">
        <f>LEN(AD365)</f>
        <v/>
      </c>
      <c r="AF365" s="32">
        <f>IF(AND(TRIM(A365&amp;"")&lt;&gt;"",OR(B365="Awaiting",B365="Not sure yet")),1,0)</f>
        <v/>
      </c>
      <c r="AG365" s="32">
        <f>N(AG364)+AF365</f>
        <v/>
      </c>
      <c r="AH365" s="32">
        <f>IF(AF365=1,AG365,"")</f>
        <v/>
      </c>
      <c r="AI365" s="32">
        <f>IF(AND(TRIM(A365&amp;"")&lt;&gt;"",L365&amp;""&lt;&gt;"",L365&amp;""=Seating!$I$3&amp;"",B365&lt;&gt;"Declined"),1,0)</f>
        <v/>
      </c>
      <c r="AJ365" s="32">
        <f>N(AJ364)+AI365</f>
        <v/>
      </c>
      <c r="AK365" s="32">
        <f>IF(AI365=1,AJ365,"")</f>
        <v/>
      </c>
    </row>
    <row r="366">
      <c r="A366" s="10" t="n"/>
      <c r="B366" s="47">
        <f>IF(TRIM(A366&amp;"")="","",IF(W366&lt;&gt;"",W366,IF(I366="","Awaiting",I366)))</f>
        <v/>
      </c>
      <c r="C366" s="60">
        <f>IF(OR(B366="Awaiting",B366="Not sure yet"),IF(AD366&lt;&gt;"",HYPERLINK(AD366,"💬 Remind"),"add mobile"),"")</f>
        <v/>
      </c>
      <c r="D366" s="58" t="n"/>
      <c r="E366" s="10" t="n"/>
      <c r="F366" s="10" t="n"/>
      <c r="G366" s="10" t="n"/>
      <c r="H366" s="10" t="n"/>
      <c r="I366" s="10" t="n"/>
      <c r="J366" s="10" t="n"/>
      <c r="K366" s="10" t="n"/>
      <c r="L366" s="56" t="n"/>
      <c r="M366" s="10" t="n"/>
      <c r="N366" s="12" t="n"/>
      <c r="O366" s="10" t="n"/>
      <c r="P366" s="10" t="n"/>
      <c r="Q366" s="61">
        <f>IF(V366="","",IF(T366="","Covered by "&amp;INDEX('Form Calc'!$B:$B,V366)&amp;"'s reply (same party)","Replied "&amp;TEXT(INDEX('Form Calc'!$A:$A,T366),"mm/dd")&amp;" · "&amp;INDEX('Form Calc'!$H:$H,T366)&amp;" adult(s), "&amp;INDEX('Form Calc'!$I:$I,T366)&amp;" child(ren)"&amp;IF(INDEX('Form Calc'!$K:$K,T366)&lt;&gt;""," · "&amp;INDEX('Form Calc'!$K:$K,T366),"")&amp;IF(INDEX('Form Calc'!$M:$M,T366)&lt;&gt;""," · “"&amp;INDEX('Form Calc'!$M:$M,T366)&amp;"”","")))</f>
        <v/>
      </c>
      <c r="R366" s="32">
        <f>SUBSTITUTE(SUBSTITUTE(SUBSTITUTE(SUBSTITUTE(SUBSTITUTE(SUBSTITUTE(SUBSTITUTE(SUBSTITUTE(D366&amp;""," ",""),"-",""),"(",""),")",""),".",""),"+",""),"/",""),CHAR(160),"")</f>
        <v/>
      </c>
      <c r="S366" s="32">
        <f>IF(LEN(R366)&gt;=10,RIGHT(R366,10),R366)</f>
        <v/>
      </c>
      <c r="T366" s="32">
        <f>IF(TRIM(A366&amp;"")="","",IF(S366&lt;&gt;"",IFERROR(MATCH(S366,'Form Calc'!$P:$P,0),IFERROR(MATCH(TRIM(A366&amp;""),'Form Calc'!$Q:$Q,0),"")),IFERROR(MATCH(TRIM(A366&amp;""),'Form Calc'!$Q:$Q,0),"")))</f>
        <v/>
      </c>
      <c r="U366" s="32">
        <f>IF(AND(T366&lt;&gt;"",TRIM(E366&amp;"")&lt;&gt;""),TRIM(E366&amp;""),"")</f>
        <v/>
      </c>
      <c r="V366" s="32">
        <f>IF(TRIM(A366&amp;"")="","",IF(T366&lt;&gt;"",T366,IF(TRIM(E366&amp;"")="","",IFERROR(INDEX($T$6:$T$505,MATCH(TRIM(E366&amp;""),$U$6:$U$505,0)),""))))</f>
        <v/>
      </c>
      <c r="W366" s="32">
        <f>IF(V366="","",INDEX('Form Calc'!$G:$G,V366))</f>
        <v/>
      </c>
      <c r="X366" s="32">
        <f>IF(TRIM(A366&amp;"")="","",IF(T366&lt;&gt;"",IF(INDEX('Form Calc'!$K:$K,T366)&lt;&gt;"",INDEX('Form Calc'!$K:$K,T366),J366&amp;""),J366&amp;""))</f>
        <v/>
      </c>
      <c r="Y366" s="32">
        <f>IF(TRIM(A366&amp;"")="","",IF(TRIM(D366&amp;"")&lt;&gt;"",TRIM(D366&amp;""),IF(T366&lt;&gt;"",INDEX('Form Calc'!$C:$C,T366)&amp;"","")))</f>
        <v/>
      </c>
      <c r="Z366" s="32">
        <f>SUBSTITUTE(SUBSTITUTE(SUBSTITUTE(SUBSTITUTE(SUBSTITUTE(SUBSTITUTE(SUBSTITUTE(SUBSTITUTE(Y366," ",""),"-",""),"(",""),")",""),".",""),"+",""),"/",""),CHAR(160),"")</f>
        <v/>
      </c>
      <c r="AA366" s="32">
        <f>IF(Z366="","",IF(LEN(Z366)=10,"+1"&amp;Z366,IF(AND(LEN(Z366)=11,LEFT(Z366,1)="1"),"+"&amp;Z366,IF(LEFT(Y366,1)="+","+"&amp;Z366,Z366))))</f>
        <v/>
      </c>
      <c r="AB366" s="32">
        <f>IF(TRIM(A366&amp;"")="","",IF(TRIM(M366&amp;"")&lt;&gt;"",TRIM(M366&amp;""),IFERROR(LEFT(TRIM(A366&amp;""),FIND(" ",TRIM(A366&amp;""))-1),TRIM(A366&amp;""))))</f>
        <v/>
      </c>
      <c r="AC366" s="32">
        <f>SUBSTITUTE(SUBSTITUTE(SUBSTITUTE(SUBSTITUTE(SUBSTITUTE(SUBSTITUTE(SUBSTITUTE(SUBSTITUTE(SUBSTITUTE(SUBSTITUTE(AB366,"%","%25"),"&amp;","%26"),"#","%23"),"+","%2B"),"=","%3D"),"?","%3F"),CHAR(34),"%22"),CHAR(10),"%0A"),CHAR(13),"")," ","+")</f>
        <v/>
      </c>
      <c r="AD366" s="32">
        <f>IF(OR(AA366="",AB366=""),"",'Start Here'!$B$20&amp;"#p="&amp;SUBSTITUTE(AA366,"+","%2B")&amp;"&amp;n="&amp;AC366&amp;"&amp;m="&amp;SUBSTITUTE('Start Here'!$B$24,"{name}",AC366))</f>
        <v/>
      </c>
      <c r="AE366" s="32">
        <f>LEN(AD366)</f>
        <v/>
      </c>
      <c r="AF366" s="32">
        <f>IF(AND(TRIM(A366&amp;"")&lt;&gt;"",OR(B366="Awaiting",B366="Not sure yet")),1,0)</f>
        <v/>
      </c>
      <c r="AG366" s="32">
        <f>N(AG365)+AF366</f>
        <v/>
      </c>
      <c r="AH366" s="32">
        <f>IF(AF366=1,AG366,"")</f>
        <v/>
      </c>
      <c r="AI366" s="32">
        <f>IF(AND(TRIM(A366&amp;"")&lt;&gt;"",L366&amp;""&lt;&gt;"",L366&amp;""=Seating!$I$3&amp;"",B366&lt;&gt;"Declined"),1,0)</f>
        <v/>
      </c>
      <c r="AJ366" s="32">
        <f>N(AJ365)+AI366</f>
        <v/>
      </c>
      <c r="AK366" s="32">
        <f>IF(AI366=1,AJ366,"")</f>
        <v/>
      </c>
    </row>
    <row r="367">
      <c r="A367" s="10" t="n"/>
      <c r="B367" s="47">
        <f>IF(TRIM(A367&amp;"")="","",IF(W367&lt;&gt;"",W367,IF(I367="","Awaiting",I367)))</f>
        <v/>
      </c>
      <c r="C367" s="60">
        <f>IF(OR(B367="Awaiting",B367="Not sure yet"),IF(AD367&lt;&gt;"",HYPERLINK(AD367,"💬 Remind"),"add mobile"),"")</f>
        <v/>
      </c>
      <c r="D367" s="58" t="n"/>
      <c r="E367" s="10" t="n"/>
      <c r="F367" s="10" t="n"/>
      <c r="G367" s="10" t="n"/>
      <c r="H367" s="10" t="n"/>
      <c r="I367" s="10" t="n"/>
      <c r="J367" s="10" t="n"/>
      <c r="K367" s="10" t="n"/>
      <c r="L367" s="56" t="n"/>
      <c r="M367" s="10" t="n"/>
      <c r="N367" s="12" t="n"/>
      <c r="O367" s="10" t="n"/>
      <c r="P367" s="10" t="n"/>
      <c r="Q367" s="61">
        <f>IF(V367="","",IF(T367="","Covered by "&amp;INDEX('Form Calc'!$B:$B,V367)&amp;"'s reply (same party)","Replied "&amp;TEXT(INDEX('Form Calc'!$A:$A,T367),"mm/dd")&amp;" · "&amp;INDEX('Form Calc'!$H:$H,T367)&amp;" adult(s), "&amp;INDEX('Form Calc'!$I:$I,T367)&amp;" child(ren)"&amp;IF(INDEX('Form Calc'!$K:$K,T367)&lt;&gt;""," · "&amp;INDEX('Form Calc'!$K:$K,T367),"")&amp;IF(INDEX('Form Calc'!$M:$M,T367)&lt;&gt;""," · “"&amp;INDEX('Form Calc'!$M:$M,T367)&amp;"”","")))</f>
        <v/>
      </c>
      <c r="R367" s="32">
        <f>SUBSTITUTE(SUBSTITUTE(SUBSTITUTE(SUBSTITUTE(SUBSTITUTE(SUBSTITUTE(SUBSTITUTE(SUBSTITUTE(D367&amp;""," ",""),"-",""),"(",""),")",""),".",""),"+",""),"/",""),CHAR(160),"")</f>
        <v/>
      </c>
      <c r="S367" s="32">
        <f>IF(LEN(R367)&gt;=10,RIGHT(R367,10),R367)</f>
        <v/>
      </c>
      <c r="T367" s="32">
        <f>IF(TRIM(A367&amp;"")="","",IF(S367&lt;&gt;"",IFERROR(MATCH(S367,'Form Calc'!$P:$P,0),IFERROR(MATCH(TRIM(A367&amp;""),'Form Calc'!$Q:$Q,0),"")),IFERROR(MATCH(TRIM(A367&amp;""),'Form Calc'!$Q:$Q,0),"")))</f>
        <v/>
      </c>
      <c r="U367" s="32">
        <f>IF(AND(T367&lt;&gt;"",TRIM(E367&amp;"")&lt;&gt;""),TRIM(E367&amp;""),"")</f>
        <v/>
      </c>
      <c r="V367" s="32">
        <f>IF(TRIM(A367&amp;"")="","",IF(T367&lt;&gt;"",T367,IF(TRIM(E367&amp;"")="","",IFERROR(INDEX($T$6:$T$505,MATCH(TRIM(E367&amp;""),$U$6:$U$505,0)),""))))</f>
        <v/>
      </c>
      <c r="W367" s="32">
        <f>IF(V367="","",INDEX('Form Calc'!$G:$G,V367))</f>
        <v/>
      </c>
      <c r="X367" s="32">
        <f>IF(TRIM(A367&amp;"")="","",IF(T367&lt;&gt;"",IF(INDEX('Form Calc'!$K:$K,T367)&lt;&gt;"",INDEX('Form Calc'!$K:$K,T367),J367&amp;""),J367&amp;""))</f>
        <v/>
      </c>
      <c r="Y367" s="32">
        <f>IF(TRIM(A367&amp;"")="","",IF(TRIM(D367&amp;"")&lt;&gt;"",TRIM(D367&amp;""),IF(T367&lt;&gt;"",INDEX('Form Calc'!$C:$C,T367)&amp;"","")))</f>
        <v/>
      </c>
      <c r="Z367" s="32">
        <f>SUBSTITUTE(SUBSTITUTE(SUBSTITUTE(SUBSTITUTE(SUBSTITUTE(SUBSTITUTE(SUBSTITUTE(SUBSTITUTE(Y367," ",""),"-",""),"(",""),")",""),".",""),"+",""),"/",""),CHAR(160),"")</f>
        <v/>
      </c>
      <c r="AA367" s="32">
        <f>IF(Z367="","",IF(LEN(Z367)=10,"+1"&amp;Z367,IF(AND(LEN(Z367)=11,LEFT(Z367,1)="1"),"+"&amp;Z367,IF(LEFT(Y367,1)="+","+"&amp;Z367,Z367))))</f>
        <v/>
      </c>
      <c r="AB367" s="32">
        <f>IF(TRIM(A367&amp;"")="","",IF(TRIM(M367&amp;"")&lt;&gt;"",TRIM(M367&amp;""),IFERROR(LEFT(TRIM(A367&amp;""),FIND(" ",TRIM(A367&amp;""))-1),TRIM(A367&amp;""))))</f>
        <v/>
      </c>
      <c r="AC367" s="32">
        <f>SUBSTITUTE(SUBSTITUTE(SUBSTITUTE(SUBSTITUTE(SUBSTITUTE(SUBSTITUTE(SUBSTITUTE(SUBSTITUTE(SUBSTITUTE(SUBSTITUTE(AB367,"%","%25"),"&amp;","%26"),"#","%23"),"+","%2B"),"=","%3D"),"?","%3F"),CHAR(34),"%22"),CHAR(10),"%0A"),CHAR(13),"")," ","+")</f>
        <v/>
      </c>
      <c r="AD367" s="32">
        <f>IF(OR(AA367="",AB367=""),"",'Start Here'!$B$20&amp;"#p="&amp;SUBSTITUTE(AA367,"+","%2B")&amp;"&amp;n="&amp;AC367&amp;"&amp;m="&amp;SUBSTITUTE('Start Here'!$B$24,"{name}",AC367))</f>
        <v/>
      </c>
      <c r="AE367" s="32">
        <f>LEN(AD367)</f>
        <v/>
      </c>
      <c r="AF367" s="32">
        <f>IF(AND(TRIM(A367&amp;"")&lt;&gt;"",OR(B367="Awaiting",B367="Not sure yet")),1,0)</f>
        <v/>
      </c>
      <c r="AG367" s="32">
        <f>N(AG366)+AF367</f>
        <v/>
      </c>
      <c r="AH367" s="32">
        <f>IF(AF367=1,AG367,"")</f>
        <v/>
      </c>
      <c r="AI367" s="32">
        <f>IF(AND(TRIM(A367&amp;"")&lt;&gt;"",L367&amp;""&lt;&gt;"",L367&amp;""=Seating!$I$3&amp;"",B367&lt;&gt;"Declined"),1,0)</f>
        <v/>
      </c>
      <c r="AJ367" s="32">
        <f>N(AJ366)+AI367</f>
        <v/>
      </c>
      <c r="AK367" s="32">
        <f>IF(AI367=1,AJ367,"")</f>
        <v/>
      </c>
    </row>
    <row r="368">
      <c r="A368" s="10" t="n"/>
      <c r="B368" s="47">
        <f>IF(TRIM(A368&amp;"")="","",IF(W368&lt;&gt;"",W368,IF(I368="","Awaiting",I368)))</f>
        <v/>
      </c>
      <c r="C368" s="60">
        <f>IF(OR(B368="Awaiting",B368="Not sure yet"),IF(AD368&lt;&gt;"",HYPERLINK(AD368,"💬 Remind"),"add mobile"),"")</f>
        <v/>
      </c>
      <c r="D368" s="58" t="n"/>
      <c r="E368" s="10" t="n"/>
      <c r="F368" s="10" t="n"/>
      <c r="G368" s="10" t="n"/>
      <c r="H368" s="10" t="n"/>
      <c r="I368" s="10" t="n"/>
      <c r="J368" s="10" t="n"/>
      <c r="K368" s="10" t="n"/>
      <c r="L368" s="56" t="n"/>
      <c r="M368" s="10" t="n"/>
      <c r="N368" s="12" t="n"/>
      <c r="O368" s="10" t="n"/>
      <c r="P368" s="10" t="n"/>
      <c r="Q368" s="61">
        <f>IF(V368="","",IF(T368="","Covered by "&amp;INDEX('Form Calc'!$B:$B,V368)&amp;"'s reply (same party)","Replied "&amp;TEXT(INDEX('Form Calc'!$A:$A,T368),"mm/dd")&amp;" · "&amp;INDEX('Form Calc'!$H:$H,T368)&amp;" adult(s), "&amp;INDEX('Form Calc'!$I:$I,T368)&amp;" child(ren)"&amp;IF(INDEX('Form Calc'!$K:$K,T368)&lt;&gt;""," · "&amp;INDEX('Form Calc'!$K:$K,T368),"")&amp;IF(INDEX('Form Calc'!$M:$M,T368)&lt;&gt;""," · “"&amp;INDEX('Form Calc'!$M:$M,T368)&amp;"”","")))</f>
        <v/>
      </c>
      <c r="R368" s="32">
        <f>SUBSTITUTE(SUBSTITUTE(SUBSTITUTE(SUBSTITUTE(SUBSTITUTE(SUBSTITUTE(SUBSTITUTE(SUBSTITUTE(D368&amp;""," ",""),"-",""),"(",""),")",""),".",""),"+",""),"/",""),CHAR(160),"")</f>
        <v/>
      </c>
      <c r="S368" s="32">
        <f>IF(LEN(R368)&gt;=10,RIGHT(R368,10),R368)</f>
        <v/>
      </c>
      <c r="T368" s="32">
        <f>IF(TRIM(A368&amp;"")="","",IF(S368&lt;&gt;"",IFERROR(MATCH(S368,'Form Calc'!$P:$P,0),IFERROR(MATCH(TRIM(A368&amp;""),'Form Calc'!$Q:$Q,0),"")),IFERROR(MATCH(TRIM(A368&amp;""),'Form Calc'!$Q:$Q,0),"")))</f>
        <v/>
      </c>
      <c r="U368" s="32">
        <f>IF(AND(T368&lt;&gt;"",TRIM(E368&amp;"")&lt;&gt;""),TRIM(E368&amp;""),"")</f>
        <v/>
      </c>
      <c r="V368" s="32">
        <f>IF(TRIM(A368&amp;"")="","",IF(T368&lt;&gt;"",T368,IF(TRIM(E368&amp;"")="","",IFERROR(INDEX($T$6:$T$505,MATCH(TRIM(E368&amp;""),$U$6:$U$505,0)),""))))</f>
        <v/>
      </c>
      <c r="W368" s="32">
        <f>IF(V368="","",INDEX('Form Calc'!$G:$G,V368))</f>
        <v/>
      </c>
      <c r="X368" s="32">
        <f>IF(TRIM(A368&amp;"")="","",IF(T368&lt;&gt;"",IF(INDEX('Form Calc'!$K:$K,T368)&lt;&gt;"",INDEX('Form Calc'!$K:$K,T368),J368&amp;""),J368&amp;""))</f>
        <v/>
      </c>
      <c r="Y368" s="32">
        <f>IF(TRIM(A368&amp;"")="","",IF(TRIM(D368&amp;"")&lt;&gt;"",TRIM(D368&amp;""),IF(T368&lt;&gt;"",INDEX('Form Calc'!$C:$C,T368)&amp;"","")))</f>
        <v/>
      </c>
      <c r="Z368" s="32">
        <f>SUBSTITUTE(SUBSTITUTE(SUBSTITUTE(SUBSTITUTE(SUBSTITUTE(SUBSTITUTE(SUBSTITUTE(SUBSTITUTE(Y368," ",""),"-",""),"(",""),")",""),".",""),"+",""),"/",""),CHAR(160),"")</f>
        <v/>
      </c>
      <c r="AA368" s="32">
        <f>IF(Z368="","",IF(LEN(Z368)=10,"+1"&amp;Z368,IF(AND(LEN(Z368)=11,LEFT(Z368,1)="1"),"+"&amp;Z368,IF(LEFT(Y368,1)="+","+"&amp;Z368,Z368))))</f>
        <v/>
      </c>
      <c r="AB368" s="32">
        <f>IF(TRIM(A368&amp;"")="","",IF(TRIM(M368&amp;"")&lt;&gt;"",TRIM(M368&amp;""),IFERROR(LEFT(TRIM(A368&amp;""),FIND(" ",TRIM(A368&amp;""))-1),TRIM(A368&amp;""))))</f>
        <v/>
      </c>
      <c r="AC368" s="32">
        <f>SUBSTITUTE(SUBSTITUTE(SUBSTITUTE(SUBSTITUTE(SUBSTITUTE(SUBSTITUTE(SUBSTITUTE(SUBSTITUTE(SUBSTITUTE(SUBSTITUTE(AB368,"%","%25"),"&amp;","%26"),"#","%23"),"+","%2B"),"=","%3D"),"?","%3F"),CHAR(34),"%22"),CHAR(10),"%0A"),CHAR(13),"")," ","+")</f>
        <v/>
      </c>
      <c r="AD368" s="32">
        <f>IF(OR(AA368="",AB368=""),"",'Start Here'!$B$20&amp;"#p="&amp;SUBSTITUTE(AA368,"+","%2B")&amp;"&amp;n="&amp;AC368&amp;"&amp;m="&amp;SUBSTITUTE('Start Here'!$B$24,"{name}",AC368))</f>
        <v/>
      </c>
      <c r="AE368" s="32">
        <f>LEN(AD368)</f>
        <v/>
      </c>
      <c r="AF368" s="32">
        <f>IF(AND(TRIM(A368&amp;"")&lt;&gt;"",OR(B368="Awaiting",B368="Not sure yet")),1,0)</f>
        <v/>
      </c>
      <c r="AG368" s="32">
        <f>N(AG367)+AF368</f>
        <v/>
      </c>
      <c r="AH368" s="32">
        <f>IF(AF368=1,AG368,"")</f>
        <v/>
      </c>
      <c r="AI368" s="32">
        <f>IF(AND(TRIM(A368&amp;"")&lt;&gt;"",L368&amp;""&lt;&gt;"",L368&amp;""=Seating!$I$3&amp;"",B368&lt;&gt;"Declined"),1,0)</f>
        <v/>
      </c>
      <c r="AJ368" s="32">
        <f>N(AJ367)+AI368</f>
        <v/>
      </c>
      <c r="AK368" s="32">
        <f>IF(AI368=1,AJ368,"")</f>
        <v/>
      </c>
    </row>
    <row r="369">
      <c r="A369" s="10" t="n"/>
      <c r="B369" s="47">
        <f>IF(TRIM(A369&amp;"")="","",IF(W369&lt;&gt;"",W369,IF(I369="","Awaiting",I369)))</f>
        <v/>
      </c>
      <c r="C369" s="60">
        <f>IF(OR(B369="Awaiting",B369="Not sure yet"),IF(AD369&lt;&gt;"",HYPERLINK(AD369,"💬 Remind"),"add mobile"),"")</f>
        <v/>
      </c>
      <c r="D369" s="58" t="n"/>
      <c r="E369" s="10" t="n"/>
      <c r="F369" s="10" t="n"/>
      <c r="G369" s="10" t="n"/>
      <c r="H369" s="10" t="n"/>
      <c r="I369" s="10" t="n"/>
      <c r="J369" s="10" t="n"/>
      <c r="K369" s="10" t="n"/>
      <c r="L369" s="56" t="n"/>
      <c r="M369" s="10" t="n"/>
      <c r="N369" s="12" t="n"/>
      <c r="O369" s="10" t="n"/>
      <c r="P369" s="10" t="n"/>
      <c r="Q369" s="61">
        <f>IF(V369="","",IF(T369="","Covered by "&amp;INDEX('Form Calc'!$B:$B,V369)&amp;"'s reply (same party)","Replied "&amp;TEXT(INDEX('Form Calc'!$A:$A,T369),"mm/dd")&amp;" · "&amp;INDEX('Form Calc'!$H:$H,T369)&amp;" adult(s), "&amp;INDEX('Form Calc'!$I:$I,T369)&amp;" child(ren)"&amp;IF(INDEX('Form Calc'!$K:$K,T369)&lt;&gt;""," · "&amp;INDEX('Form Calc'!$K:$K,T369),"")&amp;IF(INDEX('Form Calc'!$M:$M,T369)&lt;&gt;""," · “"&amp;INDEX('Form Calc'!$M:$M,T369)&amp;"”","")))</f>
        <v/>
      </c>
      <c r="R369" s="32">
        <f>SUBSTITUTE(SUBSTITUTE(SUBSTITUTE(SUBSTITUTE(SUBSTITUTE(SUBSTITUTE(SUBSTITUTE(SUBSTITUTE(D369&amp;""," ",""),"-",""),"(",""),")",""),".",""),"+",""),"/",""),CHAR(160),"")</f>
        <v/>
      </c>
      <c r="S369" s="32">
        <f>IF(LEN(R369)&gt;=10,RIGHT(R369,10),R369)</f>
        <v/>
      </c>
      <c r="T369" s="32">
        <f>IF(TRIM(A369&amp;"")="","",IF(S369&lt;&gt;"",IFERROR(MATCH(S369,'Form Calc'!$P:$P,0),IFERROR(MATCH(TRIM(A369&amp;""),'Form Calc'!$Q:$Q,0),"")),IFERROR(MATCH(TRIM(A369&amp;""),'Form Calc'!$Q:$Q,0),"")))</f>
        <v/>
      </c>
      <c r="U369" s="32">
        <f>IF(AND(T369&lt;&gt;"",TRIM(E369&amp;"")&lt;&gt;""),TRIM(E369&amp;""),"")</f>
        <v/>
      </c>
      <c r="V369" s="32">
        <f>IF(TRIM(A369&amp;"")="","",IF(T369&lt;&gt;"",T369,IF(TRIM(E369&amp;"")="","",IFERROR(INDEX($T$6:$T$505,MATCH(TRIM(E369&amp;""),$U$6:$U$505,0)),""))))</f>
        <v/>
      </c>
      <c r="W369" s="32">
        <f>IF(V369="","",INDEX('Form Calc'!$G:$G,V369))</f>
        <v/>
      </c>
      <c r="X369" s="32">
        <f>IF(TRIM(A369&amp;"")="","",IF(T369&lt;&gt;"",IF(INDEX('Form Calc'!$K:$K,T369)&lt;&gt;"",INDEX('Form Calc'!$K:$K,T369),J369&amp;""),J369&amp;""))</f>
        <v/>
      </c>
      <c r="Y369" s="32">
        <f>IF(TRIM(A369&amp;"")="","",IF(TRIM(D369&amp;"")&lt;&gt;"",TRIM(D369&amp;""),IF(T369&lt;&gt;"",INDEX('Form Calc'!$C:$C,T369)&amp;"","")))</f>
        <v/>
      </c>
      <c r="Z369" s="32">
        <f>SUBSTITUTE(SUBSTITUTE(SUBSTITUTE(SUBSTITUTE(SUBSTITUTE(SUBSTITUTE(SUBSTITUTE(SUBSTITUTE(Y369," ",""),"-",""),"(",""),")",""),".",""),"+",""),"/",""),CHAR(160),"")</f>
        <v/>
      </c>
      <c r="AA369" s="32">
        <f>IF(Z369="","",IF(LEN(Z369)=10,"+1"&amp;Z369,IF(AND(LEN(Z369)=11,LEFT(Z369,1)="1"),"+"&amp;Z369,IF(LEFT(Y369,1)="+","+"&amp;Z369,Z369))))</f>
        <v/>
      </c>
      <c r="AB369" s="32">
        <f>IF(TRIM(A369&amp;"")="","",IF(TRIM(M369&amp;"")&lt;&gt;"",TRIM(M369&amp;""),IFERROR(LEFT(TRIM(A369&amp;""),FIND(" ",TRIM(A369&amp;""))-1),TRIM(A369&amp;""))))</f>
        <v/>
      </c>
      <c r="AC369" s="32">
        <f>SUBSTITUTE(SUBSTITUTE(SUBSTITUTE(SUBSTITUTE(SUBSTITUTE(SUBSTITUTE(SUBSTITUTE(SUBSTITUTE(SUBSTITUTE(SUBSTITUTE(AB369,"%","%25"),"&amp;","%26"),"#","%23"),"+","%2B"),"=","%3D"),"?","%3F"),CHAR(34),"%22"),CHAR(10),"%0A"),CHAR(13),"")," ","+")</f>
        <v/>
      </c>
      <c r="AD369" s="32">
        <f>IF(OR(AA369="",AB369=""),"",'Start Here'!$B$20&amp;"#p="&amp;SUBSTITUTE(AA369,"+","%2B")&amp;"&amp;n="&amp;AC369&amp;"&amp;m="&amp;SUBSTITUTE('Start Here'!$B$24,"{name}",AC369))</f>
        <v/>
      </c>
      <c r="AE369" s="32">
        <f>LEN(AD369)</f>
        <v/>
      </c>
      <c r="AF369" s="32">
        <f>IF(AND(TRIM(A369&amp;"")&lt;&gt;"",OR(B369="Awaiting",B369="Not sure yet")),1,0)</f>
        <v/>
      </c>
      <c r="AG369" s="32">
        <f>N(AG368)+AF369</f>
        <v/>
      </c>
      <c r="AH369" s="32">
        <f>IF(AF369=1,AG369,"")</f>
        <v/>
      </c>
      <c r="AI369" s="32">
        <f>IF(AND(TRIM(A369&amp;"")&lt;&gt;"",L369&amp;""&lt;&gt;"",L369&amp;""=Seating!$I$3&amp;"",B369&lt;&gt;"Declined"),1,0)</f>
        <v/>
      </c>
      <c r="AJ369" s="32">
        <f>N(AJ368)+AI369</f>
        <v/>
      </c>
      <c r="AK369" s="32">
        <f>IF(AI369=1,AJ369,"")</f>
        <v/>
      </c>
    </row>
    <row r="370">
      <c r="A370" s="10" t="n"/>
      <c r="B370" s="47">
        <f>IF(TRIM(A370&amp;"")="","",IF(W370&lt;&gt;"",W370,IF(I370="","Awaiting",I370)))</f>
        <v/>
      </c>
      <c r="C370" s="60">
        <f>IF(OR(B370="Awaiting",B370="Not sure yet"),IF(AD370&lt;&gt;"",HYPERLINK(AD370,"💬 Remind"),"add mobile"),"")</f>
        <v/>
      </c>
      <c r="D370" s="58" t="n"/>
      <c r="E370" s="10" t="n"/>
      <c r="F370" s="10" t="n"/>
      <c r="G370" s="10" t="n"/>
      <c r="H370" s="10" t="n"/>
      <c r="I370" s="10" t="n"/>
      <c r="J370" s="10" t="n"/>
      <c r="K370" s="10" t="n"/>
      <c r="L370" s="56" t="n"/>
      <c r="M370" s="10" t="n"/>
      <c r="N370" s="12" t="n"/>
      <c r="O370" s="10" t="n"/>
      <c r="P370" s="10" t="n"/>
      <c r="Q370" s="61">
        <f>IF(V370="","",IF(T370="","Covered by "&amp;INDEX('Form Calc'!$B:$B,V370)&amp;"'s reply (same party)","Replied "&amp;TEXT(INDEX('Form Calc'!$A:$A,T370),"mm/dd")&amp;" · "&amp;INDEX('Form Calc'!$H:$H,T370)&amp;" adult(s), "&amp;INDEX('Form Calc'!$I:$I,T370)&amp;" child(ren)"&amp;IF(INDEX('Form Calc'!$K:$K,T370)&lt;&gt;""," · "&amp;INDEX('Form Calc'!$K:$K,T370),"")&amp;IF(INDEX('Form Calc'!$M:$M,T370)&lt;&gt;""," · “"&amp;INDEX('Form Calc'!$M:$M,T370)&amp;"”","")))</f>
        <v/>
      </c>
      <c r="R370" s="32">
        <f>SUBSTITUTE(SUBSTITUTE(SUBSTITUTE(SUBSTITUTE(SUBSTITUTE(SUBSTITUTE(SUBSTITUTE(SUBSTITUTE(D370&amp;""," ",""),"-",""),"(",""),")",""),".",""),"+",""),"/",""),CHAR(160),"")</f>
        <v/>
      </c>
      <c r="S370" s="32">
        <f>IF(LEN(R370)&gt;=10,RIGHT(R370,10),R370)</f>
        <v/>
      </c>
      <c r="T370" s="32">
        <f>IF(TRIM(A370&amp;"")="","",IF(S370&lt;&gt;"",IFERROR(MATCH(S370,'Form Calc'!$P:$P,0),IFERROR(MATCH(TRIM(A370&amp;""),'Form Calc'!$Q:$Q,0),"")),IFERROR(MATCH(TRIM(A370&amp;""),'Form Calc'!$Q:$Q,0),"")))</f>
        <v/>
      </c>
      <c r="U370" s="32">
        <f>IF(AND(T370&lt;&gt;"",TRIM(E370&amp;"")&lt;&gt;""),TRIM(E370&amp;""),"")</f>
        <v/>
      </c>
      <c r="V370" s="32">
        <f>IF(TRIM(A370&amp;"")="","",IF(T370&lt;&gt;"",T370,IF(TRIM(E370&amp;"")="","",IFERROR(INDEX($T$6:$T$505,MATCH(TRIM(E370&amp;""),$U$6:$U$505,0)),""))))</f>
        <v/>
      </c>
      <c r="W370" s="32">
        <f>IF(V370="","",INDEX('Form Calc'!$G:$G,V370))</f>
        <v/>
      </c>
      <c r="X370" s="32">
        <f>IF(TRIM(A370&amp;"")="","",IF(T370&lt;&gt;"",IF(INDEX('Form Calc'!$K:$K,T370)&lt;&gt;"",INDEX('Form Calc'!$K:$K,T370),J370&amp;""),J370&amp;""))</f>
        <v/>
      </c>
      <c r="Y370" s="32">
        <f>IF(TRIM(A370&amp;"")="","",IF(TRIM(D370&amp;"")&lt;&gt;"",TRIM(D370&amp;""),IF(T370&lt;&gt;"",INDEX('Form Calc'!$C:$C,T370)&amp;"","")))</f>
        <v/>
      </c>
      <c r="Z370" s="32">
        <f>SUBSTITUTE(SUBSTITUTE(SUBSTITUTE(SUBSTITUTE(SUBSTITUTE(SUBSTITUTE(SUBSTITUTE(SUBSTITUTE(Y370," ",""),"-",""),"(",""),")",""),".",""),"+",""),"/",""),CHAR(160),"")</f>
        <v/>
      </c>
      <c r="AA370" s="32">
        <f>IF(Z370="","",IF(LEN(Z370)=10,"+1"&amp;Z370,IF(AND(LEN(Z370)=11,LEFT(Z370,1)="1"),"+"&amp;Z370,IF(LEFT(Y370,1)="+","+"&amp;Z370,Z370))))</f>
        <v/>
      </c>
      <c r="AB370" s="32">
        <f>IF(TRIM(A370&amp;"")="","",IF(TRIM(M370&amp;"")&lt;&gt;"",TRIM(M370&amp;""),IFERROR(LEFT(TRIM(A370&amp;""),FIND(" ",TRIM(A370&amp;""))-1),TRIM(A370&amp;""))))</f>
        <v/>
      </c>
      <c r="AC370" s="32">
        <f>SUBSTITUTE(SUBSTITUTE(SUBSTITUTE(SUBSTITUTE(SUBSTITUTE(SUBSTITUTE(SUBSTITUTE(SUBSTITUTE(SUBSTITUTE(SUBSTITUTE(AB370,"%","%25"),"&amp;","%26"),"#","%23"),"+","%2B"),"=","%3D"),"?","%3F"),CHAR(34),"%22"),CHAR(10),"%0A"),CHAR(13),"")," ","+")</f>
        <v/>
      </c>
      <c r="AD370" s="32">
        <f>IF(OR(AA370="",AB370=""),"",'Start Here'!$B$20&amp;"#p="&amp;SUBSTITUTE(AA370,"+","%2B")&amp;"&amp;n="&amp;AC370&amp;"&amp;m="&amp;SUBSTITUTE('Start Here'!$B$24,"{name}",AC370))</f>
        <v/>
      </c>
      <c r="AE370" s="32">
        <f>LEN(AD370)</f>
        <v/>
      </c>
      <c r="AF370" s="32">
        <f>IF(AND(TRIM(A370&amp;"")&lt;&gt;"",OR(B370="Awaiting",B370="Not sure yet")),1,0)</f>
        <v/>
      </c>
      <c r="AG370" s="32">
        <f>N(AG369)+AF370</f>
        <v/>
      </c>
      <c r="AH370" s="32">
        <f>IF(AF370=1,AG370,"")</f>
        <v/>
      </c>
      <c r="AI370" s="32">
        <f>IF(AND(TRIM(A370&amp;"")&lt;&gt;"",L370&amp;""&lt;&gt;"",L370&amp;""=Seating!$I$3&amp;"",B370&lt;&gt;"Declined"),1,0)</f>
        <v/>
      </c>
      <c r="AJ370" s="32">
        <f>N(AJ369)+AI370</f>
        <v/>
      </c>
      <c r="AK370" s="32">
        <f>IF(AI370=1,AJ370,"")</f>
        <v/>
      </c>
    </row>
    <row r="371">
      <c r="A371" s="10" t="n"/>
      <c r="B371" s="47">
        <f>IF(TRIM(A371&amp;"")="","",IF(W371&lt;&gt;"",W371,IF(I371="","Awaiting",I371)))</f>
        <v/>
      </c>
      <c r="C371" s="60">
        <f>IF(OR(B371="Awaiting",B371="Not sure yet"),IF(AD371&lt;&gt;"",HYPERLINK(AD371,"💬 Remind"),"add mobile"),"")</f>
        <v/>
      </c>
      <c r="D371" s="58" t="n"/>
      <c r="E371" s="10" t="n"/>
      <c r="F371" s="10" t="n"/>
      <c r="G371" s="10" t="n"/>
      <c r="H371" s="10" t="n"/>
      <c r="I371" s="10" t="n"/>
      <c r="J371" s="10" t="n"/>
      <c r="K371" s="10" t="n"/>
      <c r="L371" s="56" t="n"/>
      <c r="M371" s="10" t="n"/>
      <c r="N371" s="12" t="n"/>
      <c r="O371" s="10" t="n"/>
      <c r="P371" s="10" t="n"/>
      <c r="Q371" s="61">
        <f>IF(V371="","",IF(T371="","Covered by "&amp;INDEX('Form Calc'!$B:$B,V371)&amp;"'s reply (same party)","Replied "&amp;TEXT(INDEX('Form Calc'!$A:$A,T371),"mm/dd")&amp;" · "&amp;INDEX('Form Calc'!$H:$H,T371)&amp;" adult(s), "&amp;INDEX('Form Calc'!$I:$I,T371)&amp;" child(ren)"&amp;IF(INDEX('Form Calc'!$K:$K,T371)&lt;&gt;""," · "&amp;INDEX('Form Calc'!$K:$K,T371),"")&amp;IF(INDEX('Form Calc'!$M:$M,T371)&lt;&gt;""," · “"&amp;INDEX('Form Calc'!$M:$M,T371)&amp;"”","")))</f>
        <v/>
      </c>
      <c r="R371" s="32">
        <f>SUBSTITUTE(SUBSTITUTE(SUBSTITUTE(SUBSTITUTE(SUBSTITUTE(SUBSTITUTE(SUBSTITUTE(SUBSTITUTE(D371&amp;""," ",""),"-",""),"(",""),")",""),".",""),"+",""),"/",""),CHAR(160),"")</f>
        <v/>
      </c>
      <c r="S371" s="32">
        <f>IF(LEN(R371)&gt;=10,RIGHT(R371,10),R371)</f>
        <v/>
      </c>
      <c r="T371" s="32">
        <f>IF(TRIM(A371&amp;"")="","",IF(S371&lt;&gt;"",IFERROR(MATCH(S371,'Form Calc'!$P:$P,0),IFERROR(MATCH(TRIM(A371&amp;""),'Form Calc'!$Q:$Q,0),"")),IFERROR(MATCH(TRIM(A371&amp;""),'Form Calc'!$Q:$Q,0),"")))</f>
        <v/>
      </c>
      <c r="U371" s="32">
        <f>IF(AND(T371&lt;&gt;"",TRIM(E371&amp;"")&lt;&gt;""),TRIM(E371&amp;""),"")</f>
        <v/>
      </c>
      <c r="V371" s="32">
        <f>IF(TRIM(A371&amp;"")="","",IF(T371&lt;&gt;"",T371,IF(TRIM(E371&amp;"")="","",IFERROR(INDEX($T$6:$T$505,MATCH(TRIM(E371&amp;""),$U$6:$U$505,0)),""))))</f>
        <v/>
      </c>
      <c r="W371" s="32">
        <f>IF(V371="","",INDEX('Form Calc'!$G:$G,V371))</f>
        <v/>
      </c>
      <c r="X371" s="32">
        <f>IF(TRIM(A371&amp;"")="","",IF(T371&lt;&gt;"",IF(INDEX('Form Calc'!$K:$K,T371)&lt;&gt;"",INDEX('Form Calc'!$K:$K,T371),J371&amp;""),J371&amp;""))</f>
        <v/>
      </c>
      <c r="Y371" s="32">
        <f>IF(TRIM(A371&amp;"")="","",IF(TRIM(D371&amp;"")&lt;&gt;"",TRIM(D371&amp;""),IF(T371&lt;&gt;"",INDEX('Form Calc'!$C:$C,T371)&amp;"","")))</f>
        <v/>
      </c>
      <c r="Z371" s="32">
        <f>SUBSTITUTE(SUBSTITUTE(SUBSTITUTE(SUBSTITUTE(SUBSTITUTE(SUBSTITUTE(SUBSTITUTE(SUBSTITUTE(Y371," ",""),"-",""),"(",""),")",""),".",""),"+",""),"/",""),CHAR(160),"")</f>
        <v/>
      </c>
      <c r="AA371" s="32">
        <f>IF(Z371="","",IF(LEN(Z371)=10,"+1"&amp;Z371,IF(AND(LEN(Z371)=11,LEFT(Z371,1)="1"),"+"&amp;Z371,IF(LEFT(Y371,1)="+","+"&amp;Z371,Z371))))</f>
        <v/>
      </c>
      <c r="AB371" s="32">
        <f>IF(TRIM(A371&amp;"")="","",IF(TRIM(M371&amp;"")&lt;&gt;"",TRIM(M371&amp;""),IFERROR(LEFT(TRIM(A371&amp;""),FIND(" ",TRIM(A371&amp;""))-1),TRIM(A371&amp;""))))</f>
        <v/>
      </c>
      <c r="AC371" s="32">
        <f>SUBSTITUTE(SUBSTITUTE(SUBSTITUTE(SUBSTITUTE(SUBSTITUTE(SUBSTITUTE(SUBSTITUTE(SUBSTITUTE(SUBSTITUTE(SUBSTITUTE(AB371,"%","%25"),"&amp;","%26"),"#","%23"),"+","%2B"),"=","%3D"),"?","%3F"),CHAR(34),"%22"),CHAR(10),"%0A"),CHAR(13),"")," ","+")</f>
        <v/>
      </c>
      <c r="AD371" s="32">
        <f>IF(OR(AA371="",AB371=""),"",'Start Here'!$B$20&amp;"#p="&amp;SUBSTITUTE(AA371,"+","%2B")&amp;"&amp;n="&amp;AC371&amp;"&amp;m="&amp;SUBSTITUTE('Start Here'!$B$24,"{name}",AC371))</f>
        <v/>
      </c>
      <c r="AE371" s="32">
        <f>LEN(AD371)</f>
        <v/>
      </c>
      <c r="AF371" s="32">
        <f>IF(AND(TRIM(A371&amp;"")&lt;&gt;"",OR(B371="Awaiting",B371="Not sure yet")),1,0)</f>
        <v/>
      </c>
      <c r="AG371" s="32">
        <f>N(AG370)+AF371</f>
        <v/>
      </c>
      <c r="AH371" s="32">
        <f>IF(AF371=1,AG371,"")</f>
        <v/>
      </c>
      <c r="AI371" s="32">
        <f>IF(AND(TRIM(A371&amp;"")&lt;&gt;"",L371&amp;""&lt;&gt;"",L371&amp;""=Seating!$I$3&amp;"",B371&lt;&gt;"Declined"),1,0)</f>
        <v/>
      </c>
      <c r="AJ371" s="32">
        <f>N(AJ370)+AI371</f>
        <v/>
      </c>
      <c r="AK371" s="32">
        <f>IF(AI371=1,AJ371,"")</f>
        <v/>
      </c>
    </row>
    <row r="372">
      <c r="A372" s="10" t="n"/>
      <c r="B372" s="47">
        <f>IF(TRIM(A372&amp;"")="","",IF(W372&lt;&gt;"",W372,IF(I372="","Awaiting",I372)))</f>
        <v/>
      </c>
      <c r="C372" s="60">
        <f>IF(OR(B372="Awaiting",B372="Not sure yet"),IF(AD372&lt;&gt;"",HYPERLINK(AD372,"💬 Remind"),"add mobile"),"")</f>
        <v/>
      </c>
      <c r="D372" s="58" t="n"/>
      <c r="E372" s="10" t="n"/>
      <c r="F372" s="10" t="n"/>
      <c r="G372" s="10" t="n"/>
      <c r="H372" s="10" t="n"/>
      <c r="I372" s="10" t="n"/>
      <c r="J372" s="10" t="n"/>
      <c r="K372" s="10" t="n"/>
      <c r="L372" s="56" t="n"/>
      <c r="M372" s="10" t="n"/>
      <c r="N372" s="12" t="n"/>
      <c r="O372" s="10" t="n"/>
      <c r="P372" s="10" t="n"/>
      <c r="Q372" s="61">
        <f>IF(V372="","",IF(T372="","Covered by "&amp;INDEX('Form Calc'!$B:$B,V372)&amp;"'s reply (same party)","Replied "&amp;TEXT(INDEX('Form Calc'!$A:$A,T372),"mm/dd")&amp;" · "&amp;INDEX('Form Calc'!$H:$H,T372)&amp;" adult(s), "&amp;INDEX('Form Calc'!$I:$I,T372)&amp;" child(ren)"&amp;IF(INDEX('Form Calc'!$K:$K,T372)&lt;&gt;""," · "&amp;INDEX('Form Calc'!$K:$K,T372),"")&amp;IF(INDEX('Form Calc'!$M:$M,T372)&lt;&gt;""," · “"&amp;INDEX('Form Calc'!$M:$M,T372)&amp;"”","")))</f>
        <v/>
      </c>
      <c r="R372" s="32">
        <f>SUBSTITUTE(SUBSTITUTE(SUBSTITUTE(SUBSTITUTE(SUBSTITUTE(SUBSTITUTE(SUBSTITUTE(SUBSTITUTE(D372&amp;""," ",""),"-",""),"(",""),")",""),".",""),"+",""),"/",""),CHAR(160),"")</f>
        <v/>
      </c>
      <c r="S372" s="32">
        <f>IF(LEN(R372)&gt;=10,RIGHT(R372,10),R372)</f>
        <v/>
      </c>
      <c r="T372" s="32">
        <f>IF(TRIM(A372&amp;"")="","",IF(S372&lt;&gt;"",IFERROR(MATCH(S372,'Form Calc'!$P:$P,0),IFERROR(MATCH(TRIM(A372&amp;""),'Form Calc'!$Q:$Q,0),"")),IFERROR(MATCH(TRIM(A372&amp;""),'Form Calc'!$Q:$Q,0),"")))</f>
        <v/>
      </c>
      <c r="U372" s="32">
        <f>IF(AND(T372&lt;&gt;"",TRIM(E372&amp;"")&lt;&gt;""),TRIM(E372&amp;""),"")</f>
        <v/>
      </c>
      <c r="V372" s="32">
        <f>IF(TRIM(A372&amp;"")="","",IF(T372&lt;&gt;"",T372,IF(TRIM(E372&amp;"")="","",IFERROR(INDEX($T$6:$T$505,MATCH(TRIM(E372&amp;""),$U$6:$U$505,0)),""))))</f>
        <v/>
      </c>
      <c r="W372" s="32">
        <f>IF(V372="","",INDEX('Form Calc'!$G:$G,V372))</f>
        <v/>
      </c>
      <c r="X372" s="32">
        <f>IF(TRIM(A372&amp;"")="","",IF(T372&lt;&gt;"",IF(INDEX('Form Calc'!$K:$K,T372)&lt;&gt;"",INDEX('Form Calc'!$K:$K,T372),J372&amp;""),J372&amp;""))</f>
        <v/>
      </c>
      <c r="Y372" s="32">
        <f>IF(TRIM(A372&amp;"")="","",IF(TRIM(D372&amp;"")&lt;&gt;"",TRIM(D372&amp;""),IF(T372&lt;&gt;"",INDEX('Form Calc'!$C:$C,T372)&amp;"","")))</f>
        <v/>
      </c>
      <c r="Z372" s="32">
        <f>SUBSTITUTE(SUBSTITUTE(SUBSTITUTE(SUBSTITUTE(SUBSTITUTE(SUBSTITUTE(SUBSTITUTE(SUBSTITUTE(Y372," ",""),"-",""),"(",""),")",""),".",""),"+",""),"/",""),CHAR(160),"")</f>
        <v/>
      </c>
      <c r="AA372" s="32">
        <f>IF(Z372="","",IF(LEN(Z372)=10,"+1"&amp;Z372,IF(AND(LEN(Z372)=11,LEFT(Z372,1)="1"),"+"&amp;Z372,IF(LEFT(Y372,1)="+","+"&amp;Z372,Z372))))</f>
        <v/>
      </c>
      <c r="AB372" s="32">
        <f>IF(TRIM(A372&amp;"")="","",IF(TRIM(M372&amp;"")&lt;&gt;"",TRIM(M372&amp;""),IFERROR(LEFT(TRIM(A372&amp;""),FIND(" ",TRIM(A372&amp;""))-1),TRIM(A372&amp;""))))</f>
        <v/>
      </c>
      <c r="AC372" s="32">
        <f>SUBSTITUTE(SUBSTITUTE(SUBSTITUTE(SUBSTITUTE(SUBSTITUTE(SUBSTITUTE(SUBSTITUTE(SUBSTITUTE(SUBSTITUTE(SUBSTITUTE(AB372,"%","%25"),"&amp;","%26"),"#","%23"),"+","%2B"),"=","%3D"),"?","%3F"),CHAR(34),"%22"),CHAR(10),"%0A"),CHAR(13),"")," ","+")</f>
        <v/>
      </c>
      <c r="AD372" s="32">
        <f>IF(OR(AA372="",AB372=""),"",'Start Here'!$B$20&amp;"#p="&amp;SUBSTITUTE(AA372,"+","%2B")&amp;"&amp;n="&amp;AC372&amp;"&amp;m="&amp;SUBSTITUTE('Start Here'!$B$24,"{name}",AC372))</f>
        <v/>
      </c>
      <c r="AE372" s="32">
        <f>LEN(AD372)</f>
        <v/>
      </c>
      <c r="AF372" s="32">
        <f>IF(AND(TRIM(A372&amp;"")&lt;&gt;"",OR(B372="Awaiting",B372="Not sure yet")),1,0)</f>
        <v/>
      </c>
      <c r="AG372" s="32">
        <f>N(AG371)+AF372</f>
        <v/>
      </c>
      <c r="AH372" s="32">
        <f>IF(AF372=1,AG372,"")</f>
        <v/>
      </c>
      <c r="AI372" s="32">
        <f>IF(AND(TRIM(A372&amp;"")&lt;&gt;"",L372&amp;""&lt;&gt;"",L372&amp;""=Seating!$I$3&amp;"",B372&lt;&gt;"Declined"),1,0)</f>
        <v/>
      </c>
      <c r="AJ372" s="32">
        <f>N(AJ371)+AI372</f>
        <v/>
      </c>
      <c r="AK372" s="32">
        <f>IF(AI372=1,AJ372,"")</f>
        <v/>
      </c>
    </row>
    <row r="373">
      <c r="A373" s="10" t="n"/>
      <c r="B373" s="47">
        <f>IF(TRIM(A373&amp;"")="","",IF(W373&lt;&gt;"",W373,IF(I373="","Awaiting",I373)))</f>
        <v/>
      </c>
      <c r="C373" s="60">
        <f>IF(OR(B373="Awaiting",B373="Not sure yet"),IF(AD373&lt;&gt;"",HYPERLINK(AD373,"💬 Remind"),"add mobile"),"")</f>
        <v/>
      </c>
      <c r="D373" s="58" t="n"/>
      <c r="E373" s="10" t="n"/>
      <c r="F373" s="10" t="n"/>
      <c r="G373" s="10" t="n"/>
      <c r="H373" s="10" t="n"/>
      <c r="I373" s="10" t="n"/>
      <c r="J373" s="10" t="n"/>
      <c r="K373" s="10" t="n"/>
      <c r="L373" s="56" t="n"/>
      <c r="M373" s="10" t="n"/>
      <c r="N373" s="12" t="n"/>
      <c r="O373" s="10" t="n"/>
      <c r="P373" s="10" t="n"/>
      <c r="Q373" s="61">
        <f>IF(V373="","",IF(T373="","Covered by "&amp;INDEX('Form Calc'!$B:$B,V373)&amp;"'s reply (same party)","Replied "&amp;TEXT(INDEX('Form Calc'!$A:$A,T373),"mm/dd")&amp;" · "&amp;INDEX('Form Calc'!$H:$H,T373)&amp;" adult(s), "&amp;INDEX('Form Calc'!$I:$I,T373)&amp;" child(ren)"&amp;IF(INDEX('Form Calc'!$K:$K,T373)&lt;&gt;""," · "&amp;INDEX('Form Calc'!$K:$K,T373),"")&amp;IF(INDEX('Form Calc'!$M:$M,T373)&lt;&gt;""," · “"&amp;INDEX('Form Calc'!$M:$M,T373)&amp;"”","")))</f>
        <v/>
      </c>
      <c r="R373" s="32">
        <f>SUBSTITUTE(SUBSTITUTE(SUBSTITUTE(SUBSTITUTE(SUBSTITUTE(SUBSTITUTE(SUBSTITUTE(SUBSTITUTE(D373&amp;""," ",""),"-",""),"(",""),")",""),".",""),"+",""),"/",""),CHAR(160),"")</f>
        <v/>
      </c>
      <c r="S373" s="32">
        <f>IF(LEN(R373)&gt;=10,RIGHT(R373,10),R373)</f>
        <v/>
      </c>
      <c r="T373" s="32">
        <f>IF(TRIM(A373&amp;"")="","",IF(S373&lt;&gt;"",IFERROR(MATCH(S373,'Form Calc'!$P:$P,0),IFERROR(MATCH(TRIM(A373&amp;""),'Form Calc'!$Q:$Q,0),"")),IFERROR(MATCH(TRIM(A373&amp;""),'Form Calc'!$Q:$Q,0),"")))</f>
        <v/>
      </c>
      <c r="U373" s="32">
        <f>IF(AND(T373&lt;&gt;"",TRIM(E373&amp;"")&lt;&gt;""),TRIM(E373&amp;""),"")</f>
        <v/>
      </c>
      <c r="V373" s="32">
        <f>IF(TRIM(A373&amp;"")="","",IF(T373&lt;&gt;"",T373,IF(TRIM(E373&amp;"")="","",IFERROR(INDEX($T$6:$T$505,MATCH(TRIM(E373&amp;""),$U$6:$U$505,0)),""))))</f>
        <v/>
      </c>
      <c r="W373" s="32">
        <f>IF(V373="","",INDEX('Form Calc'!$G:$G,V373))</f>
        <v/>
      </c>
      <c r="X373" s="32">
        <f>IF(TRIM(A373&amp;"")="","",IF(T373&lt;&gt;"",IF(INDEX('Form Calc'!$K:$K,T373)&lt;&gt;"",INDEX('Form Calc'!$K:$K,T373),J373&amp;""),J373&amp;""))</f>
        <v/>
      </c>
      <c r="Y373" s="32">
        <f>IF(TRIM(A373&amp;"")="","",IF(TRIM(D373&amp;"")&lt;&gt;"",TRIM(D373&amp;""),IF(T373&lt;&gt;"",INDEX('Form Calc'!$C:$C,T373)&amp;"","")))</f>
        <v/>
      </c>
      <c r="Z373" s="32">
        <f>SUBSTITUTE(SUBSTITUTE(SUBSTITUTE(SUBSTITUTE(SUBSTITUTE(SUBSTITUTE(SUBSTITUTE(SUBSTITUTE(Y373," ",""),"-",""),"(",""),")",""),".",""),"+",""),"/",""),CHAR(160),"")</f>
        <v/>
      </c>
      <c r="AA373" s="32">
        <f>IF(Z373="","",IF(LEN(Z373)=10,"+1"&amp;Z373,IF(AND(LEN(Z373)=11,LEFT(Z373,1)="1"),"+"&amp;Z373,IF(LEFT(Y373,1)="+","+"&amp;Z373,Z373))))</f>
        <v/>
      </c>
      <c r="AB373" s="32">
        <f>IF(TRIM(A373&amp;"")="","",IF(TRIM(M373&amp;"")&lt;&gt;"",TRIM(M373&amp;""),IFERROR(LEFT(TRIM(A373&amp;""),FIND(" ",TRIM(A373&amp;""))-1),TRIM(A373&amp;""))))</f>
        <v/>
      </c>
      <c r="AC373" s="32">
        <f>SUBSTITUTE(SUBSTITUTE(SUBSTITUTE(SUBSTITUTE(SUBSTITUTE(SUBSTITUTE(SUBSTITUTE(SUBSTITUTE(SUBSTITUTE(SUBSTITUTE(AB373,"%","%25"),"&amp;","%26"),"#","%23"),"+","%2B"),"=","%3D"),"?","%3F"),CHAR(34),"%22"),CHAR(10),"%0A"),CHAR(13),"")," ","+")</f>
        <v/>
      </c>
      <c r="AD373" s="32">
        <f>IF(OR(AA373="",AB373=""),"",'Start Here'!$B$20&amp;"#p="&amp;SUBSTITUTE(AA373,"+","%2B")&amp;"&amp;n="&amp;AC373&amp;"&amp;m="&amp;SUBSTITUTE('Start Here'!$B$24,"{name}",AC373))</f>
        <v/>
      </c>
      <c r="AE373" s="32">
        <f>LEN(AD373)</f>
        <v/>
      </c>
      <c r="AF373" s="32">
        <f>IF(AND(TRIM(A373&amp;"")&lt;&gt;"",OR(B373="Awaiting",B373="Not sure yet")),1,0)</f>
        <v/>
      </c>
      <c r="AG373" s="32">
        <f>N(AG372)+AF373</f>
        <v/>
      </c>
      <c r="AH373" s="32">
        <f>IF(AF373=1,AG373,"")</f>
        <v/>
      </c>
      <c r="AI373" s="32">
        <f>IF(AND(TRIM(A373&amp;"")&lt;&gt;"",L373&amp;""&lt;&gt;"",L373&amp;""=Seating!$I$3&amp;"",B373&lt;&gt;"Declined"),1,0)</f>
        <v/>
      </c>
      <c r="AJ373" s="32">
        <f>N(AJ372)+AI373</f>
        <v/>
      </c>
      <c r="AK373" s="32">
        <f>IF(AI373=1,AJ373,"")</f>
        <v/>
      </c>
    </row>
    <row r="374">
      <c r="A374" s="10" t="n"/>
      <c r="B374" s="47">
        <f>IF(TRIM(A374&amp;"")="","",IF(W374&lt;&gt;"",W374,IF(I374="","Awaiting",I374)))</f>
        <v/>
      </c>
      <c r="C374" s="60">
        <f>IF(OR(B374="Awaiting",B374="Not sure yet"),IF(AD374&lt;&gt;"",HYPERLINK(AD374,"💬 Remind"),"add mobile"),"")</f>
        <v/>
      </c>
      <c r="D374" s="58" t="n"/>
      <c r="E374" s="10" t="n"/>
      <c r="F374" s="10" t="n"/>
      <c r="G374" s="10" t="n"/>
      <c r="H374" s="10" t="n"/>
      <c r="I374" s="10" t="n"/>
      <c r="J374" s="10" t="n"/>
      <c r="K374" s="10" t="n"/>
      <c r="L374" s="56" t="n"/>
      <c r="M374" s="10" t="n"/>
      <c r="N374" s="12" t="n"/>
      <c r="O374" s="10" t="n"/>
      <c r="P374" s="10" t="n"/>
      <c r="Q374" s="61">
        <f>IF(V374="","",IF(T374="","Covered by "&amp;INDEX('Form Calc'!$B:$B,V374)&amp;"'s reply (same party)","Replied "&amp;TEXT(INDEX('Form Calc'!$A:$A,T374),"mm/dd")&amp;" · "&amp;INDEX('Form Calc'!$H:$H,T374)&amp;" adult(s), "&amp;INDEX('Form Calc'!$I:$I,T374)&amp;" child(ren)"&amp;IF(INDEX('Form Calc'!$K:$K,T374)&lt;&gt;""," · "&amp;INDEX('Form Calc'!$K:$K,T374),"")&amp;IF(INDEX('Form Calc'!$M:$M,T374)&lt;&gt;""," · “"&amp;INDEX('Form Calc'!$M:$M,T374)&amp;"”","")))</f>
        <v/>
      </c>
      <c r="R374" s="32">
        <f>SUBSTITUTE(SUBSTITUTE(SUBSTITUTE(SUBSTITUTE(SUBSTITUTE(SUBSTITUTE(SUBSTITUTE(SUBSTITUTE(D374&amp;""," ",""),"-",""),"(",""),")",""),".",""),"+",""),"/",""),CHAR(160),"")</f>
        <v/>
      </c>
      <c r="S374" s="32">
        <f>IF(LEN(R374)&gt;=10,RIGHT(R374,10),R374)</f>
        <v/>
      </c>
      <c r="T374" s="32">
        <f>IF(TRIM(A374&amp;"")="","",IF(S374&lt;&gt;"",IFERROR(MATCH(S374,'Form Calc'!$P:$P,0),IFERROR(MATCH(TRIM(A374&amp;""),'Form Calc'!$Q:$Q,0),"")),IFERROR(MATCH(TRIM(A374&amp;""),'Form Calc'!$Q:$Q,0),"")))</f>
        <v/>
      </c>
      <c r="U374" s="32">
        <f>IF(AND(T374&lt;&gt;"",TRIM(E374&amp;"")&lt;&gt;""),TRIM(E374&amp;""),"")</f>
        <v/>
      </c>
      <c r="V374" s="32">
        <f>IF(TRIM(A374&amp;"")="","",IF(T374&lt;&gt;"",T374,IF(TRIM(E374&amp;"")="","",IFERROR(INDEX($T$6:$T$505,MATCH(TRIM(E374&amp;""),$U$6:$U$505,0)),""))))</f>
        <v/>
      </c>
      <c r="W374" s="32">
        <f>IF(V374="","",INDEX('Form Calc'!$G:$G,V374))</f>
        <v/>
      </c>
      <c r="X374" s="32">
        <f>IF(TRIM(A374&amp;"")="","",IF(T374&lt;&gt;"",IF(INDEX('Form Calc'!$K:$K,T374)&lt;&gt;"",INDEX('Form Calc'!$K:$K,T374),J374&amp;""),J374&amp;""))</f>
        <v/>
      </c>
      <c r="Y374" s="32">
        <f>IF(TRIM(A374&amp;"")="","",IF(TRIM(D374&amp;"")&lt;&gt;"",TRIM(D374&amp;""),IF(T374&lt;&gt;"",INDEX('Form Calc'!$C:$C,T374)&amp;"","")))</f>
        <v/>
      </c>
      <c r="Z374" s="32">
        <f>SUBSTITUTE(SUBSTITUTE(SUBSTITUTE(SUBSTITUTE(SUBSTITUTE(SUBSTITUTE(SUBSTITUTE(SUBSTITUTE(Y374," ",""),"-",""),"(",""),")",""),".",""),"+",""),"/",""),CHAR(160),"")</f>
        <v/>
      </c>
      <c r="AA374" s="32">
        <f>IF(Z374="","",IF(LEN(Z374)=10,"+1"&amp;Z374,IF(AND(LEN(Z374)=11,LEFT(Z374,1)="1"),"+"&amp;Z374,IF(LEFT(Y374,1)="+","+"&amp;Z374,Z374))))</f>
        <v/>
      </c>
      <c r="AB374" s="32">
        <f>IF(TRIM(A374&amp;"")="","",IF(TRIM(M374&amp;"")&lt;&gt;"",TRIM(M374&amp;""),IFERROR(LEFT(TRIM(A374&amp;""),FIND(" ",TRIM(A374&amp;""))-1),TRIM(A374&amp;""))))</f>
        <v/>
      </c>
      <c r="AC374" s="32">
        <f>SUBSTITUTE(SUBSTITUTE(SUBSTITUTE(SUBSTITUTE(SUBSTITUTE(SUBSTITUTE(SUBSTITUTE(SUBSTITUTE(SUBSTITUTE(SUBSTITUTE(AB374,"%","%25"),"&amp;","%26"),"#","%23"),"+","%2B"),"=","%3D"),"?","%3F"),CHAR(34),"%22"),CHAR(10),"%0A"),CHAR(13),"")," ","+")</f>
        <v/>
      </c>
      <c r="AD374" s="32">
        <f>IF(OR(AA374="",AB374=""),"",'Start Here'!$B$20&amp;"#p="&amp;SUBSTITUTE(AA374,"+","%2B")&amp;"&amp;n="&amp;AC374&amp;"&amp;m="&amp;SUBSTITUTE('Start Here'!$B$24,"{name}",AC374))</f>
        <v/>
      </c>
      <c r="AE374" s="32">
        <f>LEN(AD374)</f>
        <v/>
      </c>
      <c r="AF374" s="32">
        <f>IF(AND(TRIM(A374&amp;"")&lt;&gt;"",OR(B374="Awaiting",B374="Not sure yet")),1,0)</f>
        <v/>
      </c>
      <c r="AG374" s="32">
        <f>N(AG373)+AF374</f>
        <v/>
      </c>
      <c r="AH374" s="32">
        <f>IF(AF374=1,AG374,"")</f>
        <v/>
      </c>
      <c r="AI374" s="32">
        <f>IF(AND(TRIM(A374&amp;"")&lt;&gt;"",L374&amp;""&lt;&gt;"",L374&amp;""=Seating!$I$3&amp;"",B374&lt;&gt;"Declined"),1,0)</f>
        <v/>
      </c>
      <c r="AJ374" s="32">
        <f>N(AJ373)+AI374</f>
        <v/>
      </c>
      <c r="AK374" s="32">
        <f>IF(AI374=1,AJ374,"")</f>
        <v/>
      </c>
    </row>
    <row r="375">
      <c r="A375" s="10" t="n"/>
      <c r="B375" s="47">
        <f>IF(TRIM(A375&amp;"")="","",IF(W375&lt;&gt;"",W375,IF(I375="","Awaiting",I375)))</f>
        <v/>
      </c>
      <c r="C375" s="60">
        <f>IF(OR(B375="Awaiting",B375="Not sure yet"),IF(AD375&lt;&gt;"",HYPERLINK(AD375,"💬 Remind"),"add mobile"),"")</f>
        <v/>
      </c>
      <c r="D375" s="58" t="n"/>
      <c r="E375" s="10" t="n"/>
      <c r="F375" s="10" t="n"/>
      <c r="G375" s="10" t="n"/>
      <c r="H375" s="10" t="n"/>
      <c r="I375" s="10" t="n"/>
      <c r="J375" s="10" t="n"/>
      <c r="K375" s="10" t="n"/>
      <c r="L375" s="56" t="n"/>
      <c r="M375" s="10" t="n"/>
      <c r="N375" s="12" t="n"/>
      <c r="O375" s="10" t="n"/>
      <c r="P375" s="10" t="n"/>
      <c r="Q375" s="61">
        <f>IF(V375="","",IF(T375="","Covered by "&amp;INDEX('Form Calc'!$B:$B,V375)&amp;"'s reply (same party)","Replied "&amp;TEXT(INDEX('Form Calc'!$A:$A,T375),"mm/dd")&amp;" · "&amp;INDEX('Form Calc'!$H:$H,T375)&amp;" adult(s), "&amp;INDEX('Form Calc'!$I:$I,T375)&amp;" child(ren)"&amp;IF(INDEX('Form Calc'!$K:$K,T375)&lt;&gt;""," · "&amp;INDEX('Form Calc'!$K:$K,T375),"")&amp;IF(INDEX('Form Calc'!$M:$M,T375)&lt;&gt;""," · “"&amp;INDEX('Form Calc'!$M:$M,T375)&amp;"”","")))</f>
        <v/>
      </c>
      <c r="R375" s="32">
        <f>SUBSTITUTE(SUBSTITUTE(SUBSTITUTE(SUBSTITUTE(SUBSTITUTE(SUBSTITUTE(SUBSTITUTE(SUBSTITUTE(D375&amp;""," ",""),"-",""),"(",""),")",""),".",""),"+",""),"/",""),CHAR(160),"")</f>
        <v/>
      </c>
      <c r="S375" s="32">
        <f>IF(LEN(R375)&gt;=10,RIGHT(R375,10),R375)</f>
        <v/>
      </c>
      <c r="T375" s="32">
        <f>IF(TRIM(A375&amp;"")="","",IF(S375&lt;&gt;"",IFERROR(MATCH(S375,'Form Calc'!$P:$P,0),IFERROR(MATCH(TRIM(A375&amp;""),'Form Calc'!$Q:$Q,0),"")),IFERROR(MATCH(TRIM(A375&amp;""),'Form Calc'!$Q:$Q,0),"")))</f>
        <v/>
      </c>
      <c r="U375" s="32">
        <f>IF(AND(T375&lt;&gt;"",TRIM(E375&amp;"")&lt;&gt;""),TRIM(E375&amp;""),"")</f>
        <v/>
      </c>
      <c r="V375" s="32">
        <f>IF(TRIM(A375&amp;"")="","",IF(T375&lt;&gt;"",T375,IF(TRIM(E375&amp;"")="","",IFERROR(INDEX($T$6:$T$505,MATCH(TRIM(E375&amp;""),$U$6:$U$505,0)),""))))</f>
        <v/>
      </c>
      <c r="W375" s="32">
        <f>IF(V375="","",INDEX('Form Calc'!$G:$G,V375))</f>
        <v/>
      </c>
      <c r="X375" s="32">
        <f>IF(TRIM(A375&amp;"")="","",IF(T375&lt;&gt;"",IF(INDEX('Form Calc'!$K:$K,T375)&lt;&gt;"",INDEX('Form Calc'!$K:$K,T375),J375&amp;""),J375&amp;""))</f>
        <v/>
      </c>
      <c r="Y375" s="32">
        <f>IF(TRIM(A375&amp;"")="","",IF(TRIM(D375&amp;"")&lt;&gt;"",TRIM(D375&amp;""),IF(T375&lt;&gt;"",INDEX('Form Calc'!$C:$C,T375)&amp;"","")))</f>
        <v/>
      </c>
      <c r="Z375" s="32">
        <f>SUBSTITUTE(SUBSTITUTE(SUBSTITUTE(SUBSTITUTE(SUBSTITUTE(SUBSTITUTE(SUBSTITUTE(SUBSTITUTE(Y375," ",""),"-",""),"(",""),")",""),".",""),"+",""),"/",""),CHAR(160),"")</f>
        <v/>
      </c>
      <c r="AA375" s="32">
        <f>IF(Z375="","",IF(LEN(Z375)=10,"+1"&amp;Z375,IF(AND(LEN(Z375)=11,LEFT(Z375,1)="1"),"+"&amp;Z375,IF(LEFT(Y375,1)="+","+"&amp;Z375,Z375))))</f>
        <v/>
      </c>
      <c r="AB375" s="32">
        <f>IF(TRIM(A375&amp;"")="","",IF(TRIM(M375&amp;"")&lt;&gt;"",TRIM(M375&amp;""),IFERROR(LEFT(TRIM(A375&amp;""),FIND(" ",TRIM(A375&amp;""))-1),TRIM(A375&amp;""))))</f>
        <v/>
      </c>
      <c r="AC375" s="32">
        <f>SUBSTITUTE(SUBSTITUTE(SUBSTITUTE(SUBSTITUTE(SUBSTITUTE(SUBSTITUTE(SUBSTITUTE(SUBSTITUTE(SUBSTITUTE(SUBSTITUTE(AB375,"%","%25"),"&amp;","%26"),"#","%23"),"+","%2B"),"=","%3D"),"?","%3F"),CHAR(34),"%22"),CHAR(10),"%0A"),CHAR(13),"")," ","+")</f>
        <v/>
      </c>
      <c r="AD375" s="32">
        <f>IF(OR(AA375="",AB375=""),"",'Start Here'!$B$20&amp;"#p="&amp;SUBSTITUTE(AA375,"+","%2B")&amp;"&amp;n="&amp;AC375&amp;"&amp;m="&amp;SUBSTITUTE('Start Here'!$B$24,"{name}",AC375))</f>
        <v/>
      </c>
      <c r="AE375" s="32">
        <f>LEN(AD375)</f>
        <v/>
      </c>
      <c r="AF375" s="32">
        <f>IF(AND(TRIM(A375&amp;"")&lt;&gt;"",OR(B375="Awaiting",B375="Not sure yet")),1,0)</f>
        <v/>
      </c>
      <c r="AG375" s="32">
        <f>N(AG374)+AF375</f>
        <v/>
      </c>
      <c r="AH375" s="32">
        <f>IF(AF375=1,AG375,"")</f>
        <v/>
      </c>
      <c r="AI375" s="32">
        <f>IF(AND(TRIM(A375&amp;"")&lt;&gt;"",L375&amp;""&lt;&gt;"",L375&amp;""=Seating!$I$3&amp;"",B375&lt;&gt;"Declined"),1,0)</f>
        <v/>
      </c>
      <c r="AJ375" s="32">
        <f>N(AJ374)+AI375</f>
        <v/>
      </c>
      <c r="AK375" s="32">
        <f>IF(AI375=1,AJ375,"")</f>
        <v/>
      </c>
    </row>
    <row r="376">
      <c r="A376" s="10" t="n"/>
      <c r="B376" s="47">
        <f>IF(TRIM(A376&amp;"")="","",IF(W376&lt;&gt;"",W376,IF(I376="","Awaiting",I376)))</f>
        <v/>
      </c>
      <c r="C376" s="60">
        <f>IF(OR(B376="Awaiting",B376="Not sure yet"),IF(AD376&lt;&gt;"",HYPERLINK(AD376,"💬 Remind"),"add mobile"),"")</f>
        <v/>
      </c>
      <c r="D376" s="58" t="n"/>
      <c r="E376" s="10" t="n"/>
      <c r="F376" s="10" t="n"/>
      <c r="G376" s="10" t="n"/>
      <c r="H376" s="10" t="n"/>
      <c r="I376" s="10" t="n"/>
      <c r="J376" s="10" t="n"/>
      <c r="K376" s="10" t="n"/>
      <c r="L376" s="56" t="n"/>
      <c r="M376" s="10" t="n"/>
      <c r="N376" s="12" t="n"/>
      <c r="O376" s="10" t="n"/>
      <c r="P376" s="10" t="n"/>
      <c r="Q376" s="61">
        <f>IF(V376="","",IF(T376="","Covered by "&amp;INDEX('Form Calc'!$B:$B,V376)&amp;"'s reply (same party)","Replied "&amp;TEXT(INDEX('Form Calc'!$A:$A,T376),"mm/dd")&amp;" · "&amp;INDEX('Form Calc'!$H:$H,T376)&amp;" adult(s), "&amp;INDEX('Form Calc'!$I:$I,T376)&amp;" child(ren)"&amp;IF(INDEX('Form Calc'!$K:$K,T376)&lt;&gt;""," · "&amp;INDEX('Form Calc'!$K:$K,T376),"")&amp;IF(INDEX('Form Calc'!$M:$M,T376)&lt;&gt;""," · “"&amp;INDEX('Form Calc'!$M:$M,T376)&amp;"”","")))</f>
        <v/>
      </c>
      <c r="R376" s="32">
        <f>SUBSTITUTE(SUBSTITUTE(SUBSTITUTE(SUBSTITUTE(SUBSTITUTE(SUBSTITUTE(SUBSTITUTE(SUBSTITUTE(D376&amp;""," ",""),"-",""),"(",""),")",""),".",""),"+",""),"/",""),CHAR(160),"")</f>
        <v/>
      </c>
      <c r="S376" s="32">
        <f>IF(LEN(R376)&gt;=10,RIGHT(R376,10),R376)</f>
        <v/>
      </c>
      <c r="T376" s="32">
        <f>IF(TRIM(A376&amp;"")="","",IF(S376&lt;&gt;"",IFERROR(MATCH(S376,'Form Calc'!$P:$P,0),IFERROR(MATCH(TRIM(A376&amp;""),'Form Calc'!$Q:$Q,0),"")),IFERROR(MATCH(TRIM(A376&amp;""),'Form Calc'!$Q:$Q,0),"")))</f>
        <v/>
      </c>
      <c r="U376" s="32">
        <f>IF(AND(T376&lt;&gt;"",TRIM(E376&amp;"")&lt;&gt;""),TRIM(E376&amp;""),"")</f>
        <v/>
      </c>
      <c r="V376" s="32">
        <f>IF(TRIM(A376&amp;"")="","",IF(T376&lt;&gt;"",T376,IF(TRIM(E376&amp;"")="","",IFERROR(INDEX($T$6:$T$505,MATCH(TRIM(E376&amp;""),$U$6:$U$505,0)),""))))</f>
        <v/>
      </c>
      <c r="W376" s="32">
        <f>IF(V376="","",INDEX('Form Calc'!$G:$G,V376))</f>
        <v/>
      </c>
      <c r="X376" s="32">
        <f>IF(TRIM(A376&amp;"")="","",IF(T376&lt;&gt;"",IF(INDEX('Form Calc'!$K:$K,T376)&lt;&gt;"",INDEX('Form Calc'!$K:$K,T376),J376&amp;""),J376&amp;""))</f>
        <v/>
      </c>
      <c r="Y376" s="32">
        <f>IF(TRIM(A376&amp;"")="","",IF(TRIM(D376&amp;"")&lt;&gt;"",TRIM(D376&amp;""),IF(T376&lt;&gt;"",INDEX('Form Calc'!$C:$C,T376)&amp;"","")))</f>
        <v/>
      </c>
      <c r="Z376" s="32">
        <f>SUBSTITUTE(SUBSTITUTE(SUBSTITUTE(SUBSTITUTE(SUBSTITUTE(SUBSTITUTE(SUBSTITUTE(SUBSTITUTE(Y376," ",""),"-",""),"(",""),")",""),".",""),"+",""),"/",""),CHAR(160),"")</f>
        <v/>
      </c>
      <c r="AA376" s="32">
        <f>IF(Z376="","",IF(LEN(Z376)=10,"+1"&amp;Z376,IF(AND(LEN(Z376)=11,LEFT(Z376,1)="1"),"+"&amp;Z376,IF(LEFT(Y376,1)="+","+"&amp;Z376,Z376))))</f>
        <v/>
      </c>
      <c r="AB376" s="32">
        <f>IF(TRIM(A376&amp;"")="","",IF(TRIM(M376&amp;"")&lt;&gt;"",TRIM(M376&amp;""),IFERROR(LEFT(TRIM(A376&amp;""),FIND(" ",TRIM(A376&amp;""))-1),TRIM(A376&amp;""))))</f>
        <v/>
      </c>
      <c r="AC376" s="32">
        <f>SUBSTITUTE(SUBSTITUTE(SUBSTITUTE(SUBSTITUTE(SUBSTITUTE(SUBSTITUTE(SUBSTITUTE(SUBSTITUTE(SUBSTITUTE(SUBSTITUTE(AB376,"%","%25"),"&amp;","%26"),"#","%23"),"+","%2B"),"=","%3D"),"?","%3F"),CHAR(34),"%22"),CHAR(10),"%0A"),CHAR(13),"")," ","+")</f>
        <v/>
      </c>
      <c r="AD376" s="32">
        <f>IF(OR(AA376="",AB376=""),"",'Start Here'!$B$20&amp;"#p="&amp;SUBSTITUTE(AA376,"+","%2B")&amp;"&amp;n="&amp;AC376&amp;"&amp;m="&amp;SUBSTITUTE('Start Here'!$B$24,"{name}",AC376))</f>
        <v/>
      </c>
      <c r="AE376" s="32">
        <f>LEN(AD376)</f>
        <v/>
      </c>
      <c r="AF376" s="32">
        <f>IF(AND(TRIM(A376&amp;"")&lt;&gt;"",OR(B376="Awaiting",B376="Not sure yet")),1,0)</f>
        <v/>
      </c>
      <c r="AG376" s="32">
        <f>N(AG375)+AF376</f>
        <v/>
      </c>
      <c r="AH376" s="32">
        <f>IF(AF376=1,AG376,"")</f>
        <v/>
      </c>
      <c r="AI376" s="32">
        <f>IF(AND(TRIM(A376&amp;"")&lt;&gt;"",L376&amp;""&lt;&gt;"",L376&amp;""=Seating!$I$3&amp;"",B376&lt;&gt;"Declined"),1,0)</f>
        <v/>
      </c>
      <c r="AJ376" s="32">
        <f>N(AJ375)+AI376</f>
        <v/>
      </c>
      <c r="AK376" s="32">
        <f>IF(AI376=1,AJ376,"")</f>
        <v/>
      </c>
    </row>
    <row r="377">
      <c r="A377" s="10" t="n"/>
      <c r="B377" s="47">
        <f>IF(TRIM(A377&amp;"")="","",IF(W377&lt;&gt;"",W377,IF(I377="","Awaiting",I377)))</f>
        <v/>
      </c>
      <c r="C377" s="60">
        <f>IF(OR(B377="Awaiting",B377="Not sure yet"),IF(AD377&lt;&gt;"",HYPERLINK(AD377,"💬 Remind"),"add mobile"),"")</f>
        <v/>
      </c>
      <c r="D377" s="58" t="n"/>
      <c r="E377" s="10" t="n"/>
      <c r="F377" s="10" t="n"/>
      <c r="G377" s="10" t="n"/>
      <c r="H377" s="10" t="n"/>
      <c r="I377" s="10" t="n"/>
      <c r="J377" s="10" t="n"/>
      <c r="K377" s="10" t="n"/>
      <c r="L377" s="56" t="n"/>
      <c r="M377" s="10" t="n"/>
      <c r="N377" s="12" t="n"/>
      <c r="O377" s="10" t="n"/>
      <c r="P377" s="10" t="n"/>
      <c r="Q377" s="61">
        <f>IF(V377="","",IF(T377="","Covered by "&amp;INDEX('Form Calc'!$B:$B,V377)&amp;"'s reply (same party)","Replied "&amp;TEXT(INDEX('Form Calc'!$A:$A,T377),"mm/dd")&amp;" · "&amp;INDEX('Form Calc'!$H:$H,T377)&amp;" adult(s), "&amp;INDEX('Form Calc'!$I:$I,T377)&amp;" child(ren)"&amp;IF(INDEX('Form Calc'!$K:$K,T377)&lt;&gt;""," · "&amp;INDEX('Form Calc'!$K:$K,T377),"")&amp;IF(INDEX('Form Calc'!$M:$M,T377)&lt;&gt;""," · “"&amp;INDEX('Form Calc'!$M:$M,T377)&amp;"”","")))</f>
        <v/>
      </c>
      <c r="R377" s="32">
        <f>SUBSTITUTE(SUBSTITUTE(SUBSTITUTE(SUBSTITUTE(SUBSTITUTE(SUBSTITUTE(SUBSTITUTE(SUBSTITUTE(D377&amp;""," ",""),"-",""),"(",""),")",""),".",""),"+",""),"/",""),CHAR(160),"")</f>
        <v/>
      </c>
      <c r="S377" s="32">
        <f>IF(LEN(R377)&gt;=10,RIGHT(R377,10),R377)</f>
        <v/>
      </c>
      <c r="T377" s="32">
        <f>IF(TRIM(A377&amp;"")="","",IF(S377&lt;&gt;"",IFERROR(MATCH(S377,'Form Calc'!$P:$P,0),IFERROR(MATCH(TRIM(A377&amp;""),'Form Calc'!$Q:$Q,0),"")),IFERROR(MATCH(TRIM(A377&amp;""),'Form Calc'!$Q:$Q,0),"")))</f>
        <v/>
      </c>
      <c r="U377" s="32">
        <f>IF(AND(T377&lt;&gt;"",TRIM(E377&amp;"")&lt;&gt;""),TRIM(E377&amp;""),"")</f>
        <v/>
      </c>
      <c r="V377" s="32">
        <f>IF(TRIM(A377&amp;"")="","",IF(T377&lt;&gt;"",T377,IF(TRIM(E377&amp;"")="","",IFERROR(INDEX($T$6:$T$505,MATCH(TRIM(E377&amp;""),$U$6:$U$505,0)),""))))</f>
        <v/>
      </c>
      <c r="W377" s="32">
        <f>IF(V377="","",INDEX('Form Calc'!$G:$G,V377))</f>
        <v/>
      </c>
      <c r="X377" s="32">
        <f>IF(TRIM(A377&amp;"")="","",IF(T377&lt;&gt;"",IF(INDEX('Form Calc'!$K:$K,T377)&lt;&gt;"",INDEX('Form Calc'!$K:$K,T377),J377&amp;""),J377&amp;""))</f>
        <v/>
      </c>
      <c r="Y377" s="32">
        <f>IF(TRIM(A377&amp;"")="","",IF(TRIM(D377&amp;"")&lt;&gt;"",TRIM(D377&amp;""),IF(T377&lt;&gt;"",INDEX('Form Calc'!$C:$C,T377)&amp;"","")))</f>
        <v/>
      </c>
      <c r="Z377" s="32">
        <f>SUBSTITUTE(SUBSTITUTE(SUBSTITUTE(SUBSTITUTE(SUBSTITUTE(SUBSTITUTE(SUBSTITUTE(SUBSTITUTE(Y377," ",""),"-",""),"(",""),")",""),".",""),"+",""),"/",""),CHAR(160),"")</f>
        <v/>
      </c>
      <c r="AA377" s="32">
        <f>IF(Z377="","",IF(LEN(Z377)=10,"+1"&amp;Z377,IF(AND(LEN(Z377)=11,LEFT(Z377,1)="1"),"+"&amp;Z377,IF(LEFT(Y377,1)="+","+"&amp;Z377,Z377))))</f>
        <v/>
      </c>
      <c r="AB377" s="32">
        <f>IF(TRIM(A377&amp;"")="","",IF(TRIM(M377&amp;"")&lt;&gt;"",TRIM(M377&amp;""),IFERROR(LEFT(TRIM(A377&amp;""),FIND(" ",TRIM(A377&amp;""))-1),TRIM(A377&amp;""))))</f>
        <v/>
      </c>
      <c r="AC377" s="32">
        <f>SUBSTITUTE(SUBSTITUTE(SUBSTITUTE(SUBSTITUTE(SUBSTITUTE(SUBSTITUTE(SUBSTITUTE(SUBSTITUTE(SUBSTITUTE(SUBSTITUTE(AB377,"%","%25"),"&amp;","%26"),"#","%23"),"+","%2B"),"=","%3D"),"?","%3F"),CHAR(34),"%22"),CHAR(10),"%0A"),CHAR(13),"")," ","+")</f>
        <v/>
      </c>
      <c r="AD377" s="32">
        <f>IF(OR(AA377="",AB377=""),"",'Start Here'!$B$20&amp;"#p="&amp;SUBSTITUTE(AA377,"+","%2B")&amp;"&amp;n="&amp;AC377&amp;"&amp;m="&amp;SUBSTITUTE('Start Here'!$B$24,"{name}",AC377))</f>
        <v/>
      </c>
      <c r="AE377" s="32">
        <f>LEN(AD377)</f>
        <v/>
      </c>
      <c r="AF377" s="32">
        <f>IF(AND(TRIM(A377&amp;"")&lt;&gt;"",OR(B377="Awaiting",B377="Not sure yet")),1,0)</f>
        <v/>
      </c>
      <c r="AG377" s="32">
        <f>N(AG376)+AF377</f>
        <v/>
      </c>
      <c r="AH377" s="32">
        <f>IF(AF377=1,AG377,"")</f>
        <v/>
      </c>
      <c r="AI377" s="32">
        <f>IF(AND(TRIM(A377&amp;"")&lt;&gt;"",L377&amp;""&lt;&gt;"",L377&amp;""=Seating!$I$3&amp;"",B377&lt;&gt;"Declined"),1,0)</f>
        <v/>
      </c>
      <c r="AJ377" s="32">
        <f>N(AJ376)+AI377</f>
        <v/>
      </c>
      <c r="AK377" s="32">
        <f>IF(AI377=1,AJ377,"")</f>
        <v/>
      </c>
    </row>
    <row r="378">
      <c r="A378" s="10" t="n"/>
      <c r="B378" s="47">
        <f>IF(TRIM(A378&amp;"")="","",IF(W378&lt;&gt;"",W378,IF(I378="","Awaiting",I378)))</f>
        <v/>
      </c>
      <c r="C378" s="60">
        <f>IF(OR(B378="Awaiting",B378="Not sure yet"),IF(AD378&lt;&gt;"",HYPERLINK(AD378,"💬 Remind"),"add mobile"),"")</f>
        <v/>
      </c>
      <c r="D378" s="58" t="n"/>
      <c r="E378" s="10" t="n"/>
      <c r="F378" s="10" t="n"/>
      <c r="G378" s="10" t="n"/>
      <c r="H378" s="10" t="n"/>
      <c r="I378" s="10" t="n"/>
      <c r="J378" s="10" t="n"/>
      <c r="K378" s="10" t="n"/>
      <c r="L378" s="56" t="n"/>
      <c r="M378" s="10" t="n"/>
      <c r="N378" s="12" t="n"/>
      <c r="O378" s="10" t="n"/>
      <c r="P378" s="10" t="n"/>
      <c r="Q378" s="61">
        <f>IF(V378="","",IF(T378="","Covered by "&amp;INDEX('Form Calc'!$B:$B,V378)&amp;"'s reply (same party)","Replied "&amp;TEXT(INDEX('Form Calc'!$A:$A,T378),"mm/dd")&amp;" · "&amp;INDEX('Form Calc'!$H:$H,T378)&amp;" adult(s), "&amp;INDEX('Form Calc'!$I:$I,T378)&amp;" child(ren)"&amp;IF(INDEX('Form Calc'!$K:$K,T378)&lt;&gt;""," · "&amp;INDEX('Form Calc'!$K:$K,T378),"")&amp;IF(INDEX('Form Calc'!$M:$M,T378)&lt;&gt;""," · “"&amp;INDEX('Form Calc'!$M:$M,T378)&amp;"”","")))</f>
        <v/>
      </c>
      <c r="R378" s="32">
        <f>SUBSTITUTE(SUBSTITUTE(SUBSTITUTE(SUBSTITUTE(SUBSTITUTE(SUBSTITUTE(SUBSTITUTE(SUBSTITUTE(D378&amp;""," ",""),"-",""),"(",""),")",""),".",""),"+",""),"/",""),CHAR(160),"")</f>
        <v/>
      </c>
      <c r="S378" s="32">
        <f>IF(LEN(R378)&gt;=10,RIGHT(R378,10),R378)</f>
        <v/>
      </c>
      <c r="T378" s="32">
        <f>IF(TRIM(A378&amp;"")="","",IF(S378&lt;&gt;"",IFERROR(MATCH(S378,'Form Calc'!$P:$P,0),IFERROR(MATCH(TRIM(A378&amp;""),'Form Calc'!$Q:$Q,0),"")),IFERROR(MATCH(TRIM(A378&amp;""),'Form Calc'!$Q:$Q,0),"")))</f>
        <v/>
      </c>
      <c r="U378" s="32">
        <f>IF(AND(T378&lt;&gt;"",TRIM(E378&amp;"")&lt;&gt;""),TRIM(E378&amp;""),"")</f>
        <v/>
      </c>
      <c r="V378" s="32">
        <f>IF(TRIM(A378&amp;"")="","",IF(T378&lt;&gt;"",T378,IF(TRIM(E378&amp;"")="","",IFERROR(INDEX($T$6:$T$505,MATCH(TRIM(E378&amp;""),$U$6:$U$505,0)),""))))</f>
        <v/>
      </c>
      <c r="W378" s="32">
        <f>IF(V378="","",INDEX('Form Calc'!$G:$G,V378))</f>
        <v/>
      </c>
      <c r="X378" s="32">
        <f>IF(TRIM(A378&amp;"")="","",IF(T378&lt;&gt;"",IF(INDEX('Form Calc'!$K:$K,T378)&lt;&gt;"",INDEX('Form Calc'!$K:$K,T378),J378&amp;""),J378&amp;""))</f>
        <v/>
      </c>
      <c r="Y378" s="32">
        <f>IF(TRIM(A378&amp;"")="","",IF(TRIM(D378&amp;"")&lt;&gt;"",TRIM(D378&amp;""),IF(T378&lt;&gt;"",INDEX('Form Calc'!$C:$C,T378)&amp;"","")))</f>
        <v/>
      </c>
      <c r="Z378" s="32">
        <f>SUBSTITUTE(SUBSTITUTE(SUBSTITUTE(SUBSTITUTE(SUBSTITUTE(SUBSTITUTE(SUBSTITUTE(SUBSTITUTE(Y378," ",""),"-",""),"(",""),")",""),".",""),"+",""),"/",""),CHAR(160),"")</f>
        <v/>
      </c>
      <c r="AA378" s="32">
        <f>IF(Z378="","",IF(LEN(Z378)=10,"+1"&amp;Z378,IF(AND(LEN(Z378)=11,LEFT(Z378,1)="1"),"+"&amp;Z378,IF(LEFT(Y378,1)="+","+"&amp;Z378,Z378))))</f>
        <v/>
      </c>
      <c r="AB378" s="32">
        <f>IF(TRIM(A378&amp;"")="","",IF(TRIM(M378&amp;"")&lt;&gt;"",TRIM(M378&amp;""),IFERROR(LEFT(TRIM(A378&amp;""),FIND(" ",TRIM(A378&amp;""))-1),TRIM(A378&amp;""))))</f>
        <v/>
      </c>
      <c r="AC378" s="32">
        <f>SUBSTITUTE(SUBSTITUTE(SUBSTITUTE(SUBSTITUTE(SUBSTITUTE(SUBSTITUTE(SUBSTITUTE(SUBSTITUTE(SUBSTITUTE(SUBSTITUTE(AB378,"%","%25"),"&amp;","%26"),"#","%23"),"+","%2B"),"=","%3D"),"?","%3F"),CHAR(34),"%22"),CHAR(10),"%0A"),CHAR(13),"")," ","+")</f>
        <v/>
      </c>
      <c r="AD378" s="32">
        <f>IF(OR(AA378="",AB378=""),"",'Start Here'!$B$20&amp;"#p="&amp;SUBSTITUTE(AA378,"+","%2B")&amp;"&amp;n="&amp;AC378&amp;"&amp;m="&amp;SUBSTITUTE('Start Here'!$B$24,"{name}",AC378))</f>
        <v/>
      </c>
      <c r="AE378" s="32">
        <f>LEN(AD378)</f>
        <v/>
      </c>
      <c r="AF378" s="32">
        <f>IF(AND(TRIM(A378&amp;"")&lt;&gt;"",OR(B378="Awaiting",B378="Not sure yet")),1,0)</f>
        <v/>
      </c>
      <c r="AG378" s="32">
        <f>N(AG377)+AF378</f>
        <v/>
      </c>
      <c r="AH378" s="32">
        <f>IF(AF378=1,AG378,"")</f>
        <v/>
      </c>
      <c r="AI378" s="32">
        <f>IF(AND(TRIM(A378&amp;"")&lt;&gt;"",L378&amp;""&lt;&gt;"",L378&amp;""=Seating!$I$3&amp;"",B378&lt;&gt;"Declined"),1,0)</f>
        <v/>
      </c>
      <c r="AJ378" s="32">
        <f>N(AJ377)+AI378</f>
        <v/>
      </c>
      <c r="AK378" s="32">
        <f>IF(AI378=1,AJ378,"")</f>
        <v/>
      </c>
    </row>
    <row r="379">
      <c r="A379" s="10" t="n"/>
      <c r="B379" s="47">
        <f>IF(TRIM(A379&amp;"")="","",IF(W379&lt;&gt;"",W379,IF(I379="","Awaiting",I379)))</f>
        <v/>
      </c>
      <c r="C379" s="60">
        <f>IF(OR(B379="Awaiting",B379="Not sure yet"),IF(AD379&lt;&gt;"",HYPERLINK(AD379,"💬 Remind"),"add mobile"),"")</f>
        <v/>
      </c>
      <c r="D379" s="58" t="n"/>
      <c r="E379" s="10" t="n"/>
      <c r="F379" s="10" t="n"/>
      <c r="G379" s="10" t="n"/>
      <c r="H379" s="10" t="n"/>
      <c r="I379" s="10" t="n"/>
      <c r="J379" s="10" t="n"/>
      <c r="K379" s="10" t="n"/>
      <c r="L379" s="56" t="n"/>
      <c r="M379" s="10" t="n"/>
      <c r="N379" s="12" t="n"/>
      <c r="O379" s="10" t="n"/>
      <c r="P379" s="10" t="n"/>
      <c r="Q379" s="61">
        <f>IF(V379="","",IF(T379="","Covered by "&amp;INDEX('Form Calc'!$B:$B,V379)&amp;"'s reply (same party)","Replied "&amp;TEXT(INDEX('Form Calc'!$A:$A,T379),"mm/dd")&amp;" · "&amp;INDEX('Form Calc'!$H:$H,T379)&amp;" adult(s), "&amp;INDEX('Form Calc'!$I:$I,T379)&amp;" child(ren)"&amp;IF(INDEX('Form Calc'!$K:$K,T379)&lt;&gt;""," · "&amp;INDEX('Form Calc'!$K:$K,T379),"")&amp;IF(INDEX('Form Calc'!$M:$M,T379)&lt;&gt;""," · “"&amp;INDEX('Form Calc'!$M:$M,T379)&amp;"”","")))</f>
        <v/>
      </c>
      <c r="R379" s="32">
        <f>SUBSTITUTE(SUBSTITUTE(SUBSTITUTE(SUBSTITUTE(SUBSTITUTE(SUBSTITUTE(SUBSTITUTE(SUBSTITUTE(D379&amp;""," ",""),"-",""),"(",""),")",""),".",""),"+",""),"/",""),CHAR(160),"")</f>
        <v/>
      </c>
      <c r="S379" s="32">
        <f>IF(LEN(R379)&gt;=10,RIGHT(R379,10),R379)</f>
        <v/>
      </c>
      <c r="T379" s="32">
        <f>IF(TRIM(A379&amp;"")="","",IF(S379&lt;&gt;"",IFERROR(MATCH(S379,'Form Calc'!$P:$P,0),IFERROR(MATCH(TRIM(A379&amp;""),'Form Calc'!$Q:$Q,0),"")),IFERROR(MATCH(TRIM(A379&amp;""),'Form Calc'!$Q:$Q,0),"")))</f>
        <v/>
      </c>
      <c r="U379" s="32">
        <f>IF(AND(T379&lt;&gt;"",TRIM(E379&amp;"")&lt;&gt;""),TRIM(E379&amp;""),"")</f>
        <v/>
      </c>
      <c r="V379" s="32">
        <f>IF(TRIM(A379&amp;"")="","",IF(T379&lt;&gt;"",T379,IF(TRIM(E379&amp;"")="","",IFERROR(INDEX($T$6:$T$505,MATCH(TRIM(E379&amp;""),$U$6:$U$505,0)),""))))</f>
        <v/>
      </c>
      <c r="W379" s="32">
        <f>IF(V379="","",INDEX('Form Calc'!$G:$G,V379))</f>
        <v/>
      </c>
      <c r="X379" s="32">
        <f>IF(TRIM(A379&amp;"")="","",IF(T379&lt;&gt;"",IF(INDEX('Form Calc'!$K:$K,T379)&lt;&gt;"",INDEX('Form Calc'!$K:$K,T379),J379&amp;""),J379&amp;""))</f>
        <v/>
      </c>
      <c r="Y379" s="32">
        <f>IF(TRIM(A379&amp;"")="","",IF(TRIM(D379&amp;"")&lt;&gt;"",TRIM(D379&amp;""),IF(T379&lt;&gt;"",INDEX('Form Calc'!$C:$C,T379)&amp;"","")))</f>
        <v/>
      </c>
      <c r="Z379" s="32">
        <f>SUBSTITUTE(SUBSTITUTE(SUBSTITUTE(SUBSTITUTE(SUBSTITUTE(SUBSTITUTE(SUBSTITUTE(SUBSTITUTE(Y379," ",""),"-",""),"(",""),")",""),".",""),"+",""),"/",""),CHAR(160),"")</f>
        <v/>
      </c>
      <c r="AA379" s="32">
        <f>IF(Z379="","",IF(LEN(Z379)=10,"+1"&amp;Z379,IF(AND(LEN(Z379)=11,LEFT(Z379,1)="1"),"+"&amp;Z379,IF(LEFT(Y379,1)="+","+"&amp;Z379,Z379))))</f>
        <v/>
      </c>
      <c r="AB379" s="32">
        <f>IF(TRIM(A379&amp;"")="","",IF(TRIM(M379&amp;"")&lt;&gt;"",TRIM(M379&amp;""),IFERROR(LEFT(TRIM(A379&amp;""),FIND(" ",TRIM(A379&amp;""))-1),TRIM(A379&amp;""))))</f>
        <v/>
      </c>
      <c r="AC379" s="32">
        <f>SUBSTITUTE(SUBSTITUTE(SUBSTITUTE(SUBSTITUTE(SUBSTITUTE(SUBSTITUTE(SUBSTITUTE(SUBSTITUTE(SUBSTITUTE(SUBSTITUTE(AB379,"%","%25"),"&amp;","%26"),"#","%23"),"+","%2B"),"=","%3D"),"?","%3F"),CHAR(34),"%22"),CHAR(10),"%0A"),CHAR(13),"")," ","+")</f>
        <v/>
      </c>
      <c r="AD379" s="32">
        <f>IF(OR(AA379="",AB379=""),"",'Start Here'!$B$20&amp;"#p="&amp;SUBSTITUTE(AA379,"+","%2B")&amp;"&amp;n="&amp;AC379&amp;"&amp;m="&amp;SUBSTITUTE('Start Here'!$B$24,"{name}",AC379))</f>
        <v/>
      </c>
      <c r="AE379" s="32">
        <f>LEN(AD379)</f>
        <v/>
      </c>
      <c r="AF379" s="32">
        <f>IF(AND(TRIM(A379&amp;"")&lt;&gt;"",OR(B379="Awaiting",B379="Not sure yet")),1,0)</f>
        <v/>
      </c>
      <c r="AG379" s="32">
        <f>N(AG378)+AF379</f>
        <v/>
      </c>
      <c r="AH379" s="32">
        <f>IF(AF379=1,AG379,"")</f>
        <v/>
      </c>
      <c r="AI379" s="32">
        <f>IF(AND(TRIM(A379&amp;"")&lt;&gt;"",L379&amp;""&lt;&gt;"",L379&amp;""=Seating!$I$3&amp;"",B379&lt;&gt;"Declined"),1,0)</f>
        <v/>
      </c>
      <c r="AJ379" s="32">
        <f>N(AJ378)+AI379</f>
        <v/>
      </c>
      <c r="AK379" s="32">
        <f>IF(AI379=1,AJ379,"")</f>
        <v/>
      </c>
    </row>
    <row r="380">
      <c r="A380" s="10" t="n"/>
      <c r="B380" s="47">
        <f>IF(TRIM(A380&amp;"")="","",IF(W380&lt;&gt;"",W380,IF(I380="","Awaiting",I380)))</f>
        <v/>
      </c>
      <c r="C380" s="60">
        <f>IF(OR(B380="Awaiting",B380="Not sure yet"),IF(AD380&lt;&gt;"",HYPERLINK(AD380,"💬 Remind"),"add mobile"),"")</f>
        <v/>
      </c>
      <c r="D380" s="58" t="n"/>
      <c r="E380" s="10" t="n"/>
      <c r="F380" s="10" t="n"/>
      <c r="G380" s="10" t="n"/>
      <c r="H380" s="10" t="n"/>
      <c r="I380" s="10" t="n"/>
      <c r="J380" s="10" t="n"/>
      <c r="K380" s="10" t="n"/>
      <c r="L380" s="56" t="n"/>
      <c r="M380" s="10" t="n"/>
      <c r="N380" s="12" t="n"/>
      <c r="O380" s="10" t="n"/>
      <c r="P380" s="10" t="n"/>
      <c r="Q380" s="61">
        <f>IF(V380="","",IF(T380="","Covered by "&amp;INDEX('Form Calc'!$B:$B,V380)&amp;"'s reply (same party)","Replied "&amp;TEXT(INDEX('Form Calc'!$A:$A,T380),"mm/dd")&amp;" · "&amp;INDEX('Form Calc'!$H:$H,T380)&amp;" adult(s), "&amp;INDEX('Form Calc'!$I:$I,T380)&amp;" child(ren)"&amp;IF(INDEX('Form Calc'!$K:$K,T380)&lt;&gt;""," · "&amp;INDEX('Form Calc'!$K:$K,T380),"")&amp;IF(INDEX('Form Calc'!$M:$M,T380)&lt;&gt;""," · “"&amp;INDEX('Form Calc'!$M:$M,T380)&amp;"”","")))</f>
        <v/>
      </c>
      <c r="R380" s="32">
        <f>SUBSTITUTE(SUBSTITUTE(SUBSTITUTE(SUBSTITUTE(SUBSTITUTE(SUBSTITUTE(SUBSTITUTE(SUBSTITUTE(D380&amp;""," ",""),"-",""),"(",""),")",""),".",""),"+",""),"/",""),CHAR(160),"")</f>
        <v/>
      </c>
      <c r="S380" s="32">
        <f>IF(LEN(R380)&gt;=10,RIGHT(R380,10),R380)</f>
        <v/>
      </c>
      <c r="T380" s="32">
        <f>IF(TRIM(A380&amp;"")="","",IF(S380&lt;&gt;"",IFERROR(MATCH(S380,'Form Calc'!$P:$P,0),IFERROR(MATCH(TRIM(A380&amp;""),'Form Calc'!$Q:$Q,0),"")),IFERROR(MATCH(TRIM(A380&amp;""),'Form Calc'!$Q:$Q,0),"")))</f>
        <v/>
      </c>
      <c r="U380" s="32">
        <f>IF(AND(T380&lt;&gt;"",TRIM(E380&amp;"")&lt;&gt;""),TRIM(E380&amp;""),"")</f>
        <v/>
      </c>
      <c r="V380" s="32">
        <f>IF(TRIM(A380&amp;"")="","",IF(T380&lt;&gt;"",T380,IF(TRIM(E380&amp;"")="","",IFERROR(INDEX($T$6:$T$505,MATCH(TRIM(E380&amp;""),$U$6:$U$505,0)),""))))</f>
        <v/>
      </c>
      <c r="W380" s="32">
        <f>IF(V380="","",INDEX('Form Calc'!$G:$G,V380))</f>
        <v/>
      </c>
      <c r="X380" s="32">
        <f>IF(TRIM(A380&amp;"")="","",IF(T380&lt;&gt;"",IF(INDEX('Form Calc'!$K:$K,T380)&lt;&gt;"",INDEX('Form Calc'!$K:$K,T380),J380&amp;""),J380&amp;""))</f>
        <v/>
      </c>
      <c r="Y380" s="32">
        <f>IF(TRIM(A380&amp;"")="","",IF(TRIM(D380&amp;"")&lt;&gt;"",TRIM(D380&amp;""),IF(T380&lt;&gt;"",INDEX('Form Calc'!$C:$C,T380)&amp;"","")))</f>
        <v/>
      </c>
      <c r="Z380" s="32">
        <f>SUBSTITUTE(SUBSTITUTE(SUBSTITUTE(SUBSTITUTE(SUBSTITUTE(SUBSTITUTE(SUBSTITUTE(SUBSTITUTE(Y380," ",""),"-",""),"(",""),")",""),".",""),"+",""),"/",""),CHAR(160),"")</f>
        <v/>
      </c>
      <c r="AA380" s="32">
        <f>IF(Z380="","",IF(LEN(Z380)=10,"+1"&amp;Z380,IF(AND(LEN(Z380)=11,LEFT(Z380,1)="1"),"+"&amp;Z380,IF(LEFT(Y380,1)="+","+"&amp;Z380,Z380))))</f>
        <v/>
      </c>
      <c r="AB380" s="32">
        <f>IF(TRIM(A380&amp;"")="","",IF(TRIM(M380&amp;"")&lt;&gt;"",TRIM(M380&amp;""),IFERROR(LEFT(TRIM(A380&amp;""),FIND(" ",TRIM(A380&amp;""))-1),TRIM(A380&amp;""))))</f>
        <v/>
      </c>
      <c r="AC380" s="32">
        <f>SUBSTITUTE(SUBSTITUTE(SUBSTITUTE(SUBSTITUTE(SUBSTITUTE(SUBSTITUTE(SUBSTITUTE(SUBSTITUTE(SUBSTITUTE(SUBSTITUTE(AB380,"%","%25"),"&amp;","%26"),"#","%23"),"+","%2B"),"=","%3D"),"?","%3F"),CHAR(34),"%22"),CHAR(10),"%0A"),CHAR(13),"")," ","+")</f>
        <v/>
      </c>
      <c r="AD380" s="32">
        <f>IF(OR(AA380="",AB380=""),"",'Start Here'!$B$20&amp;"#p="&amp;SUBSTITUTE(AA380,"+","%2B")&amp;"&amp;n="&amp;AC380&amp;"&amp;m="&amp;SUBSTITUTE('Start Here'!$B$24,"{name}",AC380))</f>
        <v/>
      </c>
      <c r="AE380" s="32">
        <f>LEN(AD380)</f>
        <v/>
      </c>
      <c r="AF380" s="32">
        <f>IF(AND(TRIM(A380&amp;"")&lt;&gt;"",OR(B380="Awaiting",B380="Not sure yet")),1,0)</f>
        <v/>
      </c>
      <c r="AG380" s="32">
        <f>N(AG379)+AF380</f>
        <v/>
      </c>
      <c r="AH380" s="32">
        <f>IF(AF380=1,AG380,"")</f>
        <v/>
      </c>
      <c r="AI380" s="32">
        <f>IF(AND(TRIM(A380&amp;"")&lt;&gt;"",L380&amp;""&lt;&gt;"",L380&amp;""=Seating!$I$3&amp;"",B380&lt;&gt;"Declined"),1,0)</f>
        <v/>
      </c>
      <c r="AJ380" s="32">
        <f>N(AJ379)+AI380</f>
        <v/>
      </c>
      <c r="AK380" s="32">
        <f>IF(AI380=1,AJ380,"")</f>
        <v/>
      </c>
    </row>
    <row r="381">
      <c r="A381" s="10" t="n"/>
      <c r="B381" s="47">
        <f>IF(TRIM(A381&amp;"")="","",IF(W381&lt;&gt;"",W381,IF(I381="","Awaiting",I381)))</f>
        <v/>
      </c>
      <c r="C381" s="60">
        <f>IF(OR(B381="Awaiting",B381="Not sure yet"),IF(AD381&lt;&gt;"",HYPERLINK(AD381,"💬 Remind"),"add mobile"),"")</f>
        <v/>
      </c>
      <c r="D381" s="58" t="n"/>
      <c r="E381" s="10" t="n"/>
      <c r="F381" s="10" t="n"/>
      <c r="G381" s="10" t="n"/>
      <c r="H381" s="10" t="n"/>
      <c r="I381" s="10" t="n"/>
      <c r="J381" s="10" t="n"/>
      <c r="K381" s="10" t="n"/>
      <c r="L381" s="56" t="n"/>
      <c r="M381" s="10" t="n"/>
      <c r="N381" s="12" t="n"/>
      <c r="O381" s="10" t="n"/>
      <c r="P381" s="10" t="n"/>
      <c r="Q381" s="61">
        <f>IF(V381="","",IF(T381="","Covered by "&amp;INDEX('Form Calc'!$B:$B,V381)&amp;"'s reply (same party)","Replied "&amp;TEXT(INDEX('Form Calc'!$A:$A,T381),"mm/dd")&amp;" · "&amp;INDEX('Form Calc'!$H:$H,T381)&amp;" adult(s), "&amp;INDEX('Form Calc'!$I:$I,T381)&amp;" child(ren)"&amp;IF(INDEX('Form Calc'!$K:$K,T381)&lt;&gt;""," · "&amp;INDEX('Form Calc'!$K:$K,T381),"")&amp;IF(INDEX('Form Calc'!$M:$M,T381)&lt;&gt;""," · “"&amp;INDEX('Form Calc'!$M:$M,T381)&amp;"”","")))</f>
        <v/>
      </c>
      <c r="R381" s="32">
        <f>SUBSTITUTE(SUBSTITUTE(SUBSTITUTE(SUBSTITUTE(SUBSTITUTE(SUBSTITUTE(SUBSTITUTE(SUBSTITUTE(D381&amp;""," ",""),"-",""),"(",""),")",""),".",""),"+",""),"/",""),CHAR(160),"")</f>
        <v/>
      </c>
      <c r="S381" s="32">
        <f>IF(LEN(R381)&gt;=10,RIGHT(R381,10),R381)</f>
        <v/>
      </c>
      <c r="T381" s="32">
        <f>IF(TRIM(A381&amp;"")="","",IF(S381&lt;&gt;"",IFERROR(MATCH(S381,'Form Calc'!$P:$P,0),IFERROR(MATCH(TRIM(A381&amp;""),'Form Calc'!$Q:$Q,0),"")),IFERROR(MATCH(TRIM(A381&amp;""),'Form Calc'!$Q:$Q,0),"")))</f>
        <v/>
      </c>
      <c r="U381" s="32">
        <f>IF(AND(T381&lt;&gt;"",TRIM(E381&amp;"")&lt;&gt;""),TRIM(E381&amp;""),"")</f>
        <v/>
      </c>
      <c r="V381" s="32">
        <f>IF(TRIM(A381&amp;"")="","",IF(T381&lt;&gt;"",T381,IF(TRIM(E381&amp;"")="","",IFERROR(INDEX($T$6:$T$505,MATCH(TRIM(E381&amp;""),$U$6:$U$505,0)),""))))</f>
        <v/>
      </c>
      <c r="W381" s="32">
        <f>IF(V381="","",INDEX('Form Calc'!$G:$G,V381))</f>
        <v/>
      </c>
      <c r="X381" s="32">
        <f>IF(TRIM(A381&amp;"")="","",IF(T381&lt;&gt;"",IF(INDEX('Form Calc'!$K:$K,T381)&lt;&gt;"",INDEX('Form Calc'!$K:$K,T381),J381&amp;""),J381&amp;""))</f>
        <v/>
      </c>
      <c r="Y381" s="32">
        <f>IF(TRIM(A381&amp;"")="","",IF(TRIM(D381&amp;"")&lt;&gt;"",TRIM(D381&amp;""),IF(T381&lt;&gt;"",INDEX('Form Calc'!$C:$C,T381)&amp;"","")))</f>
        <v/>
      </c>
      <c r="Z381" s="32">
        <f>SUBSTITUTE(SUBSTITUTE(SUBSTITUTE(SUBSTITUTE(SUBSTITUTE(SUBSTITUTE(SUBSTITUTE(SUBSTITUTE(Y381," ",""),"-",""),"(",""),")",""),".",""),"+",""),"/",""),CHAR(160),"")</f>
        <v/>
      </c>
      <c r="AA381" s="32">
        <f>IF(Z381="","",IF(LEN(Z381)=10,"+1"&amp;Z381,IF(AND(LEN(Z381)=11,LEFT(Z381,1)="1"),"+"&amp;Z381,IF(LEFT(Y381,1)="+","+"&amp;Z381,Z381))))</f>
        <v/>
      </c>
      <c r="AB381" s="32">
        <f>IF(TRIM(A381&amp;"")="","",IF(TRIM(M381&amp;"")&lt;&gt;"",TRIM(M381&amp;""),IFERROR(LEFT(TRIM(A381&amp;""),FIND(" ",TRIM(A381&amp;""))-1),TRIM(A381&amp;""))))</f>
        <v/>
      </c>
      <c r="AC381" s="32">
        <f>SUBSTITUTE(SUBSTITUTE(SUBSTITUTE(SUBSTITUTE(SUBSTITUTE(SUBSTITUTE(SUBSTITUTE(SUBSTITUTE(SUBSTITUTE(SUBSTITUTE(AB381,"%","%25"),"&amp;","%26"),"#","%23"),"+","%2B"),"=","%3D"),"?","%3F"),CHAR(34),"%22"),CHAR(10),"%0A"),CHAR(13),"")," ","+")</f>
        <v/>
      </c>
      <c r="AD381" s="32">
        <f>IF(OR(AA381="",AB381=""),"",'Start Here'!$B$20&amp;"#p="&amp;SUBSTITUTE(AA381,"+","%2B")&amp;"&amp;n="&amp;AC381&amp;"&amp;m="&amp;SUBSTITUTE('Start Here'!$B$24,"{name}",AC381))</f>
        <v/>
      </c>
      <c r="AE381" s="32">
        <f>LEN(AD381)</f>
        <v/>
      </c>
      <c r="AF381" s="32">
        <f>IF(AND(TRIM(A381&amp;"")&lt;&gt;"",OR(B381="Awaiting",B381="Not sure yet")),1,0)</f>
        <v/>
      </c>
      <c r="AG381" s="32">
        <f>N(AG380)+AF381</f>
        <v/>
      </c>
      <c r="AH381" s="32">
        <f>IF(AF381=1,AG381,"")</f>
        <v/>
      </c>
      <c r="AI381" s="32">
        <f>IF(AND(TRIM(A381&amp;"")&lt;&gt;"",L381&amp;""&lt;&gt;"",L381&amp;""=Seating!$I$3&amp;"",B381&lt;&gt;"Declined"),1,0)</f>
        <v/>
      </c>
      <c r="AJ381" s="32">
        <f>N(AJ380)+AI381</f>
        <v/>
      </c>
      <c r="AK381" s="32">
        <f>IF(AI381=1,AJ381,"")</f>
        <v/>
      </c>
    </row>
    <row r="382">
      <c r="A382" s="10" t="n"/>
      <c r="B382" s="47">
        <f>IF(TRIM(A382&amp;"")="","",IF(W382&lt;&gt;"",W382,IF(I382="","Awaiting",I382)))</f>
        <v/>
      </c>
      <c r="C382" s="60">
        <f>IF(OR(B382="Awaiting",B382="Not sure yet"),IF(AD382&lt;&gt;"",HYPERLINK(AD382,"💬 Remind"),"add mobile"),"")</f>
        <v/>
      </c>
      <c r="D382" s="58" t="n"/>
      <c r="E382" s="10" t="n"/>
      <c r="F382" s="10" t="n"/>
      <c r="G382" s="10" t="n"/>
      <c r="H382" s="10" t="n"/>
      <c r="I382" s="10" t="n"/>
      <c r="J382" s="10" t="n"/>
      <c r="K382" s="10" t="n"/>
      <c r="L382" s="56" t="n"/>
      <c r="M382" s="10" t="n"/>
      <c r="N382" s="12" t="n"/>
      <c r="O382" s="10" t="n"/>
      <c r="P382" s="10" t="n"/>
      <c r="Q382" s="61">
        <f>IF(V382="","",IF(T382="","Covered by "&amp;INDEX('Form Calc'!$B:$B,V382)&amp;"'s reply (same party)","Replied "&amp;TEXT(INDEX('Form Calc'!$A:$A,T382),"mm/dd")&amp;" · "&amp;INDEX('Form Calc'!$H:$H,T382)&amp;" adult(s), "&amp;INDEX('Form Calc'!$I:$I,T382)&amp;" child(ren)"&amp;IF(INDEX('Form Calc'!$K:$K,T382)&lt;&gt;""," · "&amp;INDEX('Form Calc'!$K:$K,T382),"")&amp;IF(INDEX('Form Calc'!$M:$M,T382)&lt;&gt;""," · “"&amp;INDEX('Form Calc'!$M:$M,T382)&amp;"”","")))</f>
        <v/>
      </c>
      <c r="R382" s="32">
        <f>SUBSTITUTE(SUBSTITUTE(SUBSTITUTE(SUBSTITUTE(SUBSTITUTE(SUBSTITUTE(SUBSTITUTE(SUBSTITUTE(D382&amp;""," ",""),"-",""),"(",""),")",""),".",""),"+",""),"/",""),CHAR(160),"")</f>
        <v/>
      </c>
      <c r="S382" s="32">
        <f>IF(LEN(R382)&gt;=10,RIGHT(R382,10),R382)</f>
        <v/>
      </c>
      <c r="T382" s="32">
        <f>IF(TRIM(A382&amp;"")="","",IF(S382&lt;&gt;"",IFERROR(MATCH(S382,'Form Calc'!$P:$P,0),IFERROR(MATCH(TRIM(A382&amp;""),'Form Calc'!$Q:$Q,0),"")),IFERROR(MATCH(TRIM(A382&amp;""),'Form Calc'!$Q:$Q,0),"")))</f>
        <v/>
      </c>
      <c r="U382" s="32">
        <f>IF(AND(T382&lt;&gt;"",TRIM(E382&amp;"")&lt;&gt;""),TRIM(E382&amp;""),"")</f>
        <v/>
      </c>
      <c r="V382" s="32">
        <f>IF(TRIM(A382&amp;"")="","",IF(T382&lt;&gt;"",T382,IF(TRIM(E382&amp;"")="","",IFERROR(INDEX($T$6:$T$505,MATCH(TRIM(E382&amp;""),$U$6:$U$505,0)),""))))</f>
        <v/>
      </c>
      <c r="W382" s="32">
        <f>IF(V382="","",INDEX('Form Calc'!$G:$G,V382))</f>
        <v/>
      </c>
      <c r="X382" s="32">
        <f>IF(TRIM(A382&amp;"")="","",IF(T382&lt;&gt;"",IF(INDEX('Form Calc'!$K:$K,T382)&lt;&gt;"",INDEX('Form Calc'!$K:$K,T382),J382&amp;""),J382&amp;""))</f>
        <v/>
      </c>
      <c r="Y382" s="32">
        <f>IF(TRIM(A382&amp;"")="","",IF(TRIM(D382&amp;"")&lt;&gt;"",TRIM(D382&amp;""),IF(T382&lt;&gt;"",INDEX('Form Calc'!$C:$C,T382)&amp;"","")))</f>
        <v/>
      </c>
      <c r="Z382" s="32">
        <f>SUBSTITUTE(SUBSTITUTE(SUBSTITUTE(SUBSTITUTE(SUBSTITUTE(SUBSTITUTE(SUBSTITUTE(SUBSTITUTE(Y382," ",""),"-",""),"(",""),")",""),".",""),"+",""),"/",""),CHAR(160),"")</f>
        <v/>
      </c>
      <c r="AA382" s="32">
        <f>IF(Z382="","",IF(LEN(Z382)=10,"+1"&amp;Z382,IF(AND(LEN(Z382)=11,LEFT(Z382,1)="1"),"+"&amp;Z382,IF(LEFT(Y382,1)="+","+"&amp;Z382,Z382))))</f>
        <v/>
      </c>
      <c r="AB382" s="32">
        <f>IF(TRIM(A382&amp;"")="","",IF(TRIM(M382&amp;"")&lt;&gt;"",TRIM(M382&amp;""),IFERROR(LEFT(TRIM(A382&amp;""),FIND(" ",TRIM(A382&amp;""))-1),TRIM(A382&amp;""))))</f>
        <v/>
      </c>
      <c r="AC382" s="32">
        <f>SUBSTITUTE(SUBSTITUTE(SUBSTITUTE(SUBSTITUTE(SUBSTITUTE(SUBSTITUTE(SUBSTITUTE(SUBSTITUTE(SUBSTITUTE(SUBSTITUTE(AB382,"%","%25"),"&amp;","%26"),"#","%23"),"+","%2B"),"=","%3D"),"?","%3F"),CHAR(34),"%22"),CHAR(10),"%0A"),CHAR(13),"")," ","+")</f>
        <v/>
      </c>
      <c r="AD382" s="32">
        <f>IF(OR(AA382="",AB382=""),"",'Start Here'!$B$20&amp;"#p="&amp;SUBSTITUTE(AA382,"+","%2B")&amp;"&amp;n="&amp;AC382&amp;"&amp;m="&amp;SUBSTITUTE('Start Here'!$B$24,"{name}",AC382))</f>
        <v/>
      </c>
      <c r="AE382" s="32">
        <f>LEN(AD382)</f>
        <v/>
      </c>
      <c r="AF382" s="32">
        <f>IF(AND(TRIM(A382&amp;"")&lt;&gt;"",OR(B382="Awaiting",B382="Not sure yet")),1,0)</f>
        <v/>
      </c>
      <c r="AG382" s="32">
        <f>N(AG381)+AF382</f>
        <v/>
      </c>
      <c r="AH382" s="32">
        <f>IF(AF382=1,AG382,"")</f>
        <v/>
      </c>
      <c r="AI382" s="32">
        <f>IF(AND(TRIM(A382&amp;"")&lt;&gt;"",L382&amp;""&lt;&gt;"",L382&amp;""=Seating!$I$3&amp;"",B382&lt;&gt;"Declined"),1,0)</f>
        <v/>
      </c>
      <c r="AJ382" s="32">
        <f>N(AJ381)+AI382</f>
        <v/>
      </c>
      <c r="AK382" s="32">
        <f>IF(AI382=1,AJ382,"")</f>
        <v/>
      </c>
    </row>
    <row r="383">
      <c r="A383" s="10" t="n"/>
      <c r="B383" s="47">
        <f>IF(TRIM(A383&amp;"")="","",IF(W383&lt;&gt;"",W383,IF(I383="","Awaiting",I383)))</f>
        <v/>
      </c>
      <c r="C383" s="60">
        <f>IF(OR(B383="Awaiting",B383="Not sure yet"),IF(AD383&lt;&gt;"",HYPERLINK(AD383,"💬 Remind"),"add mobile"),"")</f>
        <v/>
      </c>
      <c r="D383" s="58" t="n"/>
      <c r="E383" s="10" t="n"/>
      <c r="F383" s="10" t="n"/>
      <c r="G383" s="10" t="n"/>
      <c r="H383" s="10" t="n"/>
      <c r="I383" s="10" t="n"/>
      <c r="J383" s="10" t="n"/>
      <c r="K383" s="10" t="n"/>
      <c r="L383" s="56" t="n"/>
      <c r="M383" s="10" t="n"/>
      <c r="N383" s="12" t="n"/>
      <c r="O383" s="10" t="n"/>
      <c r="P383" s="10" t="n"/>
      <c r="Q383" s="61">
        <f>IF(V383="","",IF(T383="","Covered by "&amp;INDEX('Form Calc'!$B:$B,V383)&amp;"'s reply (same party)","Replied "&amp;TEXT(INDEX('Form Calc'!$A:$A,T383),"mm/dd")&amp;" · "&amp;INDEX('Form Calc'!$H:$H,T383)&amp;" adult(s), "&amp;INDEX('Form Calc'!$I:$I,T383)&amp;" child(ren)"&amp;IF(INDEX('Form Calc'!$K:$K,T383)&lt;&gt;""," · "&amp;INDEX('Form Calc'!$K:$K,T383),"")&amp;IF(INDEX('Form Calc'!$M:$M,T383)&lt;&gt;""," · “"&amp;INDEX('Form Calc'!$M:$M,T383)&amp;"”","")))</f>
        <v/>
      </c>
      <c r="R383" s="32">
        <f>SUBSTITUTE(SUBSTITUTE(SUBSTITUTE(SUBSTITUTE(SUBSTITUTE(SUBSTITUTE(SUBSTITUTE(SUBSTITUTE(D383&amp;""," ",""),"-",""),"(",""),")",""),".",""),"+",""),"/",""),CHAR(160),"")</f>
        <v/>
      </c>
      <c r="S383" s="32">
        <f>IF(LEN(R383)&gt;=10,RIGHT(R383,10),R383)</f>
        <v/>
      </c>
      <c r="T383" s="32">
        <f>IF(TRIM(A383&amp;"")="","",IF(S383&lt;&gt;"",IFERROR(MATCH(S383,'Form Calc'!$P:$P,0),IFERROR(MATCH(TRIM(A383&amp;""),'Form Calc'!$Q:$Q,0),"")),IFERROR(MATCH(TRIM(A383&amp;""),'Form Calc'!$Q:$Q,0),"")))</f>
        <v/>
      </c>
      <c r="U383" s="32">
        <f>IF(AND(T383&lt;&gt;"",TRIM(E383&amp;"")&lt;&gt;""),TRIM(E383&amp;""),"")</f>
        <v/>
      </c>
      <c r="V383" s="32">
        <f>IF(TRIM(A383&amp;"")="","",IF(T383&lt;&gt;"",T383,IF(TRIM(E383&amp;"")="","",IFERROR(INDEX($T$6:$T$505,MATCH(TRIM(E383&amp;""),$U$6:$U$505,0)),""))))</f>
        <v/>
      </c>
      <c r="W383" s="32">
        <f>IF(V383="","",INDEX('Form Calc'!$G:$G,V383))</f>
        <v/>
      </c>
      <c r="X383" s="32">
        <f>IF(TRIM(A383&amp;"")="","",IF(T383&lt;&gt;"",IF(INDEX('Form Calc'!$K:$K,T383)&lt;&gt;"",INDEX('Form Calc'!$K:$K,T383),J383&amp;""),J383&amp;""))</f>
        <v/>
      </c>
      <c r="Y383" s="32">
        <f>IF(TRIM(A383&amp;"")="","",IF(TRIM(D383&amp;"")&lt;&gt;"",TRIM(D383&amp;""),IF(T383&lt;&gt;"",INDEX('Form Calc'!$C:$C,T383)&amp;"","")))</f>
        <v/>
      </c>
      <c r="Z383" s="32">
        <f>SUBSTITUTE(SUBSTITUTE(SUBSTITUTE(SUBSTITUTE(SUBSTITUTE(SUBSTITUTE(SUBSTITUTE(SUBSTITUTE(Y383," ",""),"-",""),"(",""),")",""),".",""),"+",""),"/",""),CHAR(160),"")</f>
        <v/>
      </c>
      <c r="AA383" s="32">
        <f>IF(Z383="","",IF(LEN(Z383)=10,"+1"&amp;Z383,IF(AND(LEN(Z383)=11,LEFT(Z383,1)="1"),"+"&amp;Z383,IF(LEFT(Y383,1)="+","+"&amp;Z383,Z383))))</f>
        <v/>
      </c>
      <c r="AB383" s="32">
        <f>IF(TRIM(A383&amp;"")="","",IF(TRIM(M383&amp;"")&lt;&gt;"",TRIM(M383&amp;""),IFERROR(LEFT(TRIM(A383&amp;""),FIND(" ",TRIM(A383&amp;""))-1),TRIM(A383&amp;""))))</f>
        <v/>
      </c>
      <c r="AC383" s="32">
        <f>SUBSTITUTE(SUBSTITUTE(SUBSTITUTE(SUBSTITUTE(SUBSTITUTE(SUBSTITUTE(SUBSTITUTE(SUBSTITUTE(SUBSTITUTE(SUBSTITUTE(AB383,"%","%25"),"&amp;","%26"),"#","%23"),"+","%2B"),"=","%3D"),"?","%3F"),CHAR(34),"%22"),CHAR(10),"%0A"),CHAR(13),"")," ","+")</f>
        <v/>
      </c>
      <c r="AD383" s="32">
        <f>IF(OR(AA383="",AB383=""),"",'Start Here'!$B$20&amp;"#p="&amp;SUBSTITUTE(AA383,"+","%2B")&amp;"&amp;n="&amp;AC383&amp;"&amp;m="&amp;SUBSTITUTE('Start Here'!$B$24,"{name}",AC383))</f>
        <v/>
      </c>
      <c r="AE383" s="32">
        <f>LEN(AD383)</f>
        <v/>
      </c>
      <c r="AF383" s="32">
        <f>IF(AND(TRIM(A383&amp;"")&lt;&gt;"",OR(B383="Awaiting",B383="Not sure yet")),1,0)</f>
        <v/>
      </c>
      <c r="AG383" s="32">
        <f>N(AG382)+AF383</f>
        <v/>
      </c>
      <c r="AH383" s="32">
        <f>IF(AF383=1,AG383,"")</f>
        <v/>
      </c>
      <c r="AI383" s="32">
        <f>IF(AND(TRIM(A383&amp;"")&lt;&gt;"",L383&amp;""&lt;&gt;"",L383&amp;""=Seating!$I$3&amp;"",B383&lt;&gt;"Declined"),1,0)</f>
        <v/>
      </c>
      <c r="AJ383" s="32">
        <f>N(AJ382)+AI383</f>
        <v/>
      </c>
      <c r="AK383" s="32">
        <f>IF(AI383=1,AJ383,"")</f>
        <v/>
      </c>
    </row>
    <row r="384">
      <c r="A384" s="10" t="n"/>
      <c r="B384" s="47">
        <f>IF(TRIM(A384&amp;"")="","",IF(W384&lt;&gt;"",W384,IF(I384="","Awaiting",I384)))</f>
        <v/>
      </c>
      <c r="C384" s="60">
        <f>IF(OR(B384="Awaiting",B384="Not sure yet"),IF(AD384&lt;&gt;"",HYPERLINK(AD384,"💬 Remind"),"add mobile"),"")</f>
        <v/>
      </c>
      <c r="D384" s="58" t="n"/>
      <c r="E384" s="10" t="n"/>
      <c r="F384" s="10" t="n"/>
      <c r="G384" s="10" t="n"/>
      <c r="H384" s="10" t="n"/>
      <c r="I384" s="10" t="n"/>
      <c r="J384" s="10" t="n"/>
      <c r="K384" s="10" t="n"/>
      <c r="L384" s="56" t="n"/>
      <c r="M384" s="10" t="n"/>
      <c r="N384" s="12" t="n"/>
      <c r="O384" s="10" t="n"/>
      <c r="P384" s="10" t="n"/>
      <c r="Q384" s="61">
        <f>IF(V384="","",IF(T384="","Covered by "&amp;INDEX('Form Calc'!$B:$B,V384)&amp;"'s reply (same party)","Replied "&amp;TEXT(INDEX('Form Calc'!$A:$A,T384),"mm/dd")&amp;" · "&amp;INDEX('Form Calc'!$H:$H,T384)&amp;" adult(s), "&amp;INDEX('Form Calc'!$I:$I,T384)&amp;" child(ren)"&amp;IF(INDEX('Form Calc'!$K:$K,T384)&lt;&gt;""," · "&amp;INDEX('Form Calc'!$K:$K,T384),"")&amp;IF(INDEX('Form Calc'!$M:$M,T384)&lt;&gt;""," · “"&amp;INDEX('Form Calc'!$M:$M,T384)&amp;"”","")))</f>
        <v/>
      </c>
      <c r="R384" s="32">
        <f>SUBSTITUTE(SUBSTITUTE(SUBSTITUTE(SUBSTITUTE(SUBSTITUTE(SUBSTITUTE(SUBSTITUTE(SUBSTITUTE(D384&amp;""," ",""),"-",""),"(",""),")",""),".",""),"+",""),"/",""),CHAR(160),"")</f>
        <v/>
      </c>
      <c r="S384" s="32">
        <f>IF(LEN(R384)&gt;=10,RIGHT(R384,10),R384)</f>
        <v/>
      </c>
      <c r="T384" s="32">
        <f>IF(TRIM(A384&amp;"")="","",IF(S384&lt;&gt;"",IFERROR(MATCH(S384,'Form Calc'!$P:$P,0),IFERROR(MATCH(TRIM(A384&amp;""),'Form Calc'!$Q:$Q,0),"")),IFERROR(MATCH(TRIM(A384&amp;""),'Form Calc'!$Q:$Q,0),"")))</f>
        <v/>
      </c>
      <c r="U384" s="32">
        <f>IF(AND(T384&lt;&gt;"",TRIM(E384&amp;"")&lt;&gt;""),TRIM(E384&amp;""),"")</f>
        <v/>
      </c>
      <c r="V384" s="32">
        <f>IF(TRIM(A384&amp;"")="","",IF(T384&lt;&gt;"",T384,IF(TRIM(E384&amp;"")="","",IFERROR(INDEX($T$6:$T$505,MATCH(TRIM(E384&amp;""),$U$6:$U$505,0)),""))))</f>
        <v/>
      </c>
      <c r="W384" s="32">
        <f>IF(V384="","",INDEX('Form Calc'!$G:$G,V384))</f>
        <v/>
      </c>
      <c r="X384" s="32">
        <f>IF(TRIM(A384&amp;"")="","",IF(T384&lt;&gt;"",IF(INDEX('Form Calc'!$K:$K,T384)&lt;&gt;"",INDEX('Form Calc'!$K:$K,T384),J384&amp;""),J384&amp;""))</f>
        <v/>
      </c>
      <c r="Y384" s="32">
        <f>IF(TRIM(A384&amp;"")="","",IF(TRIM(D384&amp;"")&lt;&gt;"",TRIM(D384&amp;""),IF(T384&lt;&gt;"",INDEX('Form Calc'!$C:$C,T384)&amp;"","")))</f>
        <v/>
      </c>
      <c r="Z384" s="32">
        <f>SUBSTITUTE(SUBSTITUTE(SUBSTITUTE(SUBSTITUTE(SUBSTITUTE(SUBSTITUTE(SUBSTITUTE(SUBSTITUTE(Y384," ",""),"-",""),"(",""),")",""),".",""),"+",""),"/",""),CHAR(160),"")</f>
        <v/>
      </c>
      <c r="AA384" s="32">
        <f>IF(Z384="","",IF(LEN(Z384)=10,"+1"&amp;Z384,IF(AND(LEN(Z384)=11,LEFT(Z384,1)="1"),"+"&amp;Z384,IF(LEFT(Y384,1)="+","+"&amp;Z384,Z384))))</f>
        <v/>
      </c>
      <c r="AB384" s="32">
        <f>IF(TRIM(A384&amp;"")="","",IF(TRIM(M384&amp;"")&lt;&gt;"",TRIM(M384&amp;""),IFERROR(LEFT(TRIM(A384&amp;""),FIND(" ",TRIM(A384&amp;""))-1),TRIM(A384&amp;""))))</f>
        <v/>
      </c>
      <c r="AC384" s="32">
        <f>SUBSTITUTE(SUBSTITUTE(SUBSTITUTE(SUBSTITUTE(SUBSTITUTE(SUBSTITUTE(SUBSTITUTE(SUBSTITUTE(SUBSTITUTE(SUBSTITUTE(AB384,"%","%25"),"&amp;","%26"),"#","%23"),"+","%2B"),"=","%3D"),"?","%3F"),CHAR(34),"%22"),CHAR(10),"%0A"),CHAR(13),"")," ","+")</f>
        <v/>
      </c>
      <c r="AD384" s="32">
        <f>IF(OR(AA384="",AB384=""),"",'Start Here'!$B$20&amp;"#p="&amp;SUBSTITUTE(AA384,"+","%2B")&amp;"&amp;n="&amp;AC384&amp;"&amp;m="&amp;SUBSTITUTE('Start Here'!$B$24,"{name}",AC384))</f>
        <v/>
      </c>
      <c r="AE384" s="32">
        <f>LEN(AD384)</f>
        <v/>
      </c>
      <c r="AF384" s="32">
        <f>IF(AND(TRIM(A384&amp;"")&lt;&gt;"",OR(B384="Awaiting",B384="Not sure yet")),1,0)</f>
        <v/>
      </c>
      <c r="AG384" s="32">
        <f>N(AG383)+AF384</f>
        <v/>
      </c>
      <c r="AH384" s="32">
        <f>IF(AF384=1,AG384,"")</f>
        <v/>
      </c>
      <c r="AI384" s="32">
        <f>IF(AND(TRIM(A384&amp;"")&lt;&gt;"",L384&amp;""&lt;&gt;"",L384&amp;""=Seating!$I$3&amp;"",B384&lt;&gt;"Declined"),1,0)</f>
        <v/>
      </c>
      <c r="AJ384" s="32">
        <f>N(AJ383)+AI384</f>
        <v/>
      </c>
      <c r="AK384" s="32">
        <f>IF(AI384=1,AJ384,"")</f>
        <v/>
      </c>
    </row>
    <row r="385">
      <c r="A385" s="10" t="n"/>
      <c r="B385" s="47">
        <f>IF(TRIM(A385&amp;"")="","",IF(W385&lt;&gt;"",W385,IF(I385="","Awaiting",I385)))</f>
        <v/>
      </c>
      <c r="C385" s="60">
        <f>IF(OR(B385="Awaiting",B385="Not sure yet"),IF(AD385&lt;&gt;"",HYPERLINK(AD385,"💬 Remind"),"add mobile"),"")</f>
        <v/>
      </c>
      <c r="D385" s="58" t="n"/>
      <c r="E385" s="10" t="n"/>
      <c r="F385" s="10" t="n"/>
      <c r="G385" s="10" t="n"/>
      <c r="H385" s="10" t="n"/>
      <c r="I385" s="10" t="n"/>
      <c r="J385" s="10" t="n"/>
      <c r="K385" s="10" t="n"/>
      <c r="L385" s="56" t="n"/>
      <c r="M385" s="10" t="n"/>
      <c r="N385" s="12" t="n"/>
      <c r="O385" s="10" t="n"/>
      <c r="P385" s="10" t="n"/>
      <c r="Q385" s="61">
        <f>IF(V385="","",IF(T385="","Covered by "&amp;INDEX('Form Calc'!$B:$B,V385)&amp;"'s reply (same party)","Replied "&amp;TEXT(INDEX('Form Calc'!$A:$A,T385),"mm/dd")&amp;" · "&amp;INDEX('Form Calc'!$H:$H,T385)&amp;" adult(s), "&amp;INDEX('Form Calc'!$I:$I,T385)&amp;" child(ren)"&amp;IF(INDEX('Form Calc'!$K:$K,T385)&lt;&gt;""," · "&amp;INDEX('Form Calc'!$K:$K,T385),"")&amp;IF(INDEX('Form Calc'!$M:$M,T385)&lt;&gt;""," · “"&amp;INDEX('Form Calc'!$M:$M,T385)&amp;"”","")))</f>
        <v/>
      </c>
      <c r="R385" s="32">
        <f>SUBSTITUTE(SUBSTITUTE(SUBSTITUTE(SUBSTITUTE(SUBSTITUTE(SUBSTITUTE(SUBSTITUTE(SUBSTITUTE(D385&amp;""," ",""),"-",""),"(",""),")",""),".",""),"+",""),"/",""),CHAR(160),"")</f>
        <v/>
      </c>
      <c r="S385" s="32">
        <f>IF(LEN(R385)&gt;=10,RIGHT(R385,10),R385)</f>
        <v/>
      </c>
      <c r="T385" s="32">
        <f>IF(TRIM(A385&amp;"")="","",IF(S385&lt;&gt;"",IFERROR(MATCH(S385,'Form Calc'!$P:$P,0),IFERROR(MATCH(TRIM(A385&amp;""),'Form Calc'!$Q:$Q,0),"")),IFERROR(MATCH(TRIM(A385&amp;""),'Form Calc'!$Q:$Q,0),"")))</f>
        <v/>
      </c>
      <c r="U385" s="32">
        <f>IF(AND(T385&lt;&gt;"",TRIM(E385&amp;"")&lt;&gt;""),TRIM(E385&amp;""),"")</f>
        <v/>
      </c>
      <c r="V385" s="32">
        <f>IF(TRIM(A385&amp;"")="","",IF(T385&lt;&gt;"",T385,IF(TRIM(E385&amp;"")="","",IFERROR(INDEX($T$6:$T$505,MATCH(TRIM(E385&amp;""),$U$6:$U$505,0)),""))))</f>
        <v/>
      </c>
      <c r="W385" s="32">
        <f>IF(V385="","",INDEX('Form Calc'!$G:$G,V385))</f>
        <v/>
      </c>
      <c r="X385" s="32">
        <f>IF(TRIM(A385&amp;"")="","",IF(T385&lt;&gt;"",IF(INDEX('Form Calc'!$K:$K,T385)&lt;&gt;"",INDEX('Form Calc'!$K:$K,T385),J385&amp;""),J385&amp;""))</f>
        <v/>
      </c>
      <c r="Y385" s="32">
        <f>IF(TRIM(A385&amp;"")="","",IF(TRIM(D385&amp;"")&lt;&gt;"",TRIM(D385&amp;""),IF(T385&lt;&gt;"",INDEX('Form Calc'!$C:$C,T385)&amp;"","")))</f>
        <v/>
      </c>
      <c r="Z385" s="32">
        <f>SUBSTITUTE(SUBSTITUTE(SUBSTITUTE(SUBSTITUTE(SUBSTITUTE(SUBSTITUTE(SUBSTITUTE(SUBSTITUTE(Y385," ",""),"-",""),"(",""),")",""),".",""),"+",""),"/",""),CHAR(160),"")</f>
        <v/>
      </c>
      <c r="AA385" s="32">
        <f>IF(Z385="","",IF(LEN(Z385)=10,"+1"&amp;Z385,IF(AND(LEN(Z385)=11,LEFT(Z385,1)="1"),"+"&amp;Z385,IF(LEFT(Y385,1)="+","+"&amp;Z385,Z385))))</f>
        <v/>
      </c>
      <c r="AB385" s="32">
        <f>IF(TRIM(A385&amp;"")="","",IF(TRIM(M385&amp;"")&lt;&gt;"",TRIM(M385&amp;""),IFERROR(LEFT(TRIM(A385&amp;""),FIND(" ",TRIM(A385&amp;""))-1),TRIM(A385&amp;""))))</f>
        <v/>
      </c>
      <c r="AC385" s="32">
        <f>SUBSTITUTE(SUBSTITUTE(SUBSTITUTE(SUBSTITUTE(SUBSTITUTE(SUBSTITUTE(SUBSTITUTE(SUBSTITUTE(SUBSTITUTE(SUBSTITUTE(AB385,"%","%25"),"&amp;","%26"),"#","%23"),"+","%2B"),"=","%3D"),"?","%3F"),CHAR(34),"%22"),CHAR(10),"%0A"),CHAR(13),"")," ","+")</f>
        <v/>
      </c>
      <c r="AD385" s="32">
        <f>IF(OR(AA385="",AB385=""),"",'Start Here'!$B$20&amp;"#p="&amp;SUBSTITUTE(AA385,"+","%2B")&amp;"&amp;n="&amp;AC385&amp;"&amp;m="&amp;SUBSTITUTE('Start Here'!$B$24,"{name}",AC385))</f>
        <v/>
      </c>
      <c r="AE385" s="32">
        <f>LEN(AD385)</f>
        <v/>
      </c>
      <c r="AF385" s="32">
        <f>IF(AND(TRIM(A385&amp;"")&lt;&gt;"",OR(B385="Awaiting",B385="Not sure yet")),1,0)</f>
        <v/>
      </c>
      <c r="AG385" s="32">
        <f>N(AG384)+AF385</f>
        <v/>
      </c>
      <c r="AH385" s="32">
        <f>IF(AF385=1,AG385,"")</f>
        <v/>
      </c>
      <c r="AI385" s="32">
        <f>IF(AND(TRIM(A385&amp;"")&lt;&gt;"",L385&amp;""&lt;&gt;"",L385&amp;""=Seating!$I$3&amp;"",B385&lt;&gt;"Declined"),1,0)</f>
        <v/>
      </c>
      <c r="AJ385" s="32">
        <f>N(AJ384)+AI385</f>
        <v/>
      </c>
      <c r="AK385" s="32">
        <f>IF(AI385=1,AJ385,"")</f>
        <v/>
      </c>
    </row>
    <row r="386">
      <c r="A386" s="10" t="n"/>
      <c r="B386" s="47">
        <f>IF(TRIM(A386&amp;"")="","",IF(W386&lt;&gt;"",W386,IF(I386="","Awaiting",I386)))</f>
        <v/>
      </c>
      <c r="C386" s="60">
        <f>IF(OR(B386="Awaiting",B386="Not sure yet"),IF(AD386&lt;&gt;"",HYPERLINK(AD386,"💬 Remind"),"add mobile"),"")</f>
        <v/>
      </c>
      <c r="D386" s="58" t="n"/>
      <c r="E386" s="10" t="n"/>
      <c r="F386" s="10" t="n"/>
      <c r="G386" s="10" t="n"/>
      <c r="H386" s="10" t="n"/>
      <c r="I386" s="10" t="n"/>
      <c r="J386" s="10" t="n"/>
      <c r="K386" s="10" t="n"/>
      <c r="L386" s="56" t="n"/>
      <c r="M386" s="10" t="n"/>
      <c r="N386" s="12" t="n"/>
      <c r="O386" s="10" t="n"/>
      <c r="P386" s="10" t="n"/>
      <c r="Q386" s="61">
        <f>IF(V386="","",IF(T386="","Covered by "&amp;INDEX('Form Calc'!$B:$B,V386)&amp;"'s reply (same party)","Replied "&amp;TEXT(INDEX('Form Calc'!$A:$A,T386),"mm/dd")&amp;" · "&amp;INDEX('Form Calc'!$H:$H,T386)&amp;" adult(s), "&amp;INDEX('Form Calc'!$I:$I,T386)&amp;" child(ren)"&amp;IF(INDEX('Form Calc'!$K:$K,T386)&lt;&gt;""," · "&amp;INDEX('Form Calc'!$K:$K,T386),"")&amp;IF(INDEX('Form Calc'!$M:$M,T386)&lt;&gt;""," · “"&amp;INDEX('Form Calc'!$M:$M,T386)&amp;"”","")))</f>
        <v/>
      </c>
      <c r="R386" s="32">
        <f>SUBSTITUTE(SUBSTITUTE(SUBSTITUTE(SUBSTITUTE(SUBSTITUTE(SUBSTITUTE(SUBSTITUTE(SUBSTITUTE(D386&amp;""," ",""),"-",""),"(",""),")",""),".",""),"+",""),"/",""),CHAR(160),"")</f>
        <v/>
      </c>
      <c r="S386" s="32">
        <f>IF(LEN(R386)&gt;=10,RIGHT(R386,10),R386)</f>
        <v/>
      </c>
      <c r="T386" s="32">
        <f>IF(TRIM(A386&amp;"")="","",IF(S386&lt;&gt;"",IFERROR(MATCH(S386,'Form Calc'!$P:$P,0),IFERROR(MATCH(TRIM(A386&amp;""),'Form Calc'!$Q:$Q,0),"")),IFERROR(MATCH(TRIM(A386&amp;""),'Form Calc'!$Q:$Q,0),"")))</f>
        <v/>
      </c>
      <c r="U386" s="32">
        <f>IF(AND(T386&lt;&gt;"",TRIM(E386&amp;"")&lt;&gt;""),TRIM(E386&amp;""),"")</f>
        <v/>
      </c>
      <c r="V386" s="32">
        <f>IF(TRIM(A386&amp;"")="","",IF(T386&lt;&gt;"",T386,IF(TRIM(E386&amp;"")="","",IFERROR(INDEX($T$6:$T$505,MATCH(TRIM(E386&amp;""),$U$6:$U$505,0)),""))))</f>
        <v/>
      </c>
      <c r="W386" s="32">
        <f>IF(V386="","",INDEX('Form Calc'!$G:$G,V386))</f>
        <v/>
      </c>
      <c r="X386" s="32">
        <f>IF(TRIM(A386&amp;"")="","",IF(T386&lt;&gt;"",IF(INDEX('Form Calc'!$K:$K,T386)&lt;&gt;"",INDEX('Form Calc'!$K:$K,T386),J386&amp;""),J386&amp;""))</f>
        <v/>
      </c>
      <c r="Y386" s="32">
        <f>IF(TRIM(A386&amp;"")="","",IF(TRIM(D386&amp;"")&lt;&gt;"",TRIM(D386&amp;""),IF(T386&lt;&gt;"",INDEX('Form Calc'!$C:$C,T386)&amp;"","")))</f>
        <v/>
      </c>
      <c r="Z386" s="32">
        <f>SUBSTITUTE(SUBSTITUTE(SUBSTITUTE(SUBSTITUTE(SUBSTITUTE(SUBSTITUTE(SUBSTITUTE(SUBSTITUTE(Y386," ",""),"-",""),"(",""),")",""),".",""),"+",""),"/",""),CHAR(160),"")</f>
        <v/>
      </c>
      <c r="AA386" s="32">
        <f>IF(Z386="","",IF(LEN(Z386)=10,"+1"&amp;Z386,IF(AND(LEN(Z386)=11,LEFT(Z386,1)="1"),"+"&amp;Z386,IF(LEFT(Y386,1)="+","+"&amp;Z386,Z386))))</f>
        <v/>
      </c>
      <c r="AB386" s="32">
        <f>IF(TRIM(A386&amp;"")="","",IF(TRIM(M386&amp;"")&lt;&gt;"",TRIM(M386&amp;""),IFERROR(LEFT(TRIM(A386&amp;""),FIND(" ",TRIM(A386&amp;""))-1),TRIM(A386&amp;""))))</f>
        <v/>
      </c>
      <c r="AC386" s="32">
        <f>SUBSTITUTE(SUBSTITUTE(SUBSTITUTE(SUBSTITUTE(SUBSTITUTE(SUBSTITUTE(SUBSTITUTE(SUBSTITUTE(SUBSTITUTE(SUBSTITUTE(AB386,"%","%25"),"&amp;","%26"),"#","%23"),"+","%2B"),"=","%3D"),"?","%3F"),CHAR(34),"%22"),CHAR(10),"%0A"),CHAR(13),"")," ","+")</f>
        <v/>
      </c>
      <c r="AD386" s="32">
        <f>IF(OR(AA386="",AB386=""),"",'Start Here'!$B$20&amp;"#p="&amp;SUBSTITUTE(AA386,"+","%2B")&amp;"&amp;n="&amp;AC386&amp;"&amp;m="&amp;SUBSTITUTE('Start Here'!$B$24,"{name}",AC386))</f>
        <v/>
      </c>
      <c r="AE386" s="32">
        <f>LEN(AD386)</f>
        <v/>
      </c>
      <c r="AF386" s="32">
        <f>IF(AND(TRIM(A386&amp;"")&lt;&gt;"",OR(B386="Awaiting",B386="Not sure yet")),1,0)</f>
        <v/>
      </c>
      <c r="AG386" s="32">
        <f>N(AG385)+AF386</f>
        <v/>
      </c>
      <c r="AH386" s="32">
        <f>IF(AF386=1,AG386,"")</f>
        <v/>
      </c>
      <c r="AI386" s="32">
        <f>IF(AND(TRIM(A386&amp;"")&lt;&gt;"",L386&amp;""&lt;&gt;"",L386&amp;""=Seating!$I$3&amp;"",B386&lt;&gt;"Declined"),1,0)</f>
        <v/>
      </c>
      <c r="AJ386" s="32">
        <f>N(AJ385)+AI386</f>
        <v/>
      </c>
      <c r="AK386" s="32">
        <f>IF(AI386=1,AJ386,"")</f>
        <v/>
      </c>
    </row>
    <row r="387">
      <c r="A387" s="10" t="n"/>
      <c r="B387" s="47">
        <f>IF(TRIM(A387&amp;"")="","",IF(W387&lt;&gt;"",W387,IF(I387="","Awaiting",I387)))</f>
        <v/>
      </c>
      <c r="C387" s="60">
        <f>IF(OR(B387="Awaiting",B387="Not sure yet"),IF(AD387&lt;&gt;"",HYPERLINK(AD387,"💬 Remind"),"add mobile"),"")</f>
        <v/>
      </c>
      <c r="D387" s="58" t="n"/>
      <c r="E387" s="10" t="n"/>
      <c r="F387" s="10" t="n"/>
      <c r="G387" s="10" t="n"/>
      <c r="H387" s="10" t="n"/>
      <c r="I387" s="10" t="n"/>
      <c r="J387" s="10" t="n"/>
      <c r="K387" s="10" t="n"/>
      <c r="L387" s="56" t="n"/>
      <c r="M387" s="10" t="n"/>
      <c r="N387" s="12" t="n"/>
      <c r="O387" s="10" t="n"/>
      <c r="P387" s="10" t="n"/>
      <c r="Q387" s="61">
        <f>IF(V387="","",IF(T387="","Covered by "&amp;INDEX('Form Calc'!$B:$B,V387)&amp;"'s reply (same party)","Replied "&amp;TEXT(INDEX('Form Calc'!$A:$A,T387),"mm/dd")&amp;" · "&amp;INDEX('Form Calc'!$H:$H,T387)&amp;" adult(s), "&amp;INDEX('Form Calc'!$I:$I,T387)&amp;" child(ren)"&amp;IF(INDEX('Form Calc'!$K:$K,T387)&lt;&gt;""," · "&amp;INDEX('Form Calc'!$K:$K,T387),"")&amp;IF(INDEX('Form Calc'!$M:$M,T387)&lt;&gt;""," · “"&amp;INDEX('Form Calc'!$M:$M,T387)&amp;"”","")))</f>
        <v/>
      </c>
      <c r="R387" s="32">
        <f>SUBSTITUTE(SUBSTITUTE(SUBSTITUTE(SUBSTITUTE(SUBSTITUTE(SUBSTITUTE(SUBSTITUTE(SUBSTITUTE(D387&amp;""," ",""),"-",""),"(",""),")",""),".",""),"+",""),"/",""),CHAR(160),"")</f>
        <v/>
      </c>
      <c r="S387" s="32">
        <f>IF(LEN(R387)&gt;=10,RIGHT(R387,10),R387)</f>
        <v/>
      </c>
      <c r="T387" s="32">
        <f>IF(TRIM(A387&amp;"")="","",IF(S387&lt;&gt;"",IFERROR(MATCH(S387,'Form Calc'!$P:$P,0),IFERROR(MATCH(TRIM(A387&amp;""),'Form Calc'!$Q:$Q,0),"")),IFERROR(MATCH(TRIM(A387&amp;""),'Form Calc'!$Q:$Q,0),"")))</f>
        <v/>
      </c>
      <c r="U387" s="32">
        <f>IF(AND(T387&lt;&gt;"",TRIM(E387&amp;"")&lt;&gt;""),TRIM(E387&amp;""),"")</f>
        <v/>
      </c>
      <c r="V387" s="32">
        <f>IF(TRIM(A387&amp;"")="","",IF(T387&lt;&gt;"",T387,IF(TRIM(E387&amp;"")="","",IFERROR(INDEX($T$6:$T$505,MATCH(TRIM(E387&amp;""),$U$6:$U$505,0)),""))))</f>
        <v/>
      </c>
      <c r="W387" s="32">
        <f>IF(V387="","",INDEX('Form Calc'!$G:$G,V387))</f>
        <v/>
      </c>
      <c r="X387" s="32">
        <f>IF(TRIM(A387&amp;"")="","",IF(T387&lt;&gt;"",IF(INDEX('Form Calc'!$K:$K,T387)&lt;&gt;"",INDEX('Form Calc'!$K:$K,T387),J387&amp;""),J387&amp;""))</f>
        <v/>
      </c>
      <c r="Y387" s="32">
        <f>IF(TRIM(A387&amp;"")="","",IF(TRIM(D387&amp;"")&lt;&gt;"",TRIM(D387&amp;""),IF(T387&lt;&gt;"",INDEX('Form Calc'!$C:$C,T387)&amp;"","")))</f>
        <v/>
      </c>
      <c r="Z387" s="32">
        <f>SUBSTITUTE(SUBSTITUTE(SUBSTITUTE(SUBSTITUTE(SUBSTITUTE(SUBSTITUTE(SUBSTITUTE(SUBSTITUTE(Y387," ",""),"-",""),"(",""),")",""),".",""),"+",""),"/",""),CHAR(160),"")</f>
        <v/>
      </c>
      <c r="AA387" s="32">
        <f>IF(Z387="","",IF(LEN(Z387)=10,"+1"&amp;Z387,IF(AND(LEN(Z387)=11,LEFT(Z387,1)="1"),"+"&amp;Z387,IF(LEFT(Y387,1)="+","+"&amp;Z387,Z387))))</f>
        <v/>
      </c>
      <c r="AB387" s="32">
        <f>IF(TRIM(A387&amp;"")="","",IF(TRIM(M387&amp;"")&lt;&gt;"",TRIM(M387&amp;""),IFERROR(LEFT(TRIM(A387&amp;""),FIND(" ",TRIM(A387&amp;""))-1),TRIM(A387&amp;""))))</f>
        <v/>
      </c>
      <c r="AC387" s="32">
        <f>SUBSTITUTE(SUBSTITUTE(SUBSTITUTE(SUBSTITUTE(SUBSTITUTE(SUBSTITUTE(SUBSTITUTE(SUBSTITUTE(SUBSTITUTE(SUBSTITUTE(AB387,"%","%25"),"&amp;","%26"),"#","%23"),"+","%2B"),"=","%3D"),"?","%3F"),CHAR(34),"%22"),CHAR(10),"%0A"),CHAR(13),"")," ","+")</f>
        <v/>
      </c>
      <c r="AD387" s="32">
        <f>IF(OR(AA387="",AB387=""),"",'Start Here'!$B$20&amp;"#p="&amp;SUBSTITUTE(AA387,"+","%2B")&amp;"&amp;n="&amp;AC387&amp;"&amp;m="&amp;SUBSTITUTE('Start Here'!$B$24,"{name}",AC387))</f>
        <v/>
      </c>
      <c r="AE387" s="32">
        <f>LEN(AD387)</f>
        <v/>
      </c>
      <c r="AF387" s="32">
        <f>IF(AND(TRIM(A387&amp;"")&lt;&gt;"",OR(B387="Awaiting",B387="Not sure yet")),1,0)</f>
        <v/>
      </c>
      <c r="AG387" s="32">
        <f>N(AG386)+AF387</f>
        <v/>
      </c>
      <c r="AH387" s="32">
        <f>IF(AF387=1,AG387,"")</f>
        <v/>
      </c>
      <c r="AI387" s="32">
        <f>IF(AND(TRIM(A387&amp;"")&lt;&gt;"",L387&amp;""&lt;&gt;"",L387&amp;""=Seating!$I$3&amp;"",B387&lt;&gt;"Declined"),1,0)</f>
        <v/>
      </c>
      <c r="AJ387" s="32">
        <f>N(AJ386)+AI387</f>
        <v/>
      </c>
      <c r="AK387" s="32">
        <f>IF(AI387=1,AJ387,"")</f>
        <v/>
      </c>
    </row>
    <row r="388">
      <c r="A388" s="10" t="n"/>
      <c r="B388" s="47">
        <f>IF(TRIM(A388&amp;"")="","",IF(W388&lt;&gt;"",W388,IF(I388="","Awaiting",I388)))</f>
        <v/>
      </c>
      <c r="C388" s="60">
        <f>IF(OR(B388="Awaiting",B388="Not sure yet"),IF(AD388&lt;&gt;"",HYPERLINK(AD388,"💬 Remind"),"add mobile"),"")</f>
        <v/>
      </c>
      <c r="D388" s="58" t="n"/>
      <c r="E388" s="10" t="n"/>
      <c r="F388" s="10" t="n"/>
      <c r="G388" s="10" t="n"/>
      <c r="H388" s="10" t="n"/>
      <c r="I388" s="10" t="n"/>
      <c r="J388" s="10" t="n"/>
      <c r="K388" s="10" t="n"/>
      <c r="L388" s="56" t="n"/>
      <c r="M388" s="10" t="n"/>
      <c r="N388" s="12" t="n"/>
      <c r="O388" s="10" t="n"/>
      <c r="P388" s="10" t="n"/>
      <c r="Q388" s="61">
        <f>IF(V388="","",IF(T388="","Covered by "&amp;INDEX('Form Calc'!$B:$B,V388)&amp;"'s reply (same party)","Replied "&amp;TEXT(INDEX('Form Calc'!$A:$A,T388),"mm/dd")&amp;" · "&amp;INDEX('Form Calc'!$H:$H,T388)&amp;" adult(s), "&amp;INDEX('Form Calc'!$I:$I,T388)&amp;" child(ren)"&amp;IF(INDEX('Form Calc'!$K:$K,T388)&lt;&gt;""," · "&amp;INDEX('Form Calc'!$K:$K,T388),"")&amp;IF(INDEX('Form Calc'!$M:$M,T388)&lt;&gt;""," · “"&amp;INDEX('Form Calc'!$M:$M,T388)&amp;"”","")))</f>
        <v/>
      </c>
      <c r="R388" s="32">
        <f>SUBSTITUTE(SUBSTITUTE(SUBSTITUTE(SUBSTITUTE(SUBSTITUTE(SUBSTITUTE(SUBSTITUTE(SUBSTITUTE(D388&amp;""," ",""),"-",""),"(",""),")",""),".",""),"+",""),"/",""),CHAR(160),"")</f>
        <v/>
      </c>
      <c r="S388" s="32">
        <f>IF(LEN(R388)&gt;=10,RIGHT(R388,10),R388)</f>
        <v/>
      </c>
      <c r="T388" s="32">
        <f>IF(TRIM(A388&amp;"")="","",IF(S388&lt;&gt;"",IFERROR(MATCH(S388,'Form Calc'!$P:$P,0),IFERROR(MATCH(TRIM(A388&amp;""),'Form Calc'!$Q:$Q,0),"")),IFERROR(MATCH(TRIM(A388&amp;""),'Form Calc'!$Q:$Q,0),"")))</f>
        <v/>
      </c>
      <c r="U388" s="32">
        <f>IF(AND(T388&lt;&gt;"",TRIM(E388&amp;"")&lt;&gt;""),TRIM(E388&amp;""),"")</f>
        <v/>
      </c>
      <c r="V388" s="32">
        <f>IF(TRIM(A388&amp;"")="","",IF(T388&lt;&gt;"",T388,IF(TRIM(E388&amp;"")="","",IFERROR(INDEX($T$6:$T$505,MATCH(TRIM(E388&amp;""),$U$6:$U$505,0)),""))))</f>
        <v/>
      </c>
      <c r="W388" s="32">
        <f>IF(V388="","",INDEX('Form Calc'!$G:$G,V388))</f>
        <v/>
      </c>
      <c r="X388" s="32">
        <f>IF(TRIM(A388&amp;"")="","",IF(T388&lt;&gt;"",IF(INDEX('Form Calc'!$K:$K,T388)&lt;&gt;"",INDEX('Form Calc'!$K:$K,T388),J388&amp;""),J388&amp;""))</f>
        <v/>
      </c>
      <c r="Y388" s="32">
        <f>IF(TRIM(A388&amp;"")="","",IF(TRIM(D388&amp;"")&lt;&gt;"",TRIM(D388&amp;""),IF(T388&lt;&gt;"",INDEX('Form Calc'!$C:$C,T388)&amp;"","")))</f>
        <v/>
      </c>
      <c r="Z388" s="32">
        <f>SUBSTITUTE(SUBSTITUTE(SUBSTITUTE(SUBSTITUTE(SUBSTITUTE(SUBSTITUTE(SUBSTITUTE(SUBSTITUTE(Y388," ",""),"-",""),"(",""),")",""),".",""),"+",""),"/",""),CHAR(160),"")</f>
        <v/>
      </c>
      <c r="AA388" s="32">
        <f>IF(Z388="","",IF(LEN(Z388)=10,"+1"&amp;Z388,IF(AND(LEN(Z388)=11,LEFT(Z388,1)="1"),"+"&amp;Z388,IF(LEFT(Y388,1)="+","+"&amp;Z388,Z388))))</f>
        <v/>
      </c>
      <c r="AB388" s="32">
        <f>IF(TRIM(A388&amp;"")="","",IF(TRIM(M388&amp;"")&lt;&gt;"",TRIM(M388&amp;""),IFERROR(LEFT(TRIM(A388&amp;""),FIND(" ",TRIM(A388&amp;""))-1),TRIM(A388&amp;""))))</f>
        <v/>
      </c>
      <c r="AC388" s="32">
        <f>SUBSTITUTE(SUBSTITUTE(SUBSTITUTE(SUBSTITUTE(SUBSTITUTE(SUBSTITUTE(SUBSTITUTE(SUBSTITUTE(SUBSTITUTE(SUBSTITUTE(AB388,"%","%25"),"&amp;","%26"),"#","%23"),"+","%2B"),"=","%3D"),"?","%3F"),CHAR(34),"%22"),CHAR(10),"%0A"),CHAR(13),"")," ","+")</f>
        <v/>
      </c>
      <c r="AD388" s="32">
        <f>IF(OR(AA388="",AB388=""),"",'Start Here'!$B$20&amp;"#p="&amp;SUBSTITUTE(AA388,"+","%2B")&amp;"&amp;n="&amp;AC388&amp;"&amp;m="&amp;SUBSTITUTE('Start Here'!$B$24,"{name}",AC388))</f>
        <v/>
      </c>
      <c r="AE388" s="32">
        <f>LEN(AD388)</f>
        <v/>
      </c>
      <c r="AF388" s="32">
        <f>IF(AND(TRIM(A388&amp;"")&lt;&gt;"",OR(B388="Awaiting",B388="Not sure yet")),1,0)</f>
        <v/>
      </c>
      <c r="AG388" s="32">
        <f>N(AG387)+AF388</f>
        <v/>
      </c>
      <c r="AH388" s="32">
        <f>IF(AF388=1,AG388,"")</f>
        <v/>
      </c>
      <c r="AI388" s="32">
        <f>IF(AND(TRIM(A388&amp;"")&lt;&gt;"",L388&amp;""&lt;&gt;"",L388&amp;""=Seating!$I$3&amp;"",B388&lt;&gt;"Declined"),1,0)</f>
        <v/>
      </c>
      <c r="AJ388" s="32">
        <f>N(AJ387)+AI388</f>
        <v/>
      </c>
      <c r="AK388" s="32">
        <f>IF(AI388=1,AJ388,"")</f>
        <v/>
      </c>
    </row>
    <row r="389">
      <c r="A389" s="10" t="n"/>
      <c r="B389" s="47">
        <f>IF(TRIM(A389&amp;"")="","",IF(W389&lt;&gt;"",W389,IF(I389="","Awaiting",I389)))</f>
        <v/>
      </c>
      <c r="C389" s="60">
        <f>IF(OR(B389="Awaiting",B389="Not sure yet"),IF(AD389&lt;&gt;"",HYPERLINK(AD389,"💬 Remind"),"add mobile"),"")</f>
        <v/>
      </c>
      <c r="D389" s="58" t="n"/>
      <c r="E389" s="10" t="n"/>
      <c r="F389" s="10" t="n"/>
      <c r="G389" s="10" t="n"/>
      <c r="H389" s="10" t="n"/>
      <c r="I389" s="10" t="n"/>
      <c r="J389" s="10" t="n"/>
      <c r="K389" s="10" t="n"/>
      <c r="L389" s="56" t="n"/>
      <c r="M389" s="10" t="n"/>
      <c r="N389" s="12" t="n"/>
      <c r="O389" s="10" t="n"/>
      <c r="P389" s="10" t="n"/>
      <c r="Q389" s="61">
        <f>IF(V389="","",IF(T389="","Covered by "&amp;INDEX('Form Calc'!$B:$B,V389)&amp;"'s reply (same party)","Replied "&amp;TEXT(INDEX('Form Calc'!$A:$A,T389),"mm/dd")&amp;" · "&amp;INDEX('Form Calc'!$H:$H,T389)&amp;" adult(s), "&amp;INDEX('Form Calc'!$I:$I,T389)&amp;" child(ren)"&amp;IF(INDEX('Form Calc'!$K:$K,T389)&lt;&gt;""," · "&amp;INDEX('Form Calc'!$K:$K,T389),"")&amp;IF(INDEX('Form Calc'!$M:$M,T389)&lt;&gt;""," · “"&amp;INDEX('Form Calc'!$M:$M,T389)&amp;"”","")))</f>
        <v/>
      </c>
      <c r="R389" s="32">
        <f>SUBSTITUTE(SUBSTITUTE(SUBSTITUTE(SUBSTITUTE(SUBSTITUTE(SUBSTITUTE(SUBSTITUTE(SUBSTITUTE(D389&amp;""," ",""),"-",""),"(",""),")",""),".",""),"+",""),"/",""),CHAR(160),"")</f>
        <v/>
      </c>
      <c r="S389" s="32">
        <f>IF(LEN(R389)&gt;=10,RIGHT(R389,10),R389)</f>
        <v/>
      </c>
      <c r="T389" s="32">
        <f>IF(TRIM(A389&amp;"")="","",IF(S389&lt;&gt;"",IFERROR(MATCH(S389,'Form Calc'!$P:$P,0),IFERROR(MATCH(TRIM(A389&amp;""),'Form Calc'!$Q:$Q,0),"")),IFERROR(MATCH(TRIM(A389&amp;""),'Form Calc'!$Q:$Q,0),"")))</f>
        <v/>
      </c>
      <c r="U389" s="32">
        <f>IF(AND(T389&lt;&gt;"",TRIM(E389&amp;"")&lt;&gt;""),TRIM(E389&amp;""),"")</f>
        <v/>
      </c>
      <c r="V389" s="32">
        <f>IF(TRIM(A389&amp;"")="","",IF(T389&lt;&gt;"",T389,IF(TRIM(E389&amp;"")="","",IFERROR(INDEX($T$6:$T$505,MATCH(TRIM(E389&amp;""),$U$6:$U$505,0)),""))))</f>
        <v/>
      </c>
      <c r="W389" s="32">
        <f>IF(V389="","",INDEX('Form Calc'!$G:$G,V389))</f>
        <v/>
      </c>
      <c r="X389" s="32">
        <f>IF(TRIM(A389&amp;"")="","",IF(T389&lt;&gt;"",IF(INDEX('Form Calc'!$K:$K,T389)&lt;&gt;"",INDEX('Form Calc'!$K:$K,T389),J389&amp;""),J389&amp;""))</f>
        <v/>
      </c>
      <c r="Y389" s="32">
        <f>IF(TRIM(A389&amp;"")="","",IF(TRIM(D389&amp;"")&lt;&gt;"",TRIM(D389&amp;""),IF(T389&lt;&gt;"",INDEX('Form Calc'!$C:$C,T389)&amp;"","")))</f>
        <v/>
      </c>
      <c r="Z389" s="32">
        <f>SUBSTITUTE(SUBSTITUTE(SUBSTITUTE(SUBSTITUTE(SUBSTITUTE(SUBSTITUTE(SUBSTITUTE(SUBSTITUTE(Y389," ",""),"-",""),"(",""),")",""),".",""),"+",""),"/",""),CHAR(160),"")</f>
        <v/>
      </c>
      <c r="AA389" s="32">
        <f>IF(Z389="","",IF(LEN(Z389)=10,"+1"&amp;Z389,IF(AND(LEN(Z389)=11,LEFT(Z389,1)="1"),"+"&amp;Z389,IF(LEFT(Y389,1)="+","+"&amp;Z389,Z389))))</f>
        <v/>
      </c>
      <c r="AB389" s="32">
        <f>IF(TRIM(A389&amp;"")="","",IF(TRIM(M389&amp;"")&lt;&gt;"",TRIM(M389&amp;""),IFERROR(LEFT(TRIM(A389&amp;""),FIND(" ",TRIM(A389&amp;""))-1),TRIM(A389&amp;""))))</f>
        <v/>
      </c>
      <c r="AC389" s="32">
        <f>SUBSTITUTE(SUBSTITUTE(SUBSTITUTE(SUBSTITUTE(SUBSTITUTE(SUBSTITUTE(SUBSTITUTE(SUBSTITUTE(SUBSTITUTE(SUBSTITUTE(AB389,"%","%25"),"&amp;","%26"),"#","%23"),"+","%2B"),"=","%3D"),"?","%3F"),CHAR(34),"%22"),CHAR(10),"%0A"),CHAR(13),"")," ","+")</f>
        <v/>
      </c>
      <c r="AD389" s="32">
        <f>IF(OR(AA389="",AB389=""),"",'Start Here'!$B$20&amp;"#p="&amp;SUBSTITUTE(AA389,"+","%2B")&amp;"&amp;n="&amp;AC389&amp;"&amp;m="&amp;SUBSTITUTE('Start Here'!$B$24,"{name}",AC389))</f>
        <v/>
      </c>
      <c r="AE389" s="32">
        <f>LEN(AD389)</f>
        <v/>
      </c>
      <c r="AF389" s="32">
        <f>IF(AND(TRIM(A389&amp;"")&lt;&gt;"",OR(B389="Awaiting",B389="Not sure yet")),1,0)</f>
        <v/>
      </c>
      <c r="AG389" s="32">
        <f>N(AG388)+AF389</f>
        <v/>
      </c>
      <c r="AH389" s="32">
        <f>IF(AF389=1,AG389,"")</f>
        <v/>
      </c>
      <c r="AI389" s="32">
        <f>IF(AND(TRIM(A389&amp;"")&lt;&gt;"",L389&amp;""&lt;&gt;"",L389&amp;""=Seating!$I$3&amp;"",B389&lt;&gt;"Declined"),1,0)</f>
        <v/>
      </c>
      <c r="AJ389" s="32">
        <f>N(AJ388)+AI389</f>
        <v/>
      </c>
      <c r="AK389" s="32">
        <f>IF(AI389=1,AJ389,"")</f>
        <v/>
      </c>
    </row>
    <row r="390">
      <c r="A390" s="10" t="n"/>
      <c r="B390" s="47">
        <f>IF(TRIM(A390&amp;"")="","",IF(W390&lt;&gt;"",W390,IF(I390="","Awaiting",I390)))</f>
        <v/>
      </c>
      <c r="C390" s="60">
        <f>IF(OR(B390="Awaiting",B390="Not sure yet"),IF(AD390&lt;&gt;"",HYPERLINK(AD390,"💬 Remind"),"add mobile"),"")</f>
        <v/>
      </c>
      <c r="D390" s="58" t="n"/>
      <c r="E390" s="10" t="n"/>
      <c r="F390" s="10" t="n"/>
      <c r="G390" s="10" t="n"/>
      <c r="H390" s="10" t="n"/>
      <c r="I390" s="10" t="n"/>
      <c r="J390" s="10" t="n"/>
      <c r="K390" s="10" t="n"/>
      <c r="L390" s="56" t="n"/>
      <c r="M390" s="10" t="n"/>
      <c r="N390" s="12" t="n"/>
      <c r="O390" s="10" t="n"/>
      <c r="P390" s="10" t="n"/>
      <c r="Q390" s="61">
        <f>IF(V390="","",IF(T390="","Covered by "&amp;INDEX('Form Calc'!$B:$B,V390)&amp;"'s reply (same party)","Replied "&amp;TEXT(INDEX('Form Calc'!$A:$A,T390),"mm/dd")&amp;" · "&amp;INDEX('Form Calc'!$H:$H,T390)&amp;" adult(s), "&amp;INDEX('Form Calc'!$I:$I,T390)&amp;" child(ren)"&amp;IF(INDEX('Form Calc'!$K:$K,T390)&lt;&gt;""," · "&amp;INDEX('Form Calc'!$K:$K,T390),"")&amp;IF(INDEX('Form Calc'!$M:$M,T390)&lt;&gt;""," · “"&amp;INDEX('Form Calc'!$M:$M,T390)&amp;"”","")))</f>
        <v/>
      </c>
      <c r="R390" s="32">
        <f>SUBSTITUTE(SUBSTITUTE(SUBSTITUTE(SUBSTITUTE(SUBSTITUTE(SUBSTITUTE(SUBSTITUTE(SUBSTITUTE(D390&amp;""," ",""),"-",""),"(",""),")",""),".",""),"+",""),"/",""),CHAR(160),"")</f>
        <v/>
      </c>
      <c r="S390" s="32">
        <f>IF(LEN(R390)&gt;=10,RIGHT(R390,10),R390)</f>
        <v/>
      </c>
      <c r="T390" s="32">
        <f>IF(TRIM(A390&amp;"")="","",IF(S390&lt;&gt;"",IFERROR(MATCH(S390,'Form Calc'!$P:$P,0),IFERROR(MATCH(TRIM(A390&amp;""),'Form Calc'!$Q:$Q,0),"")),IFERROR(MATCH(TRIM(A390&amp;""),'Form Calc'!$Q:$Q,0),"")))</f>
        <v/>
      </c>
      <c r="U390" s="32">
        <f>IF(AND(T390&lt;&gt;"",TRIM(E390&amp;"")&lt;&gt;""),TRIM(E390&amp;""),"")</f>
        <v/>
      </c>
      <c r="V390" s="32">
        <f>IF(TRIM(A390&amp;"")="","",IF(T390&lt;&gt;"",T390,IF(TRIM(E390&amp;"")="","",IFERROR(INDEX($T$6:$T$505,MATCH(TRIM(E390&amp;""),$U$6:$U$505,0)),""))))</f>
        <v/>
      </c>
      <c r="W390" s="32">
        <f>IF(V390="","",INDEX('Form Calc'!$G:$G,V390))</f>
        <v/>
      </c>
      <c r="X390" s="32">
        <f>IF(TRIM(A390&amp;"")="","",IF(T390&lt;&gt;"",IF(INDEX('Form Calc'!$K:$K,T390)&lt;&gt;"",INDEX('Form Calc'!$K:$K,T390),J390&amp;""),J390&amp;""))</f>
        <v/>
      </c>
      <c r="Y390" s="32">
        <f>IF(TRIM(A390&amp;"")="","",IF(TRIM(D390&amp;"")&lt;&gt;"",TRIM(D390&amp;""),IF(T390&lt;&gt;"",INDEX('Form Calc'!$C:$C,T390)&amp;"","")))</f>
        <v/>
      </c>
      <c r="Z390" s="32">
        <f>SUBSTITUTE(SUBSTITUTE(SUBSTITUTE(SUBSTITUTE(SUBSTITUTE(SUBSTITUTE(SUBSTITUTE(SUBSTITUTE(Y390," ",""),"-",""),"(",""),")",""),".",""),"+",""),"/",""),CHAR(160),"")</f>
        <v/>
      </c>
      <c r="AA390" s="32">
        <f>IF(Z390="","",IF(LEN(Z390)=10,"+1"&amp;Z390,IF(AND(LEN(Z390)=11,LEFT(Z390,1)="1"),"+"&amp;Z390,IF(LEFT(Y390,1)="+","+"&amp;Z390,Z390))))</f>
        <v/>
      </c>
      <c r="AB390" s="32">
        <f>IF(TRIM(A390&amp;"")="","",IF(TRIM(M390&amp;"")&lt;&gt;"",TRIM(M390&amp;""),IFERROR(LEFT(TRIM(A390&amp;""),FIND(" ",TRIM(A390&amp;""))-1),TRIM(A390&amp;""))))</f>
        <v/>
      </c>
      <c r="AC390" s="32">
        <f>SUBSTITUTE(SUBSTITUTE(SUBSTITUTE(SUBSTITUTE(SUBSTITUTE(SUBSTITUTE(SUBSTITUTE(SUBSTITUTE(SUBSTITUTE(SUBSTITUTE(AB390,"%","%25"),"&amp;","%26"),"#","%23"),"+","%2B"),"=","%3D"),"?","%3F"),CHAR(34),"%22"),CHAR(10),"%0A"),CHAR(13),"")," ","+")</f>
        <v/>
      </c>
      <c r="AD390" s="32">
        <f>IF(OR(AA390="",AB390=""),"",'Start Here'!$B$20&amp;"#p="&amp;SUBSTITUTE(AA390,"+","%2B")&amp;"&amp;n="&amp;AC390&amp;"&amp;m="&amp;SUBSTITUTE('Start Here'!$B$24,"{name}",AC390))</f>
        <v/>
      </c>
      <c r="AE390" s="32">
        <f>LEN(AD390)</f>
        <v/>
      </c>
      <c r="AF390" s="32">
        <f>IF(AND(TRIM(A390&amp;"")&lt;&gt;"",OR(B390="Awaiting",B390="Not sure yet")),1,0)</f>
        <v/>
      </c>
      <c r="AG390" s="32">
        <f>N(AG389)+AF390</f>
        <v/>
      </c>
      <c r="AH390" s="32">
        <f>IF(AF390=1,AG390,"")</f>
        <v/>
      </c>
      <c r="AI390" s="32">
        <f>IF(AND(TRIM(A390&amp;"")&lt;&gt;"",L390&amp;""&lt;&gt;"",L390&amp;""=Seating!$I$3&amp;"",B390&lt;&gt;"Declined"),1,0)</f>
        <v/>
      </c>
      <c r="AJ390" s="32">
        <f>N(AJ389)+AI390</f>
        <v/>
      </c>
      <c r="AK390" s="32">
        <f>IF(AI390=1,AJ390,"")</f>
        <v/>
      </c>
    </row>
    <row r="391">
      <c r="A391" s="10" t="n"/>
      <c r="B391" s="47">
        <f>IF(TRIM(A391&amp;"")="","",IF(W391&lt;&gt;"",W391,IF(I391="","Awaiting",I391)))</f>
        <v/>
      </c>
      <c r="C391" s="60">
        <f>IF(OR(B391="Awaiting",B391="Not sure yet"),IF(AD391&lt;&gt;"",HYPERLINK(AD391,"💬 Remind"),"add mobile"),"")</f>
        <v/>
      </c>
      <c r="D391" s="58" t="n"/>
      <c r="E391" s="10" t="n"/>
      <c r="F391" s="10" t="n"/>
      <c r="G391" s="10" t="n"/>
      <c r="H391" s="10" t="n"/>
      <c r="I391" s="10" t="n"/>
      <c r="J391" s="10" t="n"/>
      <c r="K391" s="10" t="n"/>
      <c r="L391" s="56" t="n"/>
      <c r="M391" s="10" t="n"/>
      <c r="N391" s="12" t="n"/>
      <c r="O391" s="10" t="n"/>
      <c r="P391" s="10" t="n"/>
      <c r="Q391" s="61">
        <f>IF(V391="","",IF(T391="","Covered by "&amp;INDEX('Form Calc'!$B:$B,V391)&amp;"'s reply (same party)","Replied "&amp;TEXT(INDEX('Form Calc'!$A:$A,T391),"mm/dd")&amp;" · "&amp;INDEX('Form Calc'!$H:$H,T391)&amp;" adult(s), "&amp;INDEX('Form Calc'!$I:$I,T391)&amp;" child(ren)"&amp;IF(INDEX('Form Calc'!$K:$K,T391)&lt;&gt;""," · "&amp;INDEX('Form Calc'!$K:$K,T391),"")&amp;IF(INDEX('Form Calc'!$M:$M,T391)&lt;&gt;""," · “"&amp;INDEX('Form Calc'!$M:$M,T391)&amp;"”","")))</f>
        <v/>
      </c>
      <c r="R391" s="32">
        <f>SUBSTITUTE(SUBSTITUTE(SUBSTITUTE(SUBSTITUTE(SUBSTITUTE(SUBSTITUTE(SUBSTITUTE(SUBSTITUTE(D391&amp;""," ",""),"-",""),"(",""),")",""),".",""),"+",""),"/",""),CHAR(160),"")</f>
        <v/>
      </c>
      <c r="S391" s="32">
        <f>IF(LEN(R391)&gt;=10,RIGHT(R391,10),R391)</f>
        <v/>
      </c>
      <c r="T391" s="32">
        <f>IF(TRIM(A391&amp;"")="","",IF(S391&lt;&gt;"",IFERROR(MATCH(S391,'Form Calc'!$P:$P,0),IFERROR(MATCH(TRIM(A391&amp;""),'Form Calc'!$Q:$Q,0),"")),IFERROR(MATCH(TRIM(A391&amp;""),'Form Calc'!$Q:$Q,0),"")))</f>
        <v/>
      </c>
      <c r="U391" s="32">
        <f>IF(AND(T391&lt;&gt;"",TRIM(E391&amp;"")&lt;&gt;""),TRIM(E391&amp;""),"")</f>
        <v/>
      </c>
      <c r="V391" s="32">
        <f>IF(TRIM(A391&amp;"")="","",IF(T391&lt;&gt;"",T391,IF(TRIM(E391&amp;"")="","",IFERROR(INDEX($T$6:$T$505,MATCH(TRIM(E391&amp;""),$U$6:$U$505,0)),""))))</f>
        <v/>
      </c>
      <c r="W391" s="32">
        <f>IF(V391="","",INDEX('Form Calc'!$G:$G,V391))</f>
        <v/>
      </c>
      <c r="X391" s="32">
        <f>IF(TRIM(A391&amp;"")="","",IF(T391&lt;&gt;"",IF(INDEX('Form Calc'!$K:$K,T391)&lt;&gt;"",INDEX('Form Calc'!$K:$K,T391),J391&amp;""),J391&amp;""))</f>
        <v/>
      </c>
      <c r="Y391" s="32">
        <f>IF(TRIM(A391&amp;"")="","",IF(TRIM(D391&amp;"")&lt;&gt;"",TRIM(D391&amp;""),IF(T391&lt;&gt;"",INDEX('Form Calc'!$C:$C,T391)&amp;"","")))</f>
        <v/>
      </c>
      <c r="Z391" s="32">
        <f>SUBSTITUTE(SUBSTITUTE(SUBSTITUTE(SUBSTITUTE(SUBSTITUTE(SUBSTITUTE(SUBSTITUTE(SUBSTITUTE(Y391," ",""),"-",""),"(",""),")",""),".",""),"+",""),"/",""),CHAR(160),"")</f>
        <v/>
      </c>
      <c r="AA391" s="32">
        <f>IF(Z391="","",IF(LEN(Z391)=10,"+1"&amp;Z391,IF(AND(LEN(Z391)=11,LEFT(Z391,1)="1"),"+"&amp;Z391,IF(LEFT(Y391,1)="+","+"&amp;Z391,Z391))))</f>
        <v/>
      </c>
      <c r="AB391" s="32">
        <f>IF(TRIM(A391&amp;"")="","",IF(TRIM(M391&amp;"")&lt;&gt;"",TRIM(M391&amp;""),IFERROR(LEFT(TRIM(A391&amp;""),FIND(" ",TRIM(A391&amp;""))-1),TRIM(A391&amp;""))))</f>
        <v/>
      </c>
      <c r="AC391" s="32">
        <f>SUBSTITUTE(SUBSTITUTE(SUBSTITUTE(SUBSTITUTE(SUBSTITUTE(SUBSTITUTE(SUBSTITUTE(SUBSTITUTE(SUBSTITUTE(SUBSTITUTE(AB391,"%","%25"),"&amp;","%26"),"#","%23"),"+","%2B"),"=","%3D"),"?","%3F"),CHAR(34),"%22"),CHAR(10),"%0A"),CHAR(13),"")," ","+")</f>
        <v/>
      </c>
      <c r="AD391" s="32">
        <f>IF(OR(AA391="",AB391=""),"",'Start Here'!$B$20&amp;"#p="&amp;SUBSTITUTE(AA391,"+","%2B")&amp;"&amp;n="&amp;AC391&amp;"&amp;m="&amp;SUBSTITUTE('Start Here'!$B$24,"{name}",AC391))</f>
        <v/>
      </c>
      <c r="AE391" s="32">
        <f>LEN(AD391)</f>
        <v/>
      </c>
      <c r="AF391" s="32">
        <f>IF(AND(TRIM(A391&amp;"")&lt;&gt;"",OR(B391="Awaiting",B391="Not sure yet")),1,0)</f>
        <v/>
      </c>
      <c r="AG391" s="32">
        <f>N(AG390)+AF391</f>
        <v/>
      </c>
      <c r="AH391" s="32">
        <f>IF(AF391=1,AG391,"")</f>
        <v/>
      </c>
      <c r="AI391" s="32">
        <f>IF(AND(TRIM(A391&amp;"")&lt;&gt;"",L391&amp;""&lt;&gt;"",L391&amp;""=Seating!$I$3&amp;"",B391&lt;&gt;"Declined"),1,0)</f>
        <v/>
      </c>
      <c r="AJ391" s="32">
        <f>N(AJ390)+AI391</f>
        <v/>
      </c>
      <c r="AK391" s="32">
        <f>IF(AI391=1,AJ391,"")</f>
        <v/>
      </c>
    </row>
    <row r="392">
      <c r="A392" s="10" t="n"/>
      <c r="B392" s="47">
        <f>IF(TRIM(A392&amp;"")="","",IF(W392&lt;&gt;"",W392,IF(I392="","Awaiting",I392)))</f>
        <v/>
      </c>
      <c r="C392" s="60">
        <f>IF(OR(B392="Awaiting",B392="Not sure yet"),IF(AD392&lt;&gt;"",HYPERLINK(AD392,"💬 Remind"),"add mobile"),"")</f>
        <v/>
      </c>
      <c r="D392" s="58" t="n"/>
      <c r="E392" s="10" t="n"/>
      <c r="F392" s="10" t="n"/>
      <c r="G392" s="10" t="n"/>
      <c r="H392" s="10" t="n"/>
      <c r="I392" s="10" t="n"/>
      <c r="J392" s="10" t="n"/>
      <c r="K392" s="10" t="n"/>
      <c r="L392" s="56" t="n"/>
      <c r="M392" s="10" t="n"/>
      <c r="N392" s="12" t="n"/>
      <c r="O392" s="10" t="n"/>
      <c r="P392" s="10" t="n"/>
      <c r="Q392" s="61">
        <f>IF(V392="","",IF(T392="","Covered by "&amp;INDEX('Form Calc'!$B:$B,V392)&amp;"'s reply (same party)","Replied "&amp;TEXT(INDEX('Form Calc'!$A:$A,T392),"mm/dd")&amp;" · "&amp;INDEX('Form Calc'!$H:$H,T392)&amp;" adult(s), "&amp;INDEX('Form Calc'!$I:$I,T392)&amp;" child(ren)"&amp;IF(INDEX('Form Calc'!$K:$K,T392)&lt;&gt;""," · "&amp;INDEX('Form Calc'!$K:$K,T392),"")&amp;IF(INDEX('Form Calc'!$M:$M,T392)&lt;&gt;""," · “"&amp;INDEX('Form Calc'!$M:$M,T392)&amp;"”","")))</f>
        <v/>
      </c>
      <c r="R392" s="32">
        <f>SUBSTITUTE(SUBSTITUTE(SUBSTITUTE(SUBSTITUTE(SUBSTITUTE(SUBSTITUTE(SUBSTITUTE(SUBSTITUTE(D392&amp;""," ",""),"-",""),"(",""),")",""),".",""),"+",""),"/",""),CHAR(160),"")</f>
        <v/>
      </c>
      <c r="S392" s="32">
        <f>IF(LEN(R392)&gt;=10,RIGHT(R392,10),R392)</f>
        <v/>
      </c>
      <c r="T392" s="32">
        <f>IF(TRIM(A392&amp;"")="","",IF(S392&lt;&gt;"",IFERROR(MATCH(S392,'Form Calc'!$P:$P,0),IFERROR(MATCH(TRIM(A392&amp;""),'Form Calc'!$Q:$Q,0),"")),IFERROR(MATCH(TRIM(A392&amp;""),'Form Calc'!$Q:$Q,0),"")))</f>
        <v/>
      </c>
      <c r="U392" s="32">
        <f>IF(AND(T392&lt;&gt;"",TRIM(E392&amp;"")&lt;&gt;""),TRIM(E392&amp;""),"")</f>
        <v/>
      </c>
      <c r="V392" s="32">
        <f>IF(TRIM(A392&amp;"")="","",IF(T392&lt;&gt;"",T392,IF(TRIM(E392&amp;"")="","",IFERROR(INDEX($T$6:$T$505,MATCH(TRIM(E392&amp;""),$U$6:$U$505,0)),""))))</f>
        <v/>
      </c>
      <c r="W392" s="32">
        <f>IF(V392="","",INDEX('Form Calc'!$G:$G,V392))</f>
        <v/>
      </c>
      <c r="X392" s="32">
        <f>IF(TRIM(A392&amp;"")="","",IF(T392&lt;&gt;"",IF(INDEX('Form Calc'!$K:$K,T392)&lt;&gt;"",INDEX('Form Calc'!$K:$K,T392),J392&amp;""),J392&amp;""))</f>
        <v/>
      </c>
      <c r="Y392" s="32">
        <f>IF(TRIM(A392&amp;"")="","",IF(TRIM(D392&amp;"")&lt;&gt;"",TRIM(D392&amp;""),IF(T392&lt;&gt;"",INDEX('Form Calc'!$C:$C,T392)&amp;"","")))</f>
        <v/>
      </c>
      <c r="Z392" s="32">
        <f>SUBSTITUTE(SUBSTITUTE(SUBSTITUTE(SUBSTITUTE(SUBSTITUTE(SUBSTITUTE(SUBSTITUTE(SUBSTITUTE(Y392," ",""),"-",""),"(",""),")",""),".",""),"+",""),"/",""),CHAR(160),"")</f>
        <v/>
      </c>
      <c r="AA392" s="32">
        <f>IF(Z392="","",IF(LEN(Z392)=10,"+1"&amp;Z392,IF(AND(LEN(Z392)=11,LEFT(Z392,1)="1"),"+"&amp;Z392,IF(LEFT(Y392,1)="+","+"&amp;Z392,Z392))))</f>
        <v/>
      </c>
      <c r="AB392" s="32">
        <f>IF(TRIM(A392&amp;"")="","",IF(TRIM(M392&amp;"")&lt;&gt;"",TRIM(M392&amp;""),IFERROR(LEFT(TRIM(A392&amp;""),FIND(" ",TRIM(A392&amp;""))-1),TRIM(A392&amp;""))))</f>
        <v/>
      </c>
      <c r="AC392" s="32">
        <f>SUBSTITUTE(SUBSTITUTE(SUBSTITUTE(SUBSTITUTE(SUBSTITUTE(SUBSTITUTE(SUBSTITUTE(SUBSTITUTE(SUBSTITUTE(SUBSTITUTE(AB392,"%","%25"),"&amp;","%26"),"#","%23"),"+","%2B"),"=","%3D"),"?","%3F"),CHAR(34),"%22"),CHAR(10),"%0A"),CHAR(13),"")," ","+")</f>
        <v/>
      </c>
      <c r="AD392" s="32">
        <f>IF(OR(AA392="",AB392=""),"",'Start Here'!$B$20&amp;"#p="&amp;SUBSTITUTE(AA392,"+","%2B")&amp;"&amp;n="&amp;AC392&amp;"&amp;m="&amp;SUBSTITUTE('Start Here'!$B$24,"{name}",AC392))</f>
        <v/>
      </c>
      <c r="AE392" s="32">
        <f>LEN(AD392)</f>
        <v/>
      </c>
      <c r="AF392" s="32">
        <f>IF(AND(TRIM(A392&amp;"")&lt;&gt;"",OR(B392="Awaiting",B392="Not sure yet")),1,0)</f>
        <v/>
      </c>
      <c r="AG392" s="32">
        <f>N(AG391)+AF392</f>
        <v/>
      </c>
      <c r="AH392" s="32">
        <f>IF(AF392=1,AG392,"")</f>
        <v/>
      </c>
      <c r="AI392" s="32">
        <f>IF(AND(TRIM(A392&amp;"")&lt;&gt;"",L392&amp;""&lt;&gt;"",L392&amp;""=Seating!$I$3&amp;"",B392&lt;&gt;"Declined"),1,0)</f>
        <v/>
      </c>
      <c r="AJ392" s="32">
        <f>N(AJ391)+AI392</f>
        <v/>
      </c>
      <c r="AK392" s="32">
        <f>IF(AI392=1,AJ392,"")</f>
        <v/>
      </c>
    </row>
    <row r="393">
      <c r="A393" s="10" t="n"/>
      <c r="B393" s="47">
        <f>IF(TRIM(A393&amp;"")="","",IF(W393&lt;&gt;"",W393,IF(I393="","Awaiting",I393)))</f>
        <v/>
      </c>
      <c r="C393" s="60">
        <f>IF(OR(B393="Awaiting",B393="Not sure yet"),IF(AD393&lt;&gt;"",HYPERLINK(AD393,"💬 Remind"),"add mobile"),"")</f>
        <v/>
      </c>
      <c r="D393" s="58" t="n"/>
      <c r="E393" s="10" t="n"/>
      <c r="F393" s="10" t="n"/>
      <c r="G393" s="10" t="n"/>
      <c r="H393" s="10" t="n"/>
      <c r="I393" s="10" t="n"/>
      <c r="J393" s="10" t="n"/>
      <c r="K393" s="10" t="n"/>
      <c r="L393" s="56" t="n"/>
      <c r="M393" s="10" t="n"/>
      <c r="N393" s="12" t="n"/>
      <c r="O393" s="10" t="n"/>
      <c r="P393" s="10" t="n"/>
      <c r="Q393" s="61">
        <f>IF(V393="","",IF(T393="","Covered by "&amp;INDEX('Form Calc'!$B:$B,V393)&amp;"'s reply (same party)","Replied "&amp;TEXT(INDEX('Form Calc'!$A:$A,T393),"mm/dd")&amp;" · "&amp;INDEX('Form Calc'!$H:$H,T393)&amp;" adult(s), "&amp;INDEX('Form Calc'!$I:$I,T393)&amp;" child(ren)"&amp;IF(INDEX('Form Calc'!$K:$K,T393)&lt;&gt;""," · "&amp;INDEX('Form Calc'!$K:$K,T393),"")&amp;IF(INDEX('Form Calc'!$M:$M,T393)&lt;&gt;""," · “"&amp;INDEX('Form Calc'!$M:$M,T393)&amp;"”","")))</f>
        <v/>
      </c>
      <c r="R393" s="32">
        <f>SUBSTITUTE(SUBSTITUTE(SUBSTITUTE(SUBSTITUTE(SUBSTITUTE(SUBSTITUTE(SUBSTITUTE(SUBSTITUTE(D393&amp;""," ",""),"-",""),"(",""),")",""),".",""),"+",""),"/",""),CHAR(160),"")</f>
        <v/>
      </c>
      <c r="S393" s="32">
        <f>IF(LEN(R393)&gt;=10,RIGHT(R393,10),R393)</f>
        <v/>
      </c>
      <c r="T393" s="32">
        <f>IF(TRIM(A393&amp;"")="","",IF(S393&lt;&gt;"",IFERROR(MATCH(S393,'Form Calc'!$P:$P,0),IFERROR(MATCH(TRIM(A393&amp;""),'Form Calc'!$Q:$Q,0),"")),IFERROR(MATCH(TRIM(A393&amp;""),'Form Calc'!$Q:$Q,0),"")))</f>
        <v/>
      </c>
      <c r="U393" s="32">
        <f>IF(AND(T393&lt;&gt;"",TRIM(E393&amp;"")&lt;&gt;""),TRIM(E393&amp;""),"")</f>
        <v/>
      </c>
      <c r="V393" s="32">
        <f>IF(TRIM(A393&amp;"")="","",IF(T393&lt;&gt;"",T393,IF(TRIM(E393&amp;"")="","",IFERROR(INDEX($T$6:$T$505,MATCH(TRIM(E393&amp;""),$U$6:$U$505,0)),""))))</f>
        <v/>
      </c>
      <c r="W393" s="32">
        <f>IF(V393="","",INDEX('Form Calc'!$G:$G,V393))</f>
        <v/>
      </c>
      <c r="X393" s="32">
        <f>IF(TRIM(A393&amp;"")="","",IF(T393&lt;&gt;"",IF(INDEX('Form Calc'!$K:$K,T393)&lt;&gt;"",INDEX('Form Calc'!$K:$K,T393),J393&amp;""),J393&amp;""))</f>
        <v/>
      </c>
      <c r="Y393" s="32">
        <f>IF(TRIM(A393&amp;"")="","",IF(TRIM(D393&amp;"")&lt;&gt;"",TRIM(D393&amp;""),IF(T393&lt;&gt;"",INDEX('Form Calc'!$C:$C,T393)&amp;"","")))</f>
        <v/>
      </c>
      <c r="Z393" s="32">
        <f>SUBSTITUTE(SUBSTITUTE(SUBSTITUTE(SUBSTITUTE(SUBSTITUTE(SUBSTITUTE(SUBSTITUTE(SUBSTITUTE(Y393," ",""),"-",""),"(",""),")",""),".",""),"+",""),"/",""),CHAR(160),"")</f>
        <v/>
      </c>
      <c r="AA393" s="32">
        <f>IF(Z393="","",IF(LEN(Z393)=10,"+1"&amp;Z393,IF(AND(LEN(Z393)=11,LEFT(Z393,1)="1"),"+"&amp;Z393,IF(LEFT(Y393,1)="+","+"&amp;Z393,Z393))))</f>
        <v/>
      </c>
      <c r="AB393" s="32">
        <f>IF(TRIM(A393&amp;"")="","",IF(TRIM(M393&amp;"")&lt;&gt;"",TRIM(M393&amp;""),IFERROR(LEFT(TRIM(A393&amp;""),FIND(" ",TRIM(A393&amp;""))-1),TRIM(A393&amp;""))))</f>
        <v/>
      </c>
      <c r="AC393" s="32">
        <f>SUBSTITUTE(SUBSTITUTE(SUBSTITUTE(SUBSTITUTE(SUBSTITUTE(SUBSTITUTE(SUBSTITUTE(SUBSTITUTE(SUBSTITUTE(SUBSTITUTE(AB393,"%","%25"),"&amp;","%26"),"#","%23"),"+","%2B"),"=","%3D"),"?","%3F"),CHAR(34),"%22"),CHAR(10),"%0A"),CHAR(13),"")," ","+")</f>
        <v/>
      </c>
      <c r="AD393" s="32">
        <f>IF(OR(AA393="",AB393=""),"",'Start Here'!$B$20&amp;"#p="&amp;SUBSTITUTE(AA393,"+","%2B")&amp;"&amp;n="&amp;AC393&amp;"&amp;m="&amp;SUBSTITUTE('Start Here'!$B$24,"{name}",AC393))</f>
        <v/>
      </c>
      <c r="AE393" s="32">
        <f>LEN(AD393)</f>
        <v/>
      </c>
      <c r="AF393" s="32">
        <f>IF(AND(TRIM(A393&amp;"")&lt;&gt;"",OR(B393="Awaiting",B393="Not sure yet")),1,0)</f>
        <v/>
      </c>
      <c r="AG393" s="32">
        <f>N(AG392)+AF393</f>
        <v/>
      </c>
      <c r="AH393" s="32">
        <f>IF(AF393=1,AG393,"")</f>
        <v/>
      </c>
      <c r="AI393" s="32">
        <f>IF(AND(TRIM(A393&amp;"")&lt;&gt;"",L393&amp;""&lt;&gt;"",L393&amp;""=Seating!$I$3&amp;"",B393&lt;&gt;"Declined"),1,0)</f>
        <v/>
      </c>
      <c r="AJ393" s="32">
        <f>N(AJ392)+AI393</f>
        <v/>
      </c>
      <c r="AK393" s="32">
        <f>IF(AI393=1,AJ393,"")</f>
        <v/>
      </c>
    </row>
    <row r="394">
      <c r="A394" s="10" t="n"/>
      <c r="B394" s="47">
        <f>IF(TRIM(A394&amp;"")="","",IF(W394&lt;&gt;"",W394,IF(I394="","Awaiting",I394)))</f>
        <v/>
      </c>
      <c r="C394" s="60">
        <f>IF(OR(B394="Awaiting",B394="Not sure yet"),IF(AD394&lt;&gt;"",HYPERLINK(AD394,"💬 Remind"),"add mobile"),"")</f>
        <v/>
      </c>
      <c r="D394" s="58" t="n"/>
      <c r="E394" s="10" t="n"/>
      <c r="F394" s="10" t="n"/>
      <c r="G394" s="10" t="n"/>
      <c r="H394" s="10" t="n"/>
      <c r="I394" s="10" t="n"/>
      <c r="J394" s="10" t="n"/>
      <c r="K394" s="10" t="n"/>
      <c r="L394" s="56" t="n"/>
      <c r="M394" s="10" t="n"/>
      <c r="N394" s="12" t="n"/>
      <c r="O394" s="10" t="n"/>
      <c r="P394" s="10" t="n"/>
      <c r="Q394" s="61">
        <f>IF(V394="","",IF(T394="","Covered by "&amp;INDEX('Form Calc'!$B:$B,V394)&amp;"'s reply (same party)","Replied "&amp;TEXT(INDEX('Form Calc'!$A:$A,T394),"mm/dd")&amp;" · "&amp;INDEX('Form Calc'!$H:$H,T394)&amp;" adult(s), "&amp;INDEX('Form Calc'!$I:$I,T394)&amp;" child(ren)"&amp;IF(INDEX('Form Calc'!$K:$K,T394)&lt;&gt;""," · "&amp;INDEX('Form Calc'!$K:$K,T394),"")&amp;IF(INDEX('Form Calc'!$M:$M,T394)&lt;&gt;""," · “"&amp;INDEX('Form Calc'!$M:$M,T394)&amp;"”","")))</f>
        <v/>
      </c>
      <c r="R394" s="32">
        <f>SUBSTITUTE(SUBSTITUTE(SUBSTITUTE(SUBSTITUTE(SUBSTITUTE(SUBSTITUTE(SUBSTITUTE(SUBSTITUTE(D394&amp;""," ",""),"-",""),"(",""),")",""),".",""),"+",""),"/",""),CHAR(160),"")</f>
        <v/>
      </c>
      <c r="S394" s="32">
        <f>IF(LEN(R394)&gt;=10,RIGHT(R394,10),R394)</f>
        <v/>
      </c>
      <c r="T394" s="32">
        <f>IF(TRIM(A394&amp;"")="","",IF(S394&lt;&gt;"",IFERROR(MATCH(S394,'Form Calc'!$P:$P,0),IFERROR(MATCH(TRIM(A394&amp;""),'Form Calc'!$Q:$Q,0),"")),IFERROR(MATCH(TRIM(A394&amp;""),'Form Calc'!$Q:$Q,0),"")))</f>
        <v/>
      </c>
      <c r="U394" s="32">
        <f>IF(AND(T394&lt;&gt;"",TRIM(E394&amp;"")&lt;&gt;""),TRIM(E394&amp;""),"")</f>
        <v/>
      </c>
      <c r="V394" s="32">
        <f>IF(TRIM(A394&amp;"")="","",IF(T394&lt;&gt;"",T394,IF(TRIM(E394&amp;"")="","",IFERROR(INDEX($T$6:$T$505,MATCH(TRIM(E394&amp;""),$U$6:$U$505,0)),""))))</f>
        <v/>
      </c>
      <c r="W394" s="32">
        <f>IF(V394="","",INDEX('Form Calc'!$G:$G,V394))</f>
        <v/>
      </c>
      <c r="X394" s="32">
        <f>IF(TRIM(A394&amp;"")="","",IF(T394&lt;&gt;"",IF(INDEX('Form Calc'!$K:$K,T394)&lt;&gt;"",INDEX('Form Calc'!$K:$K,T394),J394&amp;""),J394&amp;""))</f>
        <v/>
      </c>
      <c r="Y394" s="32">
        <f>IF(TRIM(A394&amp;"")="","",IF(TRIM(D394&amp;"")&lt;&gt;"",TRIM(D394&amp;""),IF(T394&lt;&gt;"",INDEX('Form Calc'!$C:$C,T394)&amp;"","")))</f>
        <v/>
      </c>
      <c r="Z394" s="32">
        <f>SUBSTITUTE(SUBSTITUTE(SUBSTITUTE(SUBSTITUTE(SUBSTITUTE(SUBSTITUTE(SUBSTITUTE(SUBSTITUTE(Y394," ",""),"-",""),"(",""),")",""),".",""),"+",""),"/",""),CHAR(160),"")</f>
        <v/>
      </c>
      <c r="AA394" s="32">
        <f>IF(Z394="","",IF(LEN(Z394)=10,"+1"&amp;Z394,IF(AND(LEN(Z394)=11,LEFT(Z394,1)="1"),"+"&amp;Z394,IF(LEFT(Y394,1)="+","+"&amp;Z394,Z394))))</f>
        <v/>
      </c>
      <c r="AB394" s="32">
        <f>IF(TRIM(A394&amp;"")="","",IF(TRIM(M394&amp;"")&lt;&gt;"",TRIM(M394&amp;""),IFERROR(LEFT(TRIM(A394&amp;""),FIND(" ",TRIM(A394&amp;""))-1),TRIM(A394&amp;""))))</f>
        <v/>
      </c>
      <c r="AC394" s="32">
        <f>SUBSTITUTE(SUBSTITUTE(SUBSTITUTE(SUBSTITUTE(SUBSTITUTE(SUBSTITUTE(SUBSTITUTE(SUBSTITUTE(SUBSTITUTE(SUBSTITUTE(AB394,"%","%25"),"&amp;","%26"),"#","%23"),"+","%2B"),"=","%3D"),"?","%3F"),CHAR(34),"%22"),CHAR(10),"%0A"),CHAR(13),"")," ","+")</f>
        <v/>
      </c>
      <c r="AD394" s="32">
        <f>IF(OR(AA394="",AB394=""),"",'Start Here'!$B$20&amp;"#p="&amp;SUBSTITUTE(AA394,"+","%2B")&amp;"&amp;n="&amp;AC394&amp;"&amp;m="&amp;SUBSTITUTE('Start Here'!$B$24,"{name}",AC394))</f>
        <v/>
      </c>
      <c r="AE394" s="32">
        <f>LEN(AD394)</f>
        <v/>
      </c>
      <c r="AF394" s="32">
        <f>IF(AND(TRIM(A394&amp;"")&lt;&gt;"",OR(B394="Awaiting",B394="Not sure yet")),1,0)</f>
        <v/>
      </c>
      <c r="AG394" s="32">
        <f>N(AG393)+AF394</f>
        <v/>
      </c>
      <c r="AH394" s="32">
        <f>IF(AF394=1,AG394,"")</f>
        <v/>
      </c>
      <c r="AI394" s="32">
        <f>IF(AND(TRIM(A394&amp;"")&lt;&gt;"",L394&amp;""&lt;&gt;"",L394&amp;""=Seating!$I$3&amp;"",B394&lt;&gt;"Declined"),1,0)</f>
        <v/>
      </c>
      <c r="AJ394" s="32">
        <f>N(AJ393)+AI394</f>
        <v/>
      </c>
      <c r="AK394" s="32">
        <f>IF(AI394=1,AJ394,"")</f>
        <v/>
      </c>
    </row>
    <row r="395">
      <c r="A395" s="10" t="n"/>
      <c r="B395" s="47">
        <f>IF(TRIM(A395&amp;"")="","",IF(W395&lt;&gt;"",W395,IF(I395="","Awaiting",I395)))</f>
        <v/>
      </c>
      <c r="C395" s="60">
        <f>IF(OR(B395="Awaiting",B395="Not sure yet"),IF(AD395&lt;&gt;"",HYPERLINK(AD395,"💬 Remind"),"add mobile"),"")</f>
        <v/>
      </c>
      <c r="D395" s="58" t="n"/>
      <c r="E395" s="10" t="n"/>
      <c r="F395" s="10" t="n"/>
      <c r="G395" s="10" t="n"/>
      <c r="H395" s="10" t="n"/>
      <c r="I395" s="10" t="n"/>
      <c r="J395" s="10" t="n"/>
      <c r="K395" s="10" t="n"/>
      <c r="L395" s="56" t="n"/>
      <c r="M395" s="10" t="n"/>
      <c r="N395" s="12" t="n"/>
      <c r="O395" s="10" t="n"/>
      <c r="P395" s="10" t="n"/>
      <c r="Q395" s="61">
        <f>IF(V395="","",IF(T395="","Covered by "&amp;INDEX('Form Calc'!$B:$B,V395)&amp;"'s reply (same party)","Replied "&amp;TEXT(INDEX('Form Calc'!$A:$A,T395),"mm/dd")&amp;" · "&amp;INDEX('Form Calc'!$H:$H,T395)&amp;" adult(s), "&amp;INDEX('Form Calc'!$I:$I,T395)&amp;" child(ren)"&amp;IF(INDEX('Form Calc'!$K:$K,T395)&lt;&gt;""," · "&amp;INDEX('Form Calc'!$K:$K,T395),"")&amp;IF(INDEX('Form Calc'!$M:$M,T395)&lt;&gt;""," · “"&amp;INDEX('Form Calc'!$M:$M,T395)&amp;"”","")))</f>
        <v/>
      </c>
      <c r="R395" s="32">
        <f>SUBSTITUTE(SUBSTITUTE(SUBSTITUTE(SUBSTITUTE(SUBSTITUTE(SUBSTITUTE(SUBSTITUTE(SUBSTITUTE(D395&amp;""," ",""),"-",""),"(",""),")",""),".",""),"+",""),"/",""),CHAR(160),"")</f>
        <v/>
      </c>
      <c r="S395" s="32">
        <f>IF(LEN(R395)&gt;=10,RIGHT(R395,10),R395)</f>
        <v/>
      </c>
      <c r="T395" s="32">
        <f>IF(TRIM(A395&amp;"")="","",IF(S395&lt;&gt;"",IFERROR(MATCH(S395,'Form Calc'!$P:$P,0),IFERROR(MATCH(TRIM(A395&amp;""),'Form Calc'!$Q:$Q,0),"")),IFERROR(MATCH(TRIM(A395&amp;""),'Form Calc'!$Q:$Q,0),"")))</f>
        <v/>
      </c>
      <c r="U395" s="32">
        <f>IF(AND(T395&lt;&gt;"",TRIM(E395&amp;"")&lt;&gt;""),TRIM(E395&amp;""),"")</f>
        <v/>
      </c>
      <c r="V395" s="32">
        <f>IF(TRIM(A395&amp;"")="","",IF(T395&lt;&gt;"",T395,IF(TRIM(E395&amp;"")="","",IFERROR(INDEX($T$6:$T$505,MATCH(TRIM(E395&amp;""),$U$6:$U$505,0)),""))))</f>
        <v/>
      </c>
      <c r="W395" s="32">
        <f>IF(V395="","",INDEX('Form Calc'!$G:$G,V395))</f>
        <v/>
      </c>
      <c r="X395" s="32">
        <f>IF(TRIM(A395&amp;"")="","",IF(T395&lt;&gt;"",IF(INDEX('Form Calc'!$K:$K,T395)&lt;&gt;"",INDEX('Form Calc'!$K:$K,T395),J395&amp;""),J395&amp;""))</f>
        <v/>
      </c>
      <c r="Y395" s="32">
        <f>IF(TRIM(A395&amp;"")="","",IF(TRIM(D395&amp;"")&lt;&gt;"",TRIM(D395&amp;""),IF(T395&lt;&gt;"",INDEX('Form Calc'!$C:$C,T395)&amp;"","")))</f>
        <v/>
      </c>
      <c r="Z395" s="32">
        <f>SUBSTITUTE(SUBSTITUTE(SUBSTITUTE(SUBSTITUTE(SUBSTITUTE(SUBSTITUTE(SUBSTITUTE(SUBSTITUTE(Y395," ",""),"-",""),"(",""),")",""),".",""),"+",""),"/",""),CHAR(160),"")</f>
        <v/>
      </c>
      <c r="AA395" s="32">
        <f>IF(Z395="","",IF(LEN(Z395)=10,"+1"&amp;Z395,IF(AND(LEN(Z395)=11,LEFT(Z395,1)="1"),"+"&amp;Z395,IF(LEFT(Y395,1)="+","+"&amp;Z395,Z395))))</f>
        <v/>
      </c>
      <c r="AB395" s="32">
        <f>IF(TRIM(A395&amp;"")="","",IF(TRIM(M395&amp;"")&lt;&gt;"",TRIM(M395&amp;""),IFERROR(LEFT(TRIM(A395&amp;""),FIND(" ",TRIM(A395&amp;""))-1),TRIM(A395&amp;""))))</f>
        <v/>
      </c>
      <c r="AC395" s="32">
        <f>SUBSTITUTE(SUBSTITUTE(SUBSTITUTE(SUBSTITUTE(SUBSTITUTE(SUBSTITUTE(SUBSTITUTE(SUBSTITUTE(SUBSTITUTE(SUBSTITUTE(AB395,"%","%25"),"&amp;","%26"),"#","%23"),"+","%2B"),"=","%3D"),"?","%3F"),CHAR(34),"%22"),CHAR(10),"%0A"),CHAR(13),"")," ","+")</f>
        <v/>
      </c>
      <c r="AD395" s="32">
        <f>IF(OR(AA395="",AB395=""),"",'Start Here'!$B$20&amp;"#p="&amp;SUBSTITUTE(AA395,"+","%2B")&amp;"&amp;n="&amp;AC395&amp;"&amp;m="&amp;SUBSTITUTE('Start Here'!$B$24,"{name}",AC395))</f>
        <v/>
      </c>
      <c r="AE395" s="32">
        <f>LEN(AD395)</f>
        <v/>
      </c>
      <c r="AF395" s="32">
        <f>IF(AND(TRIM(A395&amp;"")&lt;&gt;"",OR(B395="Awaiting",B395="Not sure yet")),1,0)</f>
        <v/>
      </c>
      <c r="AG395" s="32">
        <f>N(AG394)+AF395</f>
        <v/>
      </c>
      <c r="AH395" s="32">
        <f>IF(AF395=1,AG395,"")</f>
        <v/>
      </c>
      <c r="AI395" s="32">
        <f>IF(AND(TRIM(A395&amp;"")&lt;&gt;"",L395&amp;""&lt;&gt;"",L395&amp;""=Seating!$I$3&amp;"",B395&lt;&gt;"Declined"),1,0)</f>
        <v/>
      </c>
      <c r="AJ395" s="32">
        <f>N(AJ394)+AI395</f>
        <v/>
      </c>
      <c r="AK395" s="32">
        <f>IF(AI395=1,AJ395,"")</f>
        <v/>
      </c>
    </row>
    <row r="396">
      <c r="A396" s="10" t="n"/>
      <c r="B396" s="47">
        <f>IF(TRIM(A396&amp;"")="","",IF(W396&lt;&gt;"",W396,IF(I396="","Awaiting",I396)))</f>
        <v/>
      </c>
      <c r="C396" s="60">
        <f>IF(OR(B396="Awaiting",B396="Not sure yet"),IF(AD396&lt;&gt;"",HYPERLINK(AD396,"💬 Remind"),"add mobile"),"")</f>
        <v/>
      </c>
      <c r="D396" s="58" t="n"/>
      <c r="E396" s="10" t="n"/>
      <c r="F396" s="10" t="n"/>
      <c r="G396" s="10" t="n"/>
      <c r="H396" s="10" t="n"/>
      <c r="I396" s="10" t="n"/>
      <c r="J396" s="10" t="n"/>
      <c r="K396" s="10" t="n"/>
      <c r="L396" s="56" t="n"/>
      <c r="M396" s="10" t="n"/>
      <c r="N396" s="12" t="n"/>
      <c r="O396" s="10" t="n"/>
      <c r="P396" s="10" t="n"/>
      <c r="Q396" s="61">
        <f>IF(V396="","",IF(T396="","Covered by "&amp;INDEX('Form Calc'!$B:$B,V396)&amp;"'s reply (same party)","Replied "&amp;TEXT(INDEX('Form Calc'!$A:$A,T396),"mm/dd")&amp;" · "&amp;INDEX('Form Calc'!$H:$H,T396)&amp;" adult(s), "&amp;INDEX('Form Calc'!$I:$I,T396)&amp;" child(ren)"&amp;IF(INDEX('Form Calc'!$K:$K,T396)&lt;&gt;""," · "&amp;INDEX('Form Calc'!$K:$K,T396),"")&amp;IF(INDEX('Form Calc'!$M:$M,T396)&lt;&gt;""," · “"&amp;INDEX('Form Calc'!$M:$M,T396)&amp;"”","")))</f>
        <v/>
      </c>
      <c r="R396" s="32">
        <f>SUBSTITUTE(SUBSTITUTE(SUBSTITUTE(SUBSTITUTE(SUBSTITUTE(SUBSTITUTE(SUBSTITUTE(SUBSTITUTE(D396&amp;""," ",""),"-",""),"(",""),")",""),".",""),"+",""),"/",""),CHAR(160),"")</f>
        <v/>
      </c>
      <c r="S396" s="32">
        <f>IF(LEN(R396)&gt;=10,RIGHT(R396,10),R396)</f>
        <v/>
      </c>
      <c r="T396" s="32">
        <f>IF(TRIM(A396&amp;"")="","",IF(S396&lt;&gt;"",IFERROR(MATCH(S396,'Form Calc'!$P:$P,0),IFERROR(MATCH(TRIM(A396&amp;""),'Form Calc'!$Q:$Q,0),"")),IFERROR(MATCH(TRIM(A396&amp;""),'Form Calc'!$Q:$Q,0),"")))</f>
        <v/>
      </c>
      <c r="U396" s="32">
        <f>IF(AND(T396&lt;&gt;"",TRIM(E396&amp;"")&lt;&gt;""),TRIM(E396&amp;""),"")</f>
        <v/>
      </c>
      <c r="V396" s="32">
        <f>IF(TRIM(A396&amp;"")="","",IF(T396&lt;&gt;"",T396,IF(TRIM(E396&amp;"")="","",IFERROR(INDEX($T$6:$T$505,MATCH(TRIM(E396&amp;""),$U$6:$U$505,0)),""))))</f>
        <v/>
      </c>
      <c r="W396" s="32">
        <f>IF(V396="","",INDEX('Form Calc'!$G:$G,V396))</f>
        <v/>
      </c>
      <c r="X396" s="32">
        <f>IF(TRIM(A396&amp;"")="","",IF(T396&lt;&gt;"",IF(INDEX('Form Calc'!$K:$K,T396)&lt;&gt;"",INDEX('Form Calc'!$K:$K,T396),J396&amp;""),J396&amp;""))</f>
        <v/>
      </c>
      <c r="Y396" s="32">
        <f>IF(TRIM(A396&amp;"")="","",IF(TRIM(D396&amp;"")&lt;&gt;"",TRIM(D396&amp;""),IF(T396&lt;&gt;"",INDEX('Form Calc'!$C:$C,T396)&amp;"","")))</f>
        <v/>
      </c>
      <c r="Z396" s="32">
        <f>SUBSTITUTE(SUBSTITUTE(SUBSTITUTE(SUBSTITUTE(SUBSTITUTE(SUBSTITUTE(SUBSTITUTE(SUBSTITUTE(Y396," ",""),"-",""),"(",""),")",""),".",""),"+",""),"/",""),CHAR(160),"")</f>
        <v/>
      </c>
      <c r="AA396" s="32">
        <f>IF(Z396="","",IF(LEN(Z396)=10,"+1"&amp;Z396,IF(AND(LEN(Z396)=11,LEFT(Z396,1)="1"),"+"&amp;Z396,IF(LEFT(Y396,1)="+","+"&amp;Z396,Z396))))</f>
        <v/>
      </c>
      <c r="AB396" s="32">
        <f>IF(TRIM(A396&amp;"")="","",IF(TRIM(M396&amp;"")&lt;&gt;"",TRIM(M396&amp;""),IFERROR(LEFT(TRIM(A396&amp;""),FIND(" ",TRIM(A396&amp;""))-1),TRIM(A396&amp;""))))</f>
        <v/>
      </c>
      <c r="AC396" s="32">
        <f>SUBSTITUTE(SUBSTITUTE(SUBSTITUTE(SUBSTITUTE(SUBSTITUTE(SUBSTITUTE(SUBSTITUTE(SUBSTITUTE(SUBSTITUTE(SUBSTITUTE(AB396,"%","%25"),"&amp;","%26"),"#","%23"),"+","%2B"),"=","%3D"),"?","%3F"),CHAR(34),"%22"),CHAR(10),"%0A"),CHAR(13),"")," ","+")</f>
        <v/>
      </c>
      <c r="AD396" s="32">
        <f>IF(OR(AA396="",AB396=""),"",'Start Here'!$B$20&amp;"#p="&amp;SUBSTITUTE(AA396,"+","%2B")&amp;"&amp;n="&amp;AC396&amp;"&amp;m="&amp;SUBSTITUTE('Start Here'!$B$24,"{name}",AC396))</f>
        <v/>
      </c>
      <c r="AE396" s="32">
        <f>LEN(AD396)</f>
        <v/>
      </c>
      <c r="AF396" s="32">
        <f>IF(AND(TRIM(A396&amp;"")&lt;&gt;"",OR(B396="Awaiting",B396="Not sure yet")),1,0)</f>
        <v/>
      </c>
      <c r="AG396" s="32">
        <f>N(AG395)+AF396</f>
        <v/>
      </c>
      <c r="AH396" s="32">
        <f>IF(AF396=1,AG396,"")</f>
        <v/>
      </c>
      <c r="AI396" s="32">
        <f>IF(AND(TRIM(A396&amp;"")&lt;&gt;"",L396&amp;""&lt;&gt;"",L396&amp;""=Seating!$I$3&amp;"",B396&lt;&gt;"Declined"),1,0)</f>
        <v/>
      </c>
      <c r="AJ396" s="32">
        <f>N(AJ395)+AI396</f>
        <v/>
      </c>
      <c r="AK396" s="32">
        <f>IF(AI396=1,AJ396,"")</f>
        <v/>
      </c>
    </row>
    <row r="397">
      <c r="A397" s="10" t="n"/>
      <c r="B397" s="47">
        <f>IF(TRIM(A397&amp;"")="","",IF(W397&lt;&gt;"",W397,IF(I397="","Awaiting",I397)))</f>
        <v/>
      </c>
      <c r="C397" s="60">
        <f>IF(OR(B397="Awaiting",B397="Not sure yet"),IF(AD397&lt;&gt;"",HYPERLINK(AD397,"💬 Remind"),"add mobile"),"")</f>
        <v/>
      </c>
      <c r="D397" s="58" t="n"/>
      <c r="E397" s="10" t="n"/>
      <c r="F397" s="10" t="n"/>
      <c r="G397" s="10" t="n"/>
      <c r="H397" s="10" t="n"/>
      <c r="I397" s="10" t="n"/>
      <c r="J397" s="10" t="n"/>
      <c r="K397" s="10" t="n"/>
      <c r="L397" s="56" t="n"/>
      <c r="M397" s="10" t="n"/>
      <c r="N397" s="12" t="n"/>
      <c r="O397" s="10" t="n"/>
      <c r="P397" s="10" t="n"/>
      <c r="Q397" s="61">
        <f>IF(V397="","",IF(T397="","Covered by "&amp;INDEX('Form Calc'!$B:$B,V397)&amp;"'s reply (same party)","Replied "&amp;TEXT(INDEX('Form Calc'!$A:$A,T397),"mm/dd")&amp;" · "&amp;INDEX('Form Calc'!$H:$H,T397)&amp;" adult(s), "&amp;INDEX('Form Calc'!$I:$I,T397)&amp;" child(ren)"&amp;IF(INDEX('Form Calc'!$K:$K,T397)&lt;&gt;""," · "&amp;INDEX('Form Calc'!$K:$K,T397),"")&amp;IF(INDEX('Form Calc'!$M:$M,T397)&lt;&gt;""," · “"&amp;INDEX('Form Calc'!$M:$M,T397)&amp;"”","")))</f>
        <v/>
      </c>
      <c r="R397" s="32">
        <f>SUBSTITUTE(SUBSTITUTE(SUBSTITUTE(SUBSTITUTE(SUBSTITUTE(SUBSTITUTE(SUBSTITUTE(SUBSTITUTE(D397&amp;""," ",""),"-",""),"(",""),")",""),".",""),"+",""),"/",""),CHAR(160),"")</f>
        <v/>
      </c>
      <c r="S397" s="32">
        <f>IF(LEN(R397)&gt;=10,RIGHT(R397,10),R397)</f>
        <v/>
      </c>
      <c r="T397" s="32">
        <f>IF(TRIM(A397&amp;"")="","",IF(S397&lt;&gt;"",IFERROR(MATCH(S397,'Form Calc'!$P:$P,0),IFERROR(MATCH(TRIM(A397&amp;""),'Form Calc'!$Q:$Q,0),"")),IFERROR(MATCH(TRIM(A397&amp;""),'Form Calc'!$Q:$Q,0),"")))</f>
        <v/>
      </c>
      <c r="U397" s="32">
        <f>IF(AND(T397&lt;&gt;"",TRIM(E397&amp;"")&lt;&gt;""),TRIM(E397&amp;""),"")</f>
        <v/>
      </c>
      <c r="V397" s="32">
        <f>IF(TRIM(A397&amp;"")="","",IF(T397&lt;&gt;"",T397,IF(TRIM(E397&amp;"")="","",IFERROR(INDEX($T$6:$T$505,MATCH(TRIM(E397&amp;""),$U$6:$U$505,0)),""))))</f>
        <v/>
      </c>
      <c r="W397" s="32">
        <f>IF(V397="","",INDEX('Form Calc'!$G:$G,V397))</f>
        <v/>
      </c>
      <c r="X397" s="32">
        <f>IF(TRIM(A397&amp;"")="","",IF(T397&lt;&gt;"",IF(INDEX('Form Calc'!$K:$K,T397)&lt;&gt;"",INDEX('Form Calc'!$K:$K,T397),J397&amp;""),J397&amp;""))</f>
        <v/>
      </c>
      <c r="Y397" s="32">
        <f>IF(TRIM(A397&amp;"")="","",IF(TRIM(D397&amp;"")&lt;&gt;"",TRIM(D397&amp;""),IF(T397&lt;&gt;"",INDEX('Form Calc'!$C:$C,T397)&amp;"","")))</f>
        <v/>
      </c>
      <c r="Z397" s="32">
        <f>SUBSTITUTE(SUBSTITUTE(SUBSTITUTE(SUBSTITUTE(SUBSTITUTE(SUBSTITUTE(SUBSTITUTE(SUBSTITUTE(Y397," ",""),"-",""),"(",""),")",""),".",""),"+",""),"/",""),CHAR(160),"")</f>
        <v/>
      </c>
      <c r="AA397" s="32">
        <f>IF(Z397="","",IF(LEN(Z397)=10,"+1"&amp;Z397,IF(AND(LEN(Z397)=11,LEFT(Z397,1)="1"),"+"&amp;Z397,IF(LEFT(Y397,1)="+","+"&amp;Z397,Z397))))</f>
        <v/>
      </c>
      <c r="AB397" s="32">
        <f>IF(TRIM(A397&amp;"")="","",IF(TRIM(M397&amp;"")&lt;&gt;"",TRIM(M397&amp;""),IFERROR(LEFT(TRIM(A397&amp;""),FIND(" ",TRIM(A397&amp;""))-1),TRIM(A397&amp;""))))</f>
        <v/>
      </c>
      <c r="AC397" s="32">
        <f>SUBSTITUTE(SUBSTITUTE(SUBSTITUTE(SUBSTITUTE(SUBSTITUTE(SUBSTITUTE(SUBSTITUTE(SUBSTITUTE(SUBSTITUTE(SUBSTITUTE(AB397,"%","%25"),"&amp;","%26"),"#","%23"),"+","%2B"),"=","%3D"),"?","%3F"),CHAR(34),"%22"),CHAR(10),"%0A"),CHAR(13),"")," ","+")</f>
        <v/>
      </c>
      <c r="AD397" s="32">
        <f>IF(OR(AA397="",AB397=""),"",'Start Here'!$B$20&amp;"#p="&amp;SUBSTITUTE(AA397,"+","%2B")&amp;"&amp;n="&amp;AC397&amp;"&amp;m="&amp;SUBSTITUTE('Start Here'!$B$24,"{name}",AC397))</f>
        <v/>
      </c>
      <c r="AE397" s="32">
        <f>LEN(AD397)</f>
        <v/>
      </c>
      <c r="AF397" s="32">
        <f>IF(AND(TRIM(A397&amp;"")&lt;&gt;"",OR(B397="Awaiting",B397="Not sure yet")),1,0)</f>
        <v/>
      </c>
      <c r="AG397" s="32">
        <f>N(AG396)+AF397</f>
        <v/>
      </c>
      <c r="AH397" s="32">
        <f>IF(AF397=1,AG397,"")</f>
        <v/>
      </c>
      <c r="AI397" s="32">
        <f>IF(AND(TRIM(A397&amp;"")&lt;&gt;"",L397&amp;""&lt;&gt;"",L397&amp;""=Seating!$I$3&amp;"",B397&lt;&gt;"Declined"),1,0)</f>
        <v/>
      </c>
      <c r="AJ397" s="32">
        <f>N(AJ396)+AI397</f>
        <v/>
      </c>
      <c r="AK397" s="32">
        <f>IF(AI397=1,AJ397,"")</f>
        <v/>
      </c>
    </row>
    <row r="398">
      <c r="A398" s="10" t="n"/>
      <c r="B398" s="47">
        <f>IF(TRIM(A398&amp;"")="","",IF(W398&lt;&gt;"",W398,IF(I398="","Awaiting",I398)))</f>
        <v/>
      </c>
      <c r="C398" s="60">
        <f>IF(OR(B398="Awaiting",B398="Not sure yet"),IF(AD398&lt;&gt;"",HYPERLINK(AD398,"💬 Remind"),"add mobile"),"")</f>
        <v/>
      </c>
      <c r="D398" s="58" t="n"/>
      <c r="E398" s="10" t="n"/>
      <c r="F398" s="10" t="n"/>
      <c r="G398" s="10" t="n"/>
      <c r="H398" s="10" t="n"/>
      <c r="I398" s="10" t="n"/>
      <c r="J398" s="10" t="n"/>
      <c r="K398" s="10" t="n"/>
      <c r="L398" s="56" t="n"/>
      <c r="M398" s="10" t="n"/>
      <c r="N398" s="12" t="n"/>
      <c r="O398" s="10" t="n"/>
      <c r="P398" s="10" t="n"/>
      <c r="Q398" s="61">
        <f>IF(V398="","",IF(T398="","Covered by "&amp;INDEX('Form Calc'!$B:$B,V398)&amp;"'s reply (same party)","Replied "&amp;TEXT(INDEX('Form Calc'!$A:$A,T398),"mm/dd")&amp;" · "&amp;INDEX('Form Calc'!$H:$H,T398)&amp;" adult(s), "&amp;INDEX('Form Calc'!$I:$I,T398)&amp;" child(ren)"&amp;IF(INDEX('Form Calc'!$K:$K,T398)&lt;&gt;""," · "&amp;INDEX('Form Calc'!$K:$K,T398),"")&amp;IF(INDEX('Form Calc'!$M:$M,T398)&lt;&gt;""," · “"&amp;INDEX('Form Calc'!$M:$M,T398)&amp;"”","")))</f>
        <v/>
      </c>
      <c r="R398" s="32">
        <f>SUBSTITUTE(SUBSTITUTE(SUBSTITUTE(SUBSTITUTE(SUBSTITUTE(SUBSTITUTE(SUBSTITUTE(SUBSTITUTE(D398&amp;""," ",""),"-",""),"(",""),")",""),".",""),"+",""),"/",""),CHAR(160),"")</f>
        <v/>
      </c>
      <c r="S398" s="32">
        <f>IF(LEN(R398)&gt;=10,RIGHT(R398,10),R398)</f>
        <v/>
      </c>
      <c r="T398" s="32">
        <f>IF(TRIM(A398&amp;"")="","",IF(S398&lt;&gt;"",IFERROR(MATCH(S398,'Form Calc'!$P:$P,0),IFERROR(MATCH(TRIM(A398&amp;""),'Form Calc'!$Q:$Q,0),"")),IFERROR(MATCH(TRIM(A398&amp;""),'Form Calc'!$Q:$Q,0),"")))</f>
        <v/>
      </c>
      <c r="U398" s="32">
        <f>IF(AND(T398&lt;&gt;"",TRIM(E398&amp;"")&lt;&gt;""),TRIM(E398&amp;""),"")</f>
        <v/>
      </c>
      <c r="V398" s="32">
        <f>IF(TRIM(A398&amp;"")="","",IF(T398&lt;&gt;"",T398,IF(TRIM(E398&amp;"")="","",IFERROR(INDEX($T$6:$T$505,MATCH(TRIM(E398&amp;""),$U$6:$U$505,0)),""))))</f>
        <v/>
      </c>
      <c r="W398" s="32">
        <f>IF(V398="","",INDEX('Form Calc'!$G:$G,V398))</f>
        <v/>
      </c>
      <c r="X398" s="32">
        <f>IF(TRIM(A398&amp;"")="","",IF(T398&lt;&gt;"",IF(INDEX('Form Calc'!$K:$K,T398)&lt;&gt;"",INDEX('Form Calc'!$K:$K,T398),J398&amp;""),J398&amp;""))</f>
        <v/>
      </c>
      <c r="Y398" s="32">
        <f>IF(TRIM(A398&amp;"")="","",IF(TRIM(D398&amp;"")&lt;&gt;"",TRIM(D398&amp;""),IF(T398&lt;&gt;"",INDEX('Form Calc'!$C:$C,T398)&amp;"","")))</f>
        <v/>
      </c>
      <c r="Z398" s="32">
        <f>SUBSTITUTE(SUBSTITUTE(SUBSTITUTE(SUBSTITUTE(SUBSTITUTE(SUBSTITUTE(SUBSTITUTE(SUBSTITUTE(Y398," ",""),"-",""),"(",""),")",""),".",""),"+",""),"/",""),CHAR(160),"")</f>
        <v/>
      </c>
      <c r="AA398" s="32">
        <f>IF(Z398="","",IF(LEN(Z398)=10,"+1"&amp;Z398,IF(AND(LEN(Z398)=11,LEFT(Z398,1)="1"),"+"&amp;Z398,IF(LEFT(Y398,1)="+","+"&amp;Z398,Z398))))</f>
        <v/>
      </c>
      <c r="AB398" s="32">
        <f>IF(TRIM(A398&amp;"")="","",IF(TRIM(M398&amp;"")&lt;&gt;"",TRIM(M398&amp;""),IFERROR(LEFT(TRIM(A398&amp;""),FIND(" ",TRIM(A398&amp;""))-1),TRIM(A398&amp;""))))</f>
        <v/>
      </c>
      <c r="AC398" s="32">
        <f>SUBSTITUTE(SUBSTITUTE(SUBSTITUTE(SUBSTITUTE(SUBSTITUTE(SUBSTITUTE(SUBSTITUTE(SUBSTITUTE(SUBSTITUTE(SUBSTITUTE(AB398,"%","%25"),"&amp;","%26"),"#","%23"),"+","%2B"),"=","%3D"),"?","%3F"),CHAR(34),"%22"),CHAR(10),"%0A"),CHAR(13),"")," ","+")</f>
        <v/>
      </c>
      <c r="AD398" s="32">
        <f>IF(OR(AA398="",AB398=""),"",'Start Here'!$B$20&amp;"#p="&amp;SUBSTITUTE(AA398,"+","%2B")&amp;"&amp;n="&amp;AC398&amp;"&amp;m="&amp;SUBSTITUTE('Start Here'!$B$24,"{name}",AC398))</f>
        <v/>
      </c>
      <c r="AE398" s="32">
        <f>LEN(AD398)</f>
        <v/>
      </c>
      <c r="AF398" s="32">
        <f>IF(AND(TRIM(A398&amp;"")&lt;&gt;"",OR(B398="Awaiting",B398="Not sure yet")),1,0)</f>
        <v/>
      </c>
      <c r="AG398" s="32">
        <f>N(AG397)+AF398</f>
        <v/>
      </c>
      <c r="AH398" s="32">
        <f>IF(AF398=1,AG398,"")</f>
        <v/>
      </c>
      <c r="AI398" s="32">
        <f>IF(AND(TRIM(A398&amp;"")&lt;&gt;"",L398&amp;""&lt;&gt;"",L398&amp;""=Seating!$I$3&amp;"",B398&lt;&gt;"Declined"),1,0)</f>
        <v/>
      </c>
      <c r="AJ398" s="32">
        <f>N(AJ397)+AI398</f>
        <v/>
      </c>
      <c r="AK398" s="32">
        <f>IF(AI398=1,AJ398,"")</f>
        <v/>
      </c>
    </row>
    <row r="399">
      <c r="A399" s="10" t="n"/>
      <c r="B399" s="47">
        <f>IF(TRIM(A399&amp;"")="","",IF(W399&lt;&gt;"",W399,IF(I399="","Awaiting",I399)))</f>
        <v/>
      </c>
      <c r="C399" s="60">
        <f>IF(OR(B399="Awaiting",B399="Not sure yet"),IF(AD399&lt;&gt;"",HYPERLINK(AD399,"💬 Remind"),"add mobile"),"")</f>
        <v/>
      </c>
      <c r="D399" s="58" t="n"/>
      <c r="E399" s="10" t="n"/>
      <c r="F399" s="10" t="n"/>
      <c r="G399" s="10" t="n"/>
      <c r="H399" s="10" t="n"/>
      <c r="I399" s="10" t="n"/>
      <c r="J399" s="10" t="n"/>
      <c r="K399" s="10" t="n"/>
      <c r="L399" s="56" t="n"/>
      <c r="M399" s="10" t="n"/>
      <c r="N399" s="12" t="n"/>
      <c r="O399" s="10" t="n"/>
      <c r="P399" s="10" t="n"/>
      <c r="Q399" s="61">
        <f>IF(V399="","",IF(T399="","Covered by "&amp;INDEX('Form Calc'!$B:$B,V399)&amp;"'s reply (same party)","Replied "&amp;TEXT(INDEX('Form Calc'!$A:$A,T399),"mm/dd")&amp;" · "&amp;INDEX('Form Calc'!$H:$H,T399)&amp;" adult(s), "&amp;INDEX('Form Calc'!$I:$I,T399)&amp;" child(ren)"&amp;IF(INDEX('Form Calc'!$K:$K,T399)&lt;&gt;""," · "&amp;INDEX('Form Calc'!$K:$K,T399),"")&amp;IF(INDEX('Form Calc'!$M:$M,T399)&lt;&gt;""," · “"&amp;INDEX('Form Calc'!$M:$M,T399)&amp;"”","")))</f>
        <v/>
      </c>
      <c r="R399" s="32">
        <f>SUBSTITUTE(SUBSTITUTE(SUBSTITUTE(SUBSTITUTE(SUBSTITUTE(SUBSTITUTE(SUBSTITUTE(SUBSTITUTE(D399&amp;""," ",""),"-",""),"(",""),")",""),".",""),"+",""),"/",""),CHAR(160),"")</f>
        <v/>
      </c>
      <c r="S399" s="32">
        <f>IF(LEN(R399)&gt;=10,RIGHT(R399,10),R399)</f>
        <v/>
      </c>
      <c r="T399" s="32">
        <f>IF(TRIM(A399&amp;"")="","",IF(S399&lt;&gt;"",IFERROR(MATCH(S399,'Form Calc'!$P:$P,0),IFERROR(MATCH(TRIM(A399&amp;""),'Form Calc'!$Q:$Q,0),"")),IFERROR(MATCH(TRIM(A399&amp;""),'Form Calc'!$Q:$Q,0),"")))</f>
        <v/>
      </c>
      <c r="U399" s="32">
        <f>IF(AND(T399&lt;&gt;"",TRIM(E399&amp;"")&lt;&gt;""),TRIM(E399&amp;""),"")</f>
        <v/>
      </c>
      <c r="V399" s="32">
        <f>IF(TRIM(A399&amp;"")="","",IF(T399&lt;&gt;"",T399,IF(TRIM(E399&amp;"")="","",IFERROR(INDEX($T$6:$T$505,MATCH(TRIM(E399&amp;""),$U$6:$U$505,0)),""))))</f>
        <v/>
      </c>
      <c r="W399" s="32">
        <f>IF(V399="","",INDEX('Form Calc'!$G:$G,V399))</f>
        <v/>
      </c>
      <c r="X399" s="32">
        <f>IF(TRIM(A399&amp;"")="","",IF(T399&lt;&gt;"",IF(INDEX('Form Calc'!$K:$K,T399)&lt;&gt;"",INDEX('Form Calc'!$K:$K,T399),J399&amp;""),J399&amp;""))</f>
        <v/>
      </c>
      <c r="Y399" s="32">
        <f>IF(TRIM(A399&amp;"")="","",IF(TRIM(D399&amp;"")&lt;&gt;"",TRIM(D399&amp;""),IF(T399&lt;&gt;"",INDEX('Form Calc'!$C:$C,T399)&amp;"","")))</f>
        <v/>
      </c>
      <c r="Z399" s="32">
        <f>SUBSTITUTE(SUBSTITUTE(SUBSTITUTE(SUBSTITUTE(SUBSTITUTE(SUBSTITUTE(SUBSTITUTE(SUBSTITUTE(Y399," ",""),"-",""),"(",""),")",""),".",""),"+",""),"/",""),CHAR(160),"")</f>
        <v/>
      </c>
      <c r="AA399" s="32">
        <f>IF(Z399="","",IF(LEN(Z399)=10,"+1"&amp;Z399,IF(AND(LEN(Z399)=11,LEFT(Z399,1)="1"),"+"&amp;Z399,IF(LEFT(Y399,1)="+","+"&amp;Z399,Z399))))</f>
        <v/>
      </c>
      <c r="AB399" s="32">
        <f>IF(TRIM(A399&amp;"")="","",IF(TRIM(M399&amp;"")&lt;&gt;"",TRIM(M399&amp;""),IFERROR(LEFT(TRIM(A399&amp;""),FIND(" ",TRIM(A399&amp;""))-1),TRIM(A399&amp;""))))</f>
        <v/>
      </c>
      <c r="AC399" s="32">
        <f>SUBSTITUTE(SUBSTITUTE(SUBSTITUTE(SUBSTITUTE(SUBSTITUTE(SUBSTITUTE(SUBSTITUTE(SUBSTITUTE(SUBSTITUTE(SUBSTITUTE(AB399,"%","%25"),"&amp;","%26"),"#","%23"),"+","%2B"),"=","%3D"),"?","%3F"),CHAR(34),"%22"),CHAR(10),"%0A"),CHAR(13),"")," ","+")</f>
        <v/>
      </c>
      <c r="AD399" s="32">
        <f>IF(OR(AA399="",AB399=""),"",'Start Here'!$B$20&amp;"#p="&amp;SUBSTITUTE(AA399,"+","%2B")&amp;"&amp;n="&amp;AC399&amp;"&amp;m="&amp;SUBSTITUTE('Start Here'!$B$24,"{name}",AC399))</f>
        <v/>
      </c>
      <c r="AE399" s="32">
        <f>LEN(AD399)</f>
        <v/>
      </c>
      <c r="AF399" s="32">
        <f>IF(AND(TRIM(A399&amp;"")&lt;&gt;"",OR(B399="Awaiting",B399="Not sure yet")),1,0)</f>
        <v/>
      </c>
      <c r="AG399" s="32">
        <f>N(AG398)+AF399</f>
        <v/>
      </c>
      <c r="AH399" s="32">
        <f>IF(AF399=1,AG399,"")</f>
        <v/>
      </c>
      <c r="AI399" s="32">
        <f>IF(AND(TRIM(A399&amp;"")&lt;&gt;"",L399&amp;""&lt;&gt;"",L399&amp;""=Seating!$I$3&amp;"",B399&lt;&gt;"Declined"),1,0)</f>
        <v/>
      </c>
      <c r="AJ399" s="32">
        <f>N(AJ398)+AI399</f>
        <v/>
      </c>
      <c r="AK399" s="32">
        <f>IF(AI399=1,AJ399,"")</f>
        <v/>
      </c>
    </row>
    <row r="400">
      <c r="A400" s="10" t="n"/>
      <c r="B400" s="47">
        <f>IF(TRIM(A400&amp;"")="","",IF(W400&lt;&gt;"",W400,IF(I400="","Awaiting",I400)))</f>
        <v/>
      </c>
      <c r="C400" s="60">
        <f>IF(OR(B400="Awaiting",B400="Not sure yet"),IF(AD400&lt;&gt;"",HYPERLINK(AD400,"💬 Remind"),"add mobile"),"")</f>
        <v/>
      </c>
      <c r="D400" s="58" t="n"/>
      <c r="E400" s="10" t="n"/>
      <c r="F400" s="10" t="n"/>
      <c r="G400" s="10" t="n"/>
      <c r="H400" s="10" t="n"/>
      <c r="I400" s="10" t="n"/>
      <c r="J400" s="10" t="n"/>
      <c r="K400" s="10" t="n"/>
      <c r="L400" s="56" t="n"/>
      <c r="M400" s="10" t="n"/>
      <c r="N400" s="12" t="n"/>
      <c r="O400" s="10" t="n"/>
      <c r="P400" s="10" t="n"/>
      <c r="Q400" s="61">
        <f>IF(V400="","",IF(T400="","Covered by "&amp;INDEX('Form Calc'!$B:$B,V400)&amp;"'s reply (same party)","Replied "&amp;TEXT(INDEX('Form Calc'!$A:$A,T400),"mm/dd")&amp;" · "&amp;INDEX('Form Calc'!$H:$H,T400)&amp;" adult(s), "&amp;INDEX('Form Calc'!$I:$I,T400)&amp;" child(ren)"&amp;IF(INDEX('Form Calc'!$K:$K,T400)&lt;&gt;""," · "&amp;INDEX('Form Calc'!$K:$K,T400),"")&amp;IF(INDEX('Form Calc'!$M:$M,T400)&lt;&gt;""," · “"&amp;INDEX('Form Calc'!$M:$M,T400)&amp;"”","")))</f>
        <v/>
      </c>
      <c r="R400" s="32">
        <f>SUBSTITUTE(SUBSTITUTE(SUBSTITUTE(SUBSTITUTE(SUBSTITUTE(SUBSTITUTE(SUBSTITUTE(SUBSTITUTE(D400&amp;""," ",""),"-",""),"(",""),")",""),".",""),"+",""),"/",""),CHAR(160),"")</f>
        <v/>
      </c>
      <c r="S400" s="32">
        <f>IF(LEN(R400)&gt;=10,RIGHT(R400,10),R400)</f>
        <v/>
      </c>
      <c r="T400" s="32">
        <f>IF(TRIM(A400&amp;"")="","",IF(S400&lt;&gt;"",IFERROR(MATCH(S400,'Form Calc'!$P:$P,0),IFERROR(MATCH(TRIM(A400&amp;""),'Form Calc'!$Q:$Q,0),"")),IFERROR(MATCH(TRIM(A400&amp;""),'Form Calc'!$Q:$Q,0),"")))</f>
        <v/>
      </c>
      <c r="U400" s="32">
        <f>IF(AND(T400&lt;&gt;"",TRIM(E400&amp;"")&lt;&gt;""),TRIM(E400&amp;""),"")</f>
        <v/>
      </c>
      <c r="V400" s="32">
        <f>IF(TRIM(A400&amp;"")="","",IF(T400&lt;&gt;"",T400,IF(TRIM(E400&amp;"")="","",IFERROR(INDEX($T$6:$T$505,MATCH(TRIM(E400&amp;""),$U$6:$U$505,0)),""))))</f>
        <v/>
      </c>
      <c r="W400" s="32">
        <f>IF(V400="","",INDEX('Form Calc'!$G:$G,V400))</f>
        <v/>
      </c>
      <c r="X400" s="32">
        <f>IF(TRIM(A400&amp;"")="","",IF(T400&lt;&gt;"",IF(INDEX('Form Calc'!$K:$K,T400)&lt;&gt;"",INDEX('Form Calc'!$K:$K,T400),J400&amp;""),J400&amp;""))</f>
        <v/>
      </c>
      <c r="Y400" s="32">
        <f>IF(TRIM(A400&amp;"")="","",IF(TRIM(D400&amp;"")&lt;&gt;"",TRIM(D400&amp;""),IF(T400&lt;&gt;"",INDEX('Form Calc'!$C:$C,T400)&amp;"","")))</f>
        <v/>
      </c>
      <c r="Z400" s="32">
        <f>SUBSTITUTE(SUBSTITUTE(SUBSTITUTE(SUBSTITUTE(SUBSTITUTE(SUBSTITUTE(SUBSTITUTE(SUBSTITUTE(Y400," ",""),"-",""),"(",""),")",""),".",""),"+",""),"/",""),CHAR(160),"")</f>
        <v/>
      </c>
      <c r="AA400" s="32">
        <f>IF(Z400="","",IF(LEN(Z400)=10,"+1"&amp;Z400,IF(AND(LEN(Z400)=11,LEFT(Z400,1)="1"),"+"&amp;Z400,IF(LEFT(Y400,1)="+","+"&amp;Z400,Z400))))</f>
        <v/>
      </c>
      <c r="AB400" s="32">
        <f>IF(TRIM(A400&amp;"")="","",IF(TRIM(M400&amp;"")&lt;&gt;"",TRIM(M400&amp;""),IFERROR(LEFT(TRIM(A400&amp;""),FIND(" ",TRIM(A400&amp;""))-1),TRIM(A400&amp;""))))</f>
        <v/>
      </c>
      <c r="AC400" s="32">
        <f>SUBSTITUTE(SUBSTITUTE(SUBSTITUTE(SUBSTITUTE(SUBSTITUTE(SUBSTITUTE(SUBSTITUTE(SUBSTITUTE(SUBSTITUTE(SUBSTITUTE(AB400,"%","%25"),"&amp;","%26"),"#","%23"),"+","%2B"),"=","%3D"),"?","%3F"),CHAR(34),"%22"),CHAR(10),"%0A"),CHAR(13),"")," ","+")</f>
        <v/>
      </c>
      <c r="AD400" s="32">
        <f>IF(OR(AA400="",AB400=""),"",'Start Here'!$B$20&amp;"#p="&amp;SUBSTITUTE(AA400,"+","%2B")&amp;"&amp;n="&amp;AC400&amp;"&amp;m="&amp;SUBSTITUTE('Start Here'!$B$24,"{name}",AC400))</f>
        <v/>
      </c>
      <c r="AE400" s="32">
        <f>LEN(AD400)</f>
        <v/>
      </c>
      <c r="AF400" s="32">
        <f>IF(AND(TRIM(A400&amp;"")&lt;&gt;"",OR(B400="Awaiting",B400="Not sure yet")),1,0)</f>
        <v/>
      </c>
      <c r="AG400" s="32">
        <f>N(AG399)+AF400</f>
        <v/>
      </c>
      <c r="AH400" s="32">
        <f>IF(AF400=1,AG400,"")</f>
        <v/>
      </c>
      <c r="AI400" s="32">
        <f>IF(AND(TRIM(A400&amp;"")&lt;&gt;"",L400&amp;""&lt;&gt;"",L400&amp;""=Seating!$I$3&amp;"",B400&lt;&gt;"Declined"),1,0)</f>
        <v/>
      </c>
      <c r="AJ400" s="32">
        <f>N(AJ399)+AI400</f>
        <v/>
      </c>
      <c r="AK400" s="32">
        <f>IF(AI400=1,AJ400,"")</f>
        <v/>
      </c>
    </row>
    <row r="401">
      <c r="A401" s="10" t="n"/>
      <c r="B401" s="47">
        <f>IF(TRIM(A401&amp;"")="","",IF(W401&lt;&gt;"",W401,IF(I401="","Awaiting",I401)))</f>
        <v/>
      </c>
      <c r="C401" s="60">
        <f>IF(OR(B401="Awaiting",B401="Not sure yet"),IF(AD401&lt;&gt;"",HYPERLINK(AD401,"💬 Remind"),"add mobile"),"")</f>
        <v/>
      </c>
      <c r="D401" s="58" t="n"/>
      <c r="E401" s="10" t="n"/>
      <c r="F401" s="10" t="n"/>
      <c r="G401" s="10" t="n"/>
      <c r="H401" s="10" t="n"/>
      <c r="I401" s="10" t="n"/>
      <c r="J401" s="10" t="n"/>
      <c r="K401" s="10" t="n"/>
      <c r="L401" s="56" t="n"/>
      <c r="M401" s="10" t="n"/>
      <c r="N401" s="12" t="n"/>
      <c r="O401" s="10" t="n"/>
      <c r="P401" s="10" t="n"/>
      <c r="Q401" s="61">
        <f>IF(V401="","",IF(T401="","Covered by "&amp;INDEX('Form Calc'!$B:$B,V401)&amp;"'s reply (same party)","Replied "&amp;TEXT(INDEX('Form Calc'!$A:$A,T401),"mm/dd")&amp;" · "&amp;INDEX('Form Calc'!$H:$H,T401)&amp;" adult(s), "&amp;INDEX('Form Calc'!$I:$I,T401)&amp;" child(ren)"&amp;IF(INDEX('Form Calc'!$K:$K,T401)&lt;&gt;""," · "&amp;INDEX('Form Calc'!$K:$K,T401),"")&amp;IF(INDEX('Form Calc'!$M:$M,T401)&lt;&gt;""," · “"&amp;INDEX('Form Calc'!$M:$M,T401)&amp;"”","")))</f>
        <v/>
      </c>
      <c r="R401" s="32">
        <f>SUBSTITUTE(SUBSTITUTE(SUBSTITUTE(SUBSTITUTE(SUBSTITUTE(SUBSTITUTE(SUBSTITUTE(SUBSTITUTE(D401&amp;""," ",""),"-",""),"(",""),")",""),".",""),"+",""),"/",""),CHAR(160),"")</f>
        <v/>
      </c>
      <c r="S401" s="32">
        <f>IF(LEN(R401)&gt;=10,RIGHT(R401,10),R401)</f>
        <v/>
      </c>
      <c r="T401" s="32">
        <f>IF(TRIM(A401&amp;"")="","",IF(S401&lt;&gt;"",IFERROR(MATCH(S401,'Form Calc'!$P:$P,0),IFERROR(MATCH(TRIM(A401&amp;""),'Form Calc'!$Q:$Q,0),"")),IFERROR(MATCH(TRIM(A401&amp;""),'Form Calc'!$Q:$Q,0),"")))</f>
        <v/>
      </c>
      <c r="U401" s="32">
        <f>IF(AND(T401&lt;&gt;"",TRIM(E401&amp;"")&lt;&gt;""),TRIM(E401&amp;""),"")</f>
        <v/>
      </c>
      <c r="V401" s="32">
        <f>IF(TRIM(A401&amp;"")="","",IF(T401&lt;&gt;"",T401,IF(TRIM(E401&amp;"")="","",IFERROR(INDEX($T$6:$T$505,MATCH(TRIM(E401&amp;""),$U$6:$U$505,0)),""))))</f>
        <v/>
      </c>
      <c r="W401" s="32">
        <f>IF(V401="","",INDEX('Form Calc'!$G:$G,V401))</f>
        <v/>
      </c>
      <c r="X401" s="32">
        <f>IF(TRIM(A401&amp;"")="","",IF(T401&lt;&gt;"",IF(INDEX('Form Calc'!$K:$K,T401)&lt;&gt;"",INDEX('Form Calc'!$K:$K,T401),J401&amp;""),J401&amp;""))</f>
        <v/>
      </c>
      <c r="Y401" s="32">
        <f>IF(TRIM(A401&amp;"")="","",IF(TRIM(D401&amp;"")&lt;&gt;"",TRIM(D401&amp;""),IF(T401&lt;&gt;"",INDEX('Form Calc'!$C:$C,T401)&amp;"","")))</f>
        <v/>
      </c>
      <c r="Z401" s="32">
        <f>SUBSTITUTE(SUBSTITUTE(SUBSTITUTE(SUBSTITUTE(SUBSTITUTE(SUBSTITUTE(SUBSTITUTE(SUBSTITUTE(Y401," ",""),"-",""),"(",""),")",""),".",""),"+",""),"/",""),CHAR(160),"")</f>
        <v/>
      </c>
      <c r="AA401" s="32">
        <f>IF(Z401="","",IF(LEN(Z401)=10,"+1"&amp;Z401,IF(AND(LEN(Z401)=11,LEFT(Z401,1)="1"),"+"&amp;Z401,IF(LEFT(Y401,1)="+","+"&amp;Z401,Z401))))</f>
        <v/>
      </c>
      <c r="AB401" s="32">
        <f>IF(TRIM(A401&amp;"")="","",IF(TRIM(M401&amp;"")&lt;&gt;"",TRIM(M401&amp;""),IFERROR(LEFT(TRIM(A401&amp;""),FIND(" ",TRIM(A401&amp;""))-1),TRIM(A401&amp;""))))</f>
        <v/>
      </c>
      <c r="AC401" s="32">
        <f>SUBSTITUTE(SUBSTITUTE(SUBSTITUTE(SUBSTITUTE(SUBSTITUTE(SUBSTITUTE(SUBSTITUTE(SUBSTITUTE(SUBSTITUTE(SUBSTITUTE(AB401,"%","%25"),"&amp;","%26"),"#","%23"),"+","%2B"),"=","%3D"),"?","%3F"),CHAR(34),"%22"),CHAR(10),"%0A"),CHAR(13),"")," ","+")</f>
        <v/>
      </c>
      <c r="AD401" s="32">
        <f>IF(OR(AA401="",AB401=""),"",'Start Here'!$B$20&amp;"#p="&amp;SUBSTITUTE(AA401,"+","%2B")&amp;"&amp;n="&amp;AC401&amp;"&amp;m="&amp;SUBSTITUTE('Start Here'!$B$24,"{name}",AC401))</f>
        <v/>
      </c>
      <c r="AE401" s="32">
        <f>LEN(AD401)</f>
        <v/>
      </c>
      <c r="AF401" s="32">
        <f>IF(AND(TRIM(A401&amp;"")&lt;&gt;"",OR(B401="Awaiting",B401="Not sure yet")),1,0)</f>
        <v/>
      </c>
      <c r="AG401" s="32">
        <f>N(AG400)+AF401</f>
        <v/>
      </c>
      <c r="AH401" s="32">
        <f>IF(AF401=1,AG401,"")</f>
        <v/>
      </c>
      <c r="AI401" s="32">
        <f>IF(AND(TRIM(A401&amp;"")&lt;&gt;"",L401&amp;""&lt;&gt;"",L401&amp;""=Seating!$I$3&amp;"",B401&lt;&gt;"Declined"),1,0)</f>
        <v/>
      </c>
      <c r="AJ401" s="32">
        <f>N(AJ400)+AI401</f>
        <v/>
      </c>
      <c r="AK401" s="32">
        <f>IF(AI401=1,AJ401,"")</f>
        <v/>
      </c>
    </row>
    <row r="402">
      <c r="A402" s="10" t="n"/>
      <c r="B402" s="47">
        <f>IF(TRIM(A402&amp;"")="","",IF(W402&lt;&gt;"",W402,IF(I402="","Awaiting",I402)))</f>
        <v/>
      </c>
      <c r="C402" s="60">
        <f>IF(OR(B402="Awaiting",B402="Not sure yet"),IF(AD402&lt;&gt;"",HYPERLINK(AD402,"💬 Remind"),"add mobile"),"")</f>
        <v/>
      </c>
      <c r="D402" s="58" t="n"/>
      <c r="E402" s="10" t="n"/>
      <c r="F402" s="10" t="n"/>
      <c r="G402" s="10" t="n"/>
      <c r="H402" s="10" t="n"/>
      <c r="I402" s="10" t="n"/>
      <c r="J402" s="10" t="n"/>
      <c r="K402" s="10" t="n"/>
      <c r="L402" s="56" t="n"/>
      <c r="M402" s="10" t="n"/>
      <c r="N402" s="12" t="n"/>
      <c r="O402" s="10" t="n"/>
      <c r="P402" s="10" t="n"/>
      <c r="Q402" s="61">
        <f>IF(V402="","",IF(T402="","Covered by "&amp;INDEX('Form Calc'!$B:$B,V402)&amp;"'s reply (same party)","Replied "&amp;TEXT(INDEX('Form Calc'!$A:$A,T402),"mm/dd")&amp;" · "&amp;INDEX('Form Calc'!$H:$H,T402)&amp;" adult(s), "&amp;INDEX('Form Calc'!$I:$I,T402)&amp;" child(ren)"&amp;IF(INDEX('Form Calc'!$K:$K,T402)&lt;&gt;""," · "&amp;INDEX('Form Calc'!$K:$K,T402),"")&amp;IF(INDEX('Form Calc'!$M:$M,T402)&lt;&gt;""," · “"&amp;INDEX('Form Calc'!$M:$M,T402)&amp;"”","")))</f>
        <v/>
      </c>
      <c r="R402" s="32">
        <f>SUBSTITUTE(SUBSTITUTE(SUBSTITUTE(SUBSTITUTE(SUBSTITUTE(SUBSTITUTE(SUBSTITUTE(SUBSTITUTE(D402&amp;""," ",""),"-",""),"(",""),")",""),".",""),"+",""),"/",""),CHAR(160),"")</f>
        <v/>
      </c>
      <c r="S402" s="32">
        <f>IF(LEN(R402)&gt;=10,RIGHT(R402,10),R402)</f>
        <v/>
      </c>
      <c r="T402" s="32">
        <f>IF(TRIM(A402&amp;"")="","",IF(S402&lt;&gt;"",IFERROR(MATCH(S402,'Form Calc'!$P:$P,0),IFERROR(MATCH(TRIM(A402&amp;""),'Form Calc'!$Q:$Q,0),"")),IFERROR(MATCH(TRIM(A402&amp;""),'Form Calc'!$Q:$Q,0),"")))</f>
        <v/>
      </c>
      <c r="U402" s="32">
        <f>IF(AND(T402&lt;&gt;"",TRIM(E402&amp;"")&lt;&gt;""),TRIM(E402&amp;""),"")</f>
        <v/>
      </c>
      <c r="V402" s="32">
        <f>IF(TRIM(A402&amp;"")="","",IF(T402&lt;&gt;"",T402,IF(TRIM(E402&amp;"")="","",IFERROR(INDEX($T$6:$T$505,MATCH(TRIM(E402&amp;""),$U$6:$U$505,0)),""))))</f>
        <v/>
      </c>
      <c r="W402" s="32">
        <f>IF(V402="","",INDEX('Form Calc'!$G:$G,V402))</f>
        <v/>
      </c>
      <c r="X402" s="32">
        <f>IF(TRIM(A402&amp;"")="","",IF(T402&lt;&gt;"",IF(INDEX('Form Calc'!$K:$K,T402)&lt;&gt;"",INDEX('Form Calc'!$K:$K,T402),J402&amp;""),J402&amp;""))</f>
        <v/>
      </c>
      <c r="Y402" s="32">
        <f>IF(TRIM(A402&amp;"")="","",IF(TRIM(D402&amp;"")&lt;&gt;"",TRIM(D402&amp;""),IF(T402&lt;&gt;"",INDEX('Form Calc'!$C:$C,T402)&amp;"","")))</f>
        <v/>
      </c>
      <c r="Z402" s="32">
        <f>SUBSTITUTE(SUBSTITUTE(SUBSTITUTE(SUBSTITUTE(SUBSTITUTE(SUBSTITUTE(SUBSTITUTE(SUBSTITUTE(Y402," ",""),"-",""),"(",""),")",""),".",""),"+",""),"/",""),CHAR(160),"")</f>
        <v/>
      </c>
      <c r="AA402" s="32">
        <f>IF(Z402="","",IF(LEN(Z402)=10,"+1"&amp;Z402,IF(AND(LEN(Z402)=11,LEFT(Z402,1)="1"),"+"&amp;Z402,IF(LEFT(Y402,1)="+","+"&amp;Z402,Z402))))</f>
        <v/>
      </c>
      <c r="AB402" s="32">
        <f>IF(TRIM(A402&amp;"")="","",IF(TRIM(M402&amp;"")&lt;&gt;"",TRIM(M402&amp;""),IFERROR(LEFT(TRIM(A402&amp;""),FIND(" ",TRIM(A402&amp;""))-1),TRIM(A402&amp;""))))</f>
        <v/>
      </c>
      <c r="AC402" s="32">
        <f>SUBSTITUTE(SUBSTITUTE(SUBSTITUTE(SUBSTITUTE(SUBSTITUTE(SUBSTITUTE(SUBSTITUTE(SUBSTITUTE(SUBSTITUTE(SUBSTITUTE(AB402,"%","%25"),"&amp;","%26"),"#","%23"),"+","%2B"),"=","%3D"),"?","%3F"),CHAR(34),"%22"),CHAR(10),"%0A"),CHAR(13),"")," ","+")</f>
        <v/>
      </c>
      <c r="AD402" s="32">
        <f>IF(OR(AA402="",AB402=""),"",'Start Here'!$B$20&amp;"#p="&amp;SUBSTITUTE(AA402,"+","%2B")&amp;"&amp;n="&amp;AC402&amp;"&amp;m="&amp;SUBSTITUTE('Start Here'!$B$24,"{name}",AC402))</f>
        <v/>
      </c>
      <c r="AE402" s="32">
        <f>LEN(AD402)</f>
        <v/>
      </c>
      <c r="AF402" s="32">
        <f>IF(AND(TRIM(A402&amp;"")&lt;&gt;"",OR(B402="Awaiting",B402="Not sure yet")),1,0)</f>
        <v/>
      </c>
      <c r="AG402" s="32">
        <f>N(AG401)+AF402</f>
        <v/>
      </c>
      <c r="AH402" s="32">
        <f>IF(AF402=1,AG402,"")</f>
        <v/>
      </c>
      <c r="AI402" s="32">
        <f>IF(AND(TRIM(A402&amp;"")&lt;&gt;"",L402&amp;""&lt;&gt;"",L402&amp;""=Seating!$I$3&amp;"",B402&lt;&gt;"Declined"),1,0)</f>
        <v/>
      </c>
      <c r="AJ402" s="32">
        <f>N(AJ401)+AI402</f>
        <v/>
      </c>
      <c r="AK402" s="32">
        <f>IF(AI402=1,AJ402,"")</f>
        <v/>
      </c>
    </row>
    <row r="403">
      <c r="A403" s="10" t="n"/>
      <c r="B403" s="47">
        <f>IF(TRIM(A403&amp;"")="","",IF(W403&lt;&gt;"",W403,IF(I403="","Awaiting",I403)))</f>
        <v/>
      </c>
      <c r="C403" s="60">
        <f>IF(OR(B403="Awaiting",B403="Not sure yet"),IF(AD403&lt;&gt;"",HYPERLINK(AD403,"💬 Remind"),"add mobile"),"")</f>
        <v/>
      </c>
      <c r="D403" s="58" t="n"/>
      <c r="E403" s="10" t="n"/>
      <c r="F403" s="10" t="n"/>
      <c r="G403" s="10" t="n"/>
      <c r="H403" s="10" t="n"/>
      <c r="I403" s="10" t="n"/>
      <c r="J403" s="10" t="n"/>
      <c r="K403" s="10" t="n"/>
      <c r="L403" s="56" t="n"/>
      <c r="M403" s="10" t="n"/>
      <c r="N403" s="12" t="n"/>
      <c r="O403" s="10" t="n"/>
      <c r="P403" s="10" t="n"/>
      <c r="Q403" s="61">
        <f>IF(V403="","",IF(T403="","Covered by "&amp;INDEX('Form Calc'!$B:$B,V403)&amp;"'s reply (same party)","Replied "&amp;TEXT(INDEX('Form Calc'!$A:$A,T403),"mm/dd")&amp;" · "&amp;INDEX('Form Calc'!$H:$H,T403)&amp;" adult(s), "&amp;INDEX('Form Calc'!$I:$I,T403)&amp;" child(ren)"&amp;IF(INDEX('Form Calc'!$K:$K,T403)&lt;&gt;""," · "&amp;INDEX('Form Calc'!$K:$K,T403),"")&amp;IF(INDEX('Form Calc'!$M:$M,T403)&lt;&gt;""," · “"&amp;INDEX('Form Calc'!$M:$M,T403)&amp;"”","")))</f>
        <v/>
      </c>
      <c r="R403" s="32">
        <f>SUBSTITUTE(SUBSTITUTE(SUBSTITUTE(SUBSTITUTE(SUBSTITUTE(SUBSTITUTE(SUBSTITUTE(SUBSTITUTE(D403&amp;""," ",""),"-",""),"(",""),")",""),".",""),"+",""),"/",""),CHAR(160),"")</f>
        <v/>
      </c>
      <c r="S403" s="32">
        <f>IF(LEN(R403)&gt;=10,RIGHT(R403,10),R403)</f>
        <v/>
      </c>
      <c r="T403" s="32">
        <f>IF(TRIM(A403&amp;"")="","",IF(S403&lt;&gt;"",IFERROR(MATCH(S403,'Form Calc'!$P:$P,0),IFERROR(MATCH(TRIM(A403&amp;""),'Form Calc'!$Q:$Q,0),"")),IFERROR(MATCH(TRIM(A403&amp;""),'Form Calc'!$Q:$Q,0),"")))</f>
        <v/>
      </c>
      <c r="U403" s="32">
        <f>IF(AND(T403&lt;&gt;"",TRIM(E403&amp;"")&lt;&gt;""),TRIM(E403&amp;""),"")</f>
        <v/>
      </c>
      <c r="V403" s="32">
        <f>IF(TRIM(A403&amp;"")="","",IF(T403&lt;&gt;"",T403,IF(TRIM(E403&amp;"")="","",IFERROR(INDEX($T$6:$T$505,MATCH(TRIM(E403&amp;""),$U$6:$U$505,0)),""))))</f>
        <v/>
      </c>
      <c r="W403" s="32">
        <f>IF(V403="","",INDEX('Form Calc'!$G:$G,V403))</f>
        <v/>
      </c>
      <c r="X403" s="32">
        <f>IF(TRIM(A403&amp;"")="","",IF(T403&lt;&gt;"",IF(INDEX('Form Calc'!$K:$K,T403)&lt;&gt;"",INDEX('Form Calc'!$K:$K,T403),J403&amp;""),J403&amp;""))</f>
        <v/>
      </c>
      <c r="Y403" s="32">
        <f>IF(TRIM(A403&amp;"")="","",IF(TRIM(D403&amp;"")&lt;&gt;"",TRIM(D403&amp;""),IF(T403&lt;&gt;"",INDEX('Form Calc'!$C:$C,T403)&amp;"","")))</f>
        <v/>
      </c>
      <c r="Z403" s="32">
        <f>SUBSTITUTE(SUBSTITUTE(SUBSTITUTE(SUBSTITUTE(SUBSTITUTE(SUBSTITUTE(SUBSTITUTE(SUBSTITUTE(Y403," ",""),"-",""),"(",""),")",""),".",""),"+",""),"/",""),CHAR(160),"")</f>
        <v/>
      </c>
      <c r="AA403" s="32">
        <f>IF(Z403="","",IF(LEN(Z403)=10,"+1"&amp;Z403,IF(AND(LEN(Z403)=11,LEFT(Z403,1)="1"),"+"&amp;Z403,IF(LEFT(Y403,1)="+","+"&amp;Z403,Z403))))</f>
        <v/>
      </c>
      <c r="AB403" s="32">
        <f>IF(TRIM(A403&amp;"")="","",IF(TRIM(M403&amp;"")&lt;&gt;"",TRIM(M403&amp;""),IFERROR(LEFT(TRIM(A403&amp;""),FIND(" ",TRIM(A403&amp;""))-1),TRIM(A403&amp;""))))</f>
        <v/>
      </c>
      <c r="AC403" s="32">
        <f>SUBSTITUTE(SUBSTITUTE(SUBSTITUTE(SUBSTITUTE(SUBSTITUTE(SUBSTITUTE(SUBSTITUTE(SUBSTITUTE(SUBSTITUTE(SUBSTITUTE(AB403,"%","%25"),"&amp;","%26"),"#","%23"),"+","%2B"),"=","%3D"),"?","%3F"),CHAR(34),"%22"),CHAR(10),"%0A"),CHAR(13),"")," ","+")</f>
        <v/>
      </c>
      <c r="AD403" s="32">
        <f>IF(OR(AA403="",AB403=""),"",'Start Here'!$B$20&amp;"#p="&amp;SUBSTITUTE(AA403,"+","%2B")&amp;"&amp;n="&amp;AC403&amp;"&amp;m="&amp;SUBSTITUTE('Start Here'!$B$24,"{name}",AC403))</f>
        <v/>
      </c>
      <c r="AE403" s="32">
        <f>LEN(AD403)</f>
        <v/>
      </c>
      <c r="AF403" s="32">
        <f>IF(AND(TRIM(A403&amp;"")&lt;&gt;"",OR(B403="Awaiting",B403="Not sure yet")),1,0)</f>
        <v/>
      </c>
      <c r="AG403" s="32">
        <f>N(AG402)+AF403</f>
        <v/>
      </c>
      <c r="AH403" s="32">
        <f>IF(AF403=1,AG403,"")</f>
        <v/>
      </c>
      <c r="AI403" s="32">
        <f>IF(AND(TRIM(A403&amp;"")&lt;&gt;"",L403&amp;""&lt;&gt;"",L403&amp;""=Seating!$I$3&amp;"",B403&lt;&gt;"Declined"),1,0)</f>
        <v/>
      </c>
      <c r="AJ403" s="32">
        <f>N(AJ402)+AI403</f>
        <v/>
      </c>
      <c r="AK403" s="32">
        <f>IF(AI403=1,AJ403,"")</f>
        <v/>
      </c>
    </row>
    <row r="404">
      <c r="A404" s="10" t="n"/>
      <c r="B404" s="47">
        <f>IF(TRIM(A404&amp;"")="","",IF(W404&lt;&gt;"",W404,IF(I404="","Awaiting",I404)))</f>
        <v/>
      </c>
      <c r="C404" s="60">
        <f>IF(OR(B404="Awaiting",B404="Not sure yet"),IF(AD404&lt;&gt;"",HYPERLINK(AD404,"💬 Remind"),"add mobile"),"")</f>
        <v/>
      </c>
      <c r="D404" s="58" t="n"/>
      <c r="E404" s="10" t="n"/>
      <c r="F404" s="10" t="n"/>
      <c r="G404" s="10" t="n"/>
      <c r="H404" s="10" t="n"/>
      <c r="I404" s="10" t="n"/>
      <c r="J404" s="10" t="n"/>
      <c r="K404" s="10" t="n"/>
      <c r="L404" s="56" t="n"/>
      <c r="M404" s="10" t="n"/>
      <c r="N404" s="12" t="n"/>
      <c r="O404" s="10" t="n"/>
      <c r="P404" s="10" t="n"/>
      <c r="Q404" s="61">
        <f>IF(V404="","",IF(T404="","Covered by "&amp;INDEX('Form Calc'!$B:$B,V404)&amp;"'s reply (same party)","Replied "&amp;TEXT(INDEX('Form Calc'!$A:$A,T404),"mm/dd")&amp;" · "&amp;INDEX('Form Calc'!$H:$H,T404)&amp;" adult(s), "&amp;INDEX('Form Calc'!$I:$I,T404)&amp;" child(ren)"&amp;IF(INDEX('Form Calc'!$K:$K,T404)&lt;&gt;""," · "&amp;INDEX('Form Calc'!$K:$K,T404),"")&amp;IF(INDEX('Form Calc'!$M:$M,T404)&lt;&gt;""," · “"&amp;INDEX('Form Calc'!$M:$M,T404)&amp;"”","")))</f>
        <v/>
      </c>
      <c r="R404" s="32">
        <f>SUBSTITUTE(SUBSTITUTE(SUBSTITUTE(SUBSTITUTE(SUBSTITUTE(SUBSTITUTE(SUBSTITUTE(SUBSTITUTE(D404&amp;""," ",""),"-",""),"(",""),")",""),".",""),"+",""),"/",""),CHAR(160),"")</f>
        <v/>
      </c>
      <c r="S404" s="32">
        <f>IF(LEN(R404)&gt;=10,RIGHT(R404,10),R404)</f>
        <v/>
      </c>
      <c r="T404" s="32">
        <f>IF(TRIM(A404&amp;"")="","",IF(S404&lt;&gt;"",IFERROR(MATCH(S404,'Form Calc'!$P:$P,0),IFERROR(MATCH(TRIM(A404&amp;""),'Form Calc'!$Q:$Q,0),"")),IFERROR(MATCH(TRIM(A404&amp;""),'Form Calc'!$Q:$Q,0),"")))</f>
        <v/>
      </c>
      <c r="U404" s="32">
        <f>IF(AND(T404&lt;&gt;"",TRIM(E404&amp;"")&lt;&gt;""),TRIM(E404&amp;""),"")</f>
        <v/>
      </c>
      <c r="V404" s="32">
        <f>IF(TRIM(A404&amp;"")="","",IF(T404&lt;&gt;"",T404,IF(TRIM(E404&amp;"")="","",IFERROR(INDEX($T$6:$T$505,MATCH(TRIM(E404&amp;""),$U$6:$U$505,0)),""))))</f>
        <v/>
      </c>
      <c r="W404" s="32">
        <f>IF(V404="","",INDEX('Form Calc'!$G:$G,V404))</f>
        <v/>
      </c>
      <c r="X404" s="32">
        <f>IF(TRIM(A404&amp;"")="","",IF(T404&lt;&gt;"",IF(INDEX('Form Calc'!$K:$K,T404)&lt;&gt;"",INDEX('Form Calc'!$K:$K,T404),J404&amp;""),J404&amp;""))</f>
        <v/>
      </c>
      <c r="Y404" s="32">
        <f>IF(TRIM(A404&amp;"")="","",IF(TRIM(D404&amp;"")&lt;&gt;"",TRIM(D404&amp;""),IF(T404&lt;&gt;"",INDEX('Form Calc'!$C:$C,T404)&amp;"","")))</f>
        <v/>
      </c>
      <c r="Z404" s="32">
        <f>SUBSTITUTE(SUBSTITUTE(SUBSTITUTE(SUBSTITUTE(SUBSTITUTE(SUBSTITUTE(SUBSTITUTE(SUBSTITUTE(Y404," ",""),"-",""),"(",""),")",""),".",""),"+",""),"/",""),CHAR(160),"")</f>
        <v/>
      </c>
      <c r="AA404" s="32">
        <f>IF(Z404="","",IF(LEN(Z404)=10,"+1"&amp;Z404,IF(AND(LEN(Z404)=11,LEFT(Z404,1)="1"),"+"&amp;Z404,IF(LEFT(Y404,1)="+","+"&amp;Z404,Z404))))</f>
        <v/>
      </c>
      <c r="AB404" s="32">
        <f>IF(TRIM(A404&amp;"")="","",IF(TRIM(M404&amp;"")&lt;&gt;"",TRIM(M404&amp;""),IFERROR(LEFT(TRIM(A404&amp;""),FIND(" ",TRIM(A404&amp;""))-1),TRIM(A404&amp;""))))</f>
        <v/>
      </c>
      <c r="AC404" s="32">
        <f>SUBSTITUTE(SUBSTITUTE(SUBSTITUTE(SUBSTITUTE(SUBSTITUTE(SUBSTITUTE(SUBSTITUTE(SUBSTITUTE(SUBSTITUTE(SUBSTITUTE(AB404,"%","%25"),"&amp;","%26"),"#","%23"),"+","%2B"),"=","%3D"),"?","%3F"),CHAR(34),"%22"),CHAR(10),"%0A"),CHAR(13),"")," ","+")</f>
        <v/>
      </c>
      <c r="AD404" s="32">
        <f>IF(OR(AA404="",AB404=""),"",'Start Here'!$B$20&amp;"#p="&amp;SUBSTITUTE(AA404,"+","%2B")&amp;"&amp;n="&amp;AC404&amp;"&amp;m="&amp;SUBSTITUTE('Start Here'!$B$24,"{name}",AC404))</f>
        <v/>
      </c>
      <c r="AE404" s="32">
        <f>LEN(AD404)</f>
        <v/>
      </c>
      <c r="AF404" s="32">
        <f>IF(AND(TRIM(A404&amp;"")&lt;&gt;"",OR(B404="Awaiting",B404="Not sure yet")),1,0)</f>
        <v/>
      </c>
      <c r="AG404" s="32">
        <f>N(AG403)+AF404</f>
        <v/>
      </c>
      <c r="AH404" s="32">
        <f>IF(AF404=1,AG404,"")</f>
        <v/>
      </c>
      <c r="AI404" s="32">
        <f>IF(AND(TRIM(A404&amp;"")&lt;&gt;"",L404&amp;""&lt;&gt;"",L404&amp;""=Seating!$I$3&amp;"",B404&lt;&gt;"Declined"),1,0)</f>
        <v/>
      </c>
      <c r="AJ404" s="32">
        <f>N(AJ403)+AI404</f>
        <v/>
      </c>
      <c r="AK404" s="32">
        <f>IF(AI404=1,AJ404,"")</f>
        <v/>
      </c>
    </row>
    <row r="405">
      <c r="A405" s="10" t="n"/>
      <c r="B405" s="47">
        <f>IF(TRIM(A405&amp;"")="","",IF(W405&lt;&gt;"",W405,IF(I405="","Awaiting",I405)))</f>
        <v/>
      </c>
      <c r="C405" s="60">
        <f>IF(OR(B405="Awaiting",B405="Not sure yet"),IF(AD405&lt;&gt;"",HYPERLINK(AD405,"💬 Remind"),"add mobile"),"")</f>
        <v/>
      </c>
      <c r="D405" s="58" t="n"/>
      <c r="E405" s="10" t="n"/>
      <c r="F405" s="10" t="n"/>
      <c r="G405" s="10" t="n"/>
      <c r="H405" s="10" t="n"/>
      <c r="I405" s="10" t="n"/>
      <c r="J405" s="10" t="n"/>
      <c r="K405" s="10" t="n"/>
      <c r="L405" s="56" t="n"/>
      <c r="M405" s="10" t="n"/>
      <c r="N405" s="12" t="n"/>
      <c r="O405" s="10" t="n"/>
      <c r="P405" s="10" t="n"/>
      <c r="Q405" s="61">
        <f>IF(V405="","",IF(T405="","Covered by "&amp;INDEX('Form Calc'!$B:$B,V405)&amp;"'s reply (same party)","Replied "&amp;TEXT(INDEX('Form Calc'!$A:$A,T405),"mm/dd")&amp;" · "&amp;INDEX('Form Calc'!$H:$H,T405)&amp;" adult(s), "&amp;INDEX('Form Calc'!$I:$I,T405)&amp;" child(ren)"&amp;IF(INDEX('Form Calc'!$K:$K,T405)&lt;&gt;""," · "&amp;INDEX('Form Calc'!$K:$K,T405),"")&amp;IF(INDEX('Form Calc'!$M:$M,T405)&lt;&gt;""," · “"&amp;INDEX('Form Calc'!$M:$M,T405)&amp;"”","")))</f>
        <v/>
      </c>
      <c r="R405" s="32">
        <f>SUBSTITUTE(SUBSTITUTE(SUBSTITUTE(SUBSTITUTE(SUBSTITUTE(SUBSTITUTE(SUBSTITUTE(SUBSTITUTE(D405&amp;""," ",""),"-",""),"(",""),")",""),".",""),"+",""),"/",""),CHAR(160),"")</f>
        <v/>
      </c>
      <c r="S405" s="32">
        <f>IF(LEN(R405)&gt;=10,RIGHT(R405,10),R405)</f>
        <v/>
      </c>
      <c r="T405" s="32">
        <f>IF(TRIM(A405&amp;"")="","",IF(S405&lt;&gt;"",IFERROR(MATCH(S405,'Form Calc'!$P:$P,0),IFERROR(MATCH(TRIM(A405&amp;""),'Form Calc'!$Q:$Q,0),"")),IFERROR(MATCH(TRIM(A405&amp;""),'Form Calc'!$Q:$Q,0),"")))</f>
        <v/>
      </c>
      <c r="U405" s="32">
        <f>IF(AND(T405&lt;&gt;"",TRIM(E405&amp;"")&lt;&gt;""),TRIM(E405&amp;""),"")</f>
        <v/>
      </c>
      <c r="V405" s="32">
        <f>IF(TRIM(A405&amp;"")="","",IF(T405&lt;&gt;"",T405,IF(TRIM(E405&amp;"")="","",IFERROR(INDEX($T$6:$T$505,MATCH(TRIM(E405&amp;""),$U$6:$U$505,0)),""))))</f>
        <v/>
      </c>
      <c r="W405" s="32">
        <f>IF(V405="","",INDEX('Form Calc'!$G:$G,V405))</f>
        <v/>
      </c>
      <c r="X405" s="32">
        <f>IF(TRIM(A405&amp;"")="","",IF(T405&lt;&gt;"",IF(INDEX('Form Calc'!$K:$K,T405)&lt;&gt;"",INDEX('Form Calc'!$K:$K,T405),J405&amp;""),J405&amp;""))</f>
        <v/>
      </c>
      <c r="Y405" s="32">
        <f>IF(TRIM(A405&amp;"")="","",IF(TRIM(D405&amp;"")&lt;&gt;"",TRIM(D405&amp;""),IF(T405&lt;&gt;"",INDEX('Form Calc'!$C:$C,T405)&amp;"","")))</f>
        <v/>
      </c>
      <c r="Z405" s="32">
        <f>SUBSTITUTE(SUBSTITUTE(SUBSTITUTE(SUBSTITUTE(SUBSTITUTE(SUBSTITUTE(SUBSTITUTE(SUBSTITUTE(Y405," ",""),"-",""),"(",""),")",""),".",""),"+",""),"/",""),CHAR(160),"")</f>
        <v/>
      </c>
      <c r="AA405" s="32">
        <f>IF(Z405="","",IF(LEN(Z405)=10,"+1"&amp;Z405,IF(AND(LEN(Z405)=11,LEFT(Z405,1)="1"),"+"&amp;Z405,IF(LEFT(Y405,1)="+","+"&amp;Z405,Z405))))</f>
        <v/>
      </c>
      <c r="AB405" s="32">
        <f>IF(TRIM(A405&amp;"")="","",IF(TRIM(M405&amp;"")&lt;&gt;"",TRIM(M405&amp;""),IFERROR(LEFT(TRIM(A405&amp;""),FIND(" ",TRIM(A405&amp;""))-1),TRIM(A405&amp;""))))</f>
        <v/>
      </c>
      <c r="AC405" s="32">
        <f>SUBSTITUTE(SUBSTITUTE(SUBSTITUTE(SUBSTITUTE(SUBSTITUTE(SUBSTITUTE(SUBSTITUTE(SUBSTITUTE(SUBSTITUTE(SUBSTITUTE(AB405,"%","%25"),"&amp;","%26"),"#","%23"),"+","%2B"),"=","%3D"),"?","%3F"),CHAR(34),"%22"),CHAR(10),"%0A"),CHAR(13),"")," ","+")</f>
        <v/>
      </c>
      <c r="AD405" s="32">
        <f>IF(OR(AA405="",AB405=""),"",'Start Here'!$B$20&amp;"#p="&amp;SUBSTITUTE(AA405,"+","%2B")&amp;"&amp;n="&amp;AC405&amp;"&amp;m="&amp;SUBSTITUTE('Start Here'!$B$24,"{name}",AC405))</f>
        <v/>
      </c>
      <c r="AE405" s="32">
        <f>LEN(AD405)</f>
        <v/>
      </c>
      <c r="AF405" s="32">
        <f>IF(AND(TRIM(A405&amp;"")&lt;&gt;"",OR(B405="Awaiting",B405="Not sure yet")),1,0)</f>
        <v/>
      </c>
      <c r="AG405" s="32">
        <f>N(AG404)+AF405</f>
        <v/>
      </c>
      <c r="AH405" s="32">
        <f>IF(AF405=1,AG405,"")</f>
        <v/>
      </c>
      <c r="AI405" s="32">
        <f>IF(AND(TRIM(A405&amp;"")&lt;&gt;"",L405&amp;""&lt;&gt;"",L405&amp;""=Seating!$I$3&amp;"",B405&lt;&gt;"Declined"),1,0)</f>
        <v/>
      </c>
      <c r="AJ405" s="32">
        <f>N(AJ404)+AI405</f>
        <v/>
      </c>
      <c r="AK405" s="32">
        <f>IF(AI405=1,AJ405,"")</f>
        <v/>
      </c>
    </row>
    <row r="406">
      <c r="A406" s="10" t="n"/>
      <c r="B406" s="47">
        <f>IF(TRIM(A406&amp;"")="","",IF(W406&lt;&gt;"",W406,IF(I406="","Awaiting",I406)))</f>
        <v/>
      </c>
      <c r="C406" s="60">
        <f>IF(OR(B406="Awaiting",B406="Not sure yet"),IF(AD406&lt;&gt;"",HYPERLINK(AD406,"💬 Remind"),"add mobile"),"")</f>
        <v/>
      </c>
      <c r="D406" s="58" t="n"/>
      <c r="E406" s="10" t="n"/>
      <c r="F406" s="10" t="n"/>
      <c r="G406" s="10" t="n"/>
      <c r="H406" s="10" t="n"/>
      <c r="I406" s="10" t="n"/>
      <c r="J406" s="10" t="n"/>
      <c r="K406" s="10" t="n"/>
      <c r="L406" s="56" t="n"/>
      <c r="M406" s="10" t="n"/>
      <c r="N406" s="12" t="n"/>
      <c r="O406" s="10" t="n"/>
      <c r="P406" s="10" t="n"/>
      <c r="Q406" s="61">
        <f>IF(V406="","",IF(T406="","Covered by "&amp;INDEX('Form Calc'!$B:$B,V406)&amp;"'s reply (same party)","Replied "&amp;TEXT(INDEX('Form Calc'!$A:$A,T406),"mm/dd")&amp;" · "&amp;INDEX('Form Calc'!$H:$H,T406)&amp;" adult(s), "&amp;INDEX('Form Calc'!$I:$I,T406)&amp;" child(ren)"&amp;IF(INDEX('Form Calc'!$K:$K,T406)&lt;&gt;""," · "&amp;INDEX('Form Calc'!$K:$K,T406),"")&amp;IF(INDEX('Form Calc'!$M:$M,T406)&lt;&gt;""," · “"&amp;INDEX('Form Calc'!$M:$M,T406)&amp;"”","")))</f>
        <v/>
      </c>
      <c r="R406" s="32">
        <f>SUBSTITUTE(SUBSTITUTE(SUBSTITUTE(SUBSTITUTE(SUBSTITUTE(SUBSTITUTE(SUBSTITUTE(SUBSTITUTE(D406&amp;""," ",""),"-",""),"(",""),")",""),".",""),"+",""),"/",""),CHAR(160),"")</f>
        <v/>
      </c>
      <c r="S406" s="32">
        <f>IF(LEN(R406)&gt;=10,RIGHT(R406,10),R406)</f>
        <v/>
      </c>
      <c r="T406" s="32">
        <f>IF(TRIM(A406&amp;"")="","",IF(S406&lt;&gt;"",IFERROR(MATCH(S406,'Form Calc'!$P:$P,0),IFERROR(MATCH(TRIM(A406&amp;""),'Form Calc'!$Q:$Q,0),"")),IFERROR(MATCH(TRIM(A406&amp;""),'Form Calc'!$Q:$Q,0),"")))</f>
        <v/>
      </c>
      <c r="U406" s="32">
        <f>IF(AND(T406&lt;&gt;"",TRIM(E406&amp;"")&lt;&gt;""),TRIM(E406&amp;""),"")</f>
        <v/>
      </c>
      <c r="V406" s="32">
        <f>IF(TRIM(A406&amp;"")="","",IF(T406&lt;&gt;"",T406,IF(TRIM(E406&amp;"")="","",IFERROR(INDEX($T$6:$T$505,MATCH(TRIM(E406&amp;""),$U$6:$U$505,0)),""))))</f>
        <v/>
      </c>
      <c r="W406" s="32">
        <f>IF(V406="","",INDEX('Form Calc'!$G:$G,V406))</f>
        <v/>
      </c>
      <c r="X406" s="32">
        <f>IF(TRIM(A406&amp;"")="","",IF(T406&lt;&gt;"",IF(INDEX('Form Calc'!$K:$K,T406)&lt;&gt;"",INDEX('Form Calc'!$K:$K,T406),J406&amp;""),J406&amp;""))</f>
        <v/>
      </c>
      <c r="Y406" s="32">
        <f>IF(TRIM(A406&amp;"")="","",IF(TRIM(D406&amp;"")&lt;&gt;"",TRIM(D406&amp;""),IF(T406&lt;&gt;"",INDEX('Form Calc'!$C:$C,T406)&amp;"","")))</f>
        <v/>
      </c>
      <c r="Z406" s="32">
        <f>SUBSTITUTE(SUBSTITUTE(SUBSTITUTE(SUBSTITUTE(SUBSTITUTE(SUBSTITUTE(SUBSTITUTE(SUBSTITUTE(Y406," ",""),"-",""),"(",""),")",""),".",""),"+",""),"/",""),CHAR(160),"")</f>
        <v/>
      </c>
      <c r="AA406" s="32">
        <f>IF(Z406="","",IF(LEN(Z406)=10,"+1"&amp;Z406,IF(AND(LEN(Z406)=11,LEFT(Z406,1)="1"),"+"&amp;Z406,IF(LEFT(Y406,1)="+","+"&amp;Z406,Z406))))</f>
        <v/>
      </c>
      <c r="AB406" s="32">
        <f>IF(TRIM(A406&amp;"")="","",IF(TRIM(M406&amp;"")&lt;&gt;"",TRIM(M406&amp;""),IFERROR(LEFT(TRIM(A406&amp;""),FIND(" ",TRIM(A406&amp;""))-1),TRIM(A406&amp;""))))</f>
        <v/>
      </c>
      <c r="AC406" s="32">
        <f>SUBSTITUTE(SUBSTITUTE(SUBSTITUTE(SUBSTITUTE(SUBSTITUTE(SUBSTITUTE(SUBSTITUTE(SUBSTITUTE(SUBSTITUTE(SUBSTITUTE(AB406,"%","%25"),"&amp;","%26"),"#","%23"),"+","%2B"),"=","%3D"),"?","%3F"),CHAR(34),"%22"),CHAR(10),"%0A"),CHAR(13),"")," ","+")</f>
        <v/>
      </c>
      <c r="AD406" s="32">
        <f>IF(OR(AA406="",AB406=""),"",'Start Here'!$B$20&amp;"#p="&amp;SUBSTITUTE(AA406,"+","%2B")&amp;"&amp;n="&amp;AC406&amp;"&amp;m="&amp;SUBSTITUTE('Start Here'!$B$24,"{name}",AC406))</f>
        <v/>
      </c>
      <c r="AE406" s="32">
        <f>LEN(AD406)</f>
        <v/>
      </c>
      <c r="AF406" s="32">
        <f>IF(AND(TRIM(A406&amp;"")&lt;&gt;"",OR(B406="Awaiting",B406="Not sure yet")),1,0)</f>
        <v/>
      </c>
      <c r="AG406" s="32">
        <f>N(AG405)+AF406</f>
        <v/>
      </c>
      <c r="AH406" s="32">
        <f>IF(AF406=1,AG406,"")</f>
        <v/>
      </c>
      <c r="AI406" s="32">
        <f>IF(AND(TRIM(A406&amp;"")&lt;&gt;"",L406&amp;""&lt;&gt;"",L406&amp;""=Seating!$I$3&amp;"",B406&lt;&gt;"Declined"),1,0)</f>
        <v/>
      </c>
      <c r="AJ406" s="32">
        <f>N(AJ405)+AI406</f>
        <v/>
      </c>
      <c r="AK406" s="32">
        <f>IF(AI406=1,AJ406,"")</f>
        <v/>
      </c>
    </row>
    <row r="407">
      <c r="A407" s="10" t="n"/>
      <c r="B407" s="47">
        <f>IF(TRIM(A407&amp;"")="","",IF(W407&lt;&gt;"",W407,IF(I407="","Awaiting",I407)))</f>
        <v/>
      </c>
      <c r="C407" s="60">
        <f>IF(OR(B407="Awaiting",B407="Not sure yet"),IF(AD407&lt;&gt;"",HYPERLINK(AD407,"💬 Remind"),"add mobile"),"")</f>
        <v/>
      </c>
      <c r="D407" s="58" t="n"/>
      <c r="E407" s="10" t="n"/>
      <c r="F407" s="10" t="n"/>
      <c r="G407" s="10" t="n"/>
      <c r="H407" s="10" t="n"/>
      <c r="I407" s="10" t="n"/>
      <c r="J407" s="10" t="n"/>
      <c r="K407" s="10" t="n"/>
      <c r="L407" s="56" t="n"/>
      <c r="M407" s="10" t="n"/>
      <c r="N407" s="12" t="n"/>
      <c r="O407" s="10" t="n"/>
      <c r="P407" s="10" t="n"/>
      <c r="Q407" s="61">
        <f>IF(V407="","",IF(T407="","Covered by "&amp;INDEX('Form Calc'!$B:$B,V407)&amp;"'s reply (same party)","Replied "&amp;TEXT(INDEX('Form Calc'!$A:$A,T407),"mm/dd")&amp;" · "&amp;INDEX('Form Calc'!$H:$H,T407)&amp;" adult(s), "&amp;INDEX('Form Calc'!$I:$I,T407)&amp;" child(ren)"&amp;IF(INDEX('Form Calc'!$K:$K,T407)&lt;&gt;""," · "&amp;INDEX('Form Calc'!$K:$K,T407),"")&amp;IF(INDEX('Form Calc'!$M:$M,T407)&lt;&gt;""," · “"&amp;INDEX('Form Calc'!$M:$M,T407)&amp;"”","")))</f>
        <v/>
      </c>
      <c r="R407" s="32">
        <f>SUBSTITUTE(SUBSTITUTE(SUBSTITUTE(SUBSTITUTE(SUBSTITUTE(SUBSTITUTE(SUBSTITUTE(SUBSTITUTE(D407&amp;""," ",""),"-",""),"(",""),")",""),".",""),"+",""),"/",""),CHAR(160),"")</f>
        <v/>
      </c>
      <c r="S407" s="32">
        <f>IF(LEN(R407)&gt;=10,RIGHT(R407,10),R407)</f>
        <v/>
      </c>
      <c r="T407" s="32">
        <f>IF(TRIM(A407&amp;"")="","",IF(S407&lt;&gt;"",IFERROR(MATCH(S407,'Form Calc'!$P:$P,0),IFERROR(MATCH(TRIM(A407&amp;""),'Form Calc'!$Q:$Q,0),"")),IFERROR(MATCH(TRIM(A407&amp;""),'Form Calc'!$Q:$Q,0),"")))</f>
        <v/>
      </c>
      <c r="U407" s="32">
        <f>IF(AND(T407&lt;&gt;"",TRIM(E407&amp;"")&lt;&gt;""),TRIM(E407&amp;""),"")</f>
        <v/>
      </c>
      <c r="V407" s="32">
        <f>IF(TRIM(A407&amp;"")="","",IF(T407&lt;&gt;"",T407,IF(TRIM(E407&amp;"")="","",IFERROR(INDEX($T$6:$T$505,MATCH(TRIM(E407&amp;""),$U$6:$U$505,0)),""))))</f>
        <v/>
      </c>
      <c r="W407" s="32">
        <f>IF(V407="","",INDEX('Form Calc'!$G:$G,V407))</f>
        <v/>
      </c>
      <c r="X407" s="32">
        <f>IF(TRIM(A407&amp;"")="","",IF(T407&lt;&gt;"",IF(INDEX('Form Calc'!$K:$K,T407)&lt;&gt;"",INDEX('Form Calc'!$K:$K,T407),J407&amp;""),J407&amp;""))</f>
        <v/>
      </c>
      <c r="Y407" s="32">
        <f>IF(TRIM(A407&amp;"")="","",IF(TRIM(D407&amp;"")&lt;&gt;"",TRIM(D407&amp;""),IF(T407&lt;&gt;"",INDEX('Form Calc'!$C:$C,T407)&amp;"","")))</f>
        <v/>
      </c>
      <c r="Z407" s="32">
        <f>SUBSTITUTE(SUBSTITUTE(SUBSTITUTE(SUBSTITUTE(SUBSTITUTE(SUBSTITUTE(SUBSTITUTE(SUBSTITUTE(Y407," ",""),"-",""),"(",""),")",""),".",""),"+",""),"/",""),CHAR(160),"")</f>
        <v/>
      </c>
      <c r="AA407" s="32">
        <f>IF(Z407="","",IF(LEN(Z407)=10,"+1"&amp;Z407,IF(AND(LEN(Z407)=11,LEFT(Z407,1)="1"),"+"&amp;Z407,IF(LEFT(Y407,1)="+","+"&amp;Z407,Z407))))</f>
        <v/>
      </c>
      <c r="AB407" s="32">
        <f>IF(TRIM(A407&amp;"")="","",IF(TRIM(M407&amp;"")&lt;&gt;"",TRIM(M407&amp;""),IFERROR(LEFT(TRIM(A407&amp;""),FIND(" ",TRIM(A407&amp;""))-1),TRIM(A407&amp;""))))</f>
        <v/>
      </c>
      <c r="AC407" s="32">
        <f>SUBSTITUTE(SUBSTITUTE(SUBSTITUTE(SUBSTITUTE(SUBSTITUTE(SUBSTITUTE(SUBSTITUTE(SUBSTITUTE(SUBSTITUTE(SUBSTITUTE(AB407,"%","%25"),"&amp;","%26"),"#","%23"),"+","%2B"),"=","%3D"),"?","%3F"),CHAR(34),"%22"),CHAR(10),"%0A"),CHAR(13),"")," ","+")</f>
        <v/>
      </c>
      <c r="AD407" s="32">
        <f>IF(OR(AA407="",AB407=""),"",'Start Here'!$B$20&amp;"#p="&amp;SUBSTITUTE(AA407,"+","%2B")&amp;"&amp;n="&amp;AC407&amp;"&amp;m="&amp;SUBSTITUTE('Start Here'!$B$24,"{name}",AC407))</f>
        <v/>
      </c>
      <c r="AE407" s="32">
        <f>LEN(AD407)</f>
        <v/>
      </c>
      <c r="AF407" s="32">
        <f>IF(AND(TRIM(A407&amp;"")&lt;&gt;"",OR(B407="Awaiting",B407="Not sure yet")),1,0)</f>
        <v/>
      </c>
      <c r="AG407" s="32">
        <f>N(AG406)+AF407</f>
        <v/>
      </c>
      <c r="AH407" s="32">
        <f>IF(AF407=1,AG407,"")</f>
        <v/>
      </c>
      <c r="AI407" s="32">
        <f>IF(AND(TRIM(A407&amp;"")&lt;&gt;"",L407&amp;""&lt;&gt;"",L407&amp;""=Seating!$I$3&amp;"",B407&lt;&gt;"Declined"),1,0)</f>
        <v/>
      </c>
      <c r="AJ407" s="32">
        <f>N(AJ406)+AI407</f>
        <v/>
      </c>
      <c r="AK407" s="32">
        <f>IF(AI407=1,AJ407,"")</f>
        <v/>
      </c>
    </row>
    <row r="408">
      <c r="A408" s="10" t="n"/>
      <c r="B408" s="47">
        <f>IF(TRIM(A408&amp;"")="","",IF(W408&lt;&gt;"",W408,IF(I408="","Awaiting",I408)))</f>
        <v/>
      </c>
      <c r="C408" s="60">
        <f>IF(OR(B408="Awaiting",B408="Not sure yet"),IF(AD408&lt;&gt;"",HYPERLINK(AD408,"💬 Remind"),"add mobile"),"")</f>
        <v/>
      </c>
      <c r="D408" s="58" t="n"/>
      <c r="E408" s="10" t="n"/>
      <c r="F408" s="10" t="n"/>
      <c r="G408" s="10" t="n"/>
      <c r="H408" s="10" t="n"/>
      <c r="I408" s="10" t="n"/>
      <c r="J408" s="10" t="n"/>
      <c r="K408" s="10" t="n"/>
      <c r="L408" s="56" t="n"/>
      <c r="M408" s="10" t="n"/>
      <c r="N408" s="12" t="n"/>
      <c r="O408" s="10" t="n"/>
      <c r="P408" s="10" t="n"/>
      <c r="Q408" s="61">
        <f>IF(V408="","",IF(T408="","Covered by "&amp;INDEX('Form Calc'!$B:$B,V408)&amp;"'s reply (same party)","Replied "&amp;TEXT(INDEX('Form Calc'!$A:$A,T408),"mm/dd")&amp;" · "&amp;INDEX('Form Calc'!$H:$H,T408)&amp;" adult(s), "&amp;INDEX('Form Calc'!$I:$I,T408)&amp;" child(ren)"&amp;IF(INDEX('Form Calc'!$K:$K,T408)&lt;&gt;""," · "&amp;INDEX('Form Calc'!$K:$K,T408),"")&amp;IF(INDEX('Form Calc'!$M:$M,T408)&lt;&gt;""," · “"&amp;INDEX('Form Calc'!$M:$M,T408)&amp;"”","")))</f>
        <v/>
      </c>
      <c r="R408" s="32">
        <f>SUBSTITUTE(SUBSTITUTE(SUBSTITUTE(SUBSTITUTE(SUBSTITUTE(SUBSTITUTE(SUBSTITUTE(SUBSTITUTE(D408&amp;""," ",""),"-",""),"(",""),")",""),".",""),"+",""),"/",""),CHAR(160),"")</f>
        <v/>
      </c>
      <c r="S408" s="32">
        <f>IF(LEN(R408)&gt;=10,RIGHT(R408,10),R408)</f>
        <v/>
      </c>
      <c r="T408" s="32">
        <f>IF(TRIM(A408&amp;"")="","",IF(S408&lt;&gt;"",IFERROR(MATCH(S408,'Form Calc'!$P:$P,0),IFERROR(MATCH(TRIM(A408&amp;""),'Form Calc'!$Q:$Q,0),"")),IFERROR(MATCH(TRIM(A408&amp;""),'Form Calc'!$Q:$Q,0),"")))</f>
        <v/>
      </c>
      <c r="U408" s="32">
        <f>IF(AND(T408&lt;&gt;"",TRIM(E408&amp;"")&lt;&gt;""),TRIM(E408&amp;""),"")</f>
        <v/>
      </c>
      <c r="V408" s="32">
        <f>IF(TRIM(A408&amp;"")="","",IF(T408&lt;&gt;"",T408,IF(TRIM(E408&amp;"")="","",IFERROR(INDEX($T$6:$T$505,MATCH(TRIM(E408&amp;""),$U$6:$U$505,0)),""))))</f>
        <v/>
      </c>
      <c r="W408" s="32">
        <f>IF(V408="","",INDEX('Form Calc'!$G:$G,V408))</f>
        <v/>
      </c>
      <c r="X408" s="32">
        <f>IF(TRIM(A408&amp;"")="","",IF(T408&lt;&gt;"",IF(INDEX('Form Calc'!$K:$K,T408)&lt;&gt;"",INDEX('Form Calc'!$K:$K,T408),J408&amp;""),J408&amp;""))</f>
        <v/>
      </c>
      <c r="Y408" s="32">
        <f>IF(TRIM(A408&amp;"")="","",IF(TRIM(D408&amp;"")&lt;&gt;"",TRIM(D408&amp;""),IF(T408&lt;&gt;"",INDEX('Form Calc'!$C:$C,T408)&amp;"","")))</f>
        <v/>
      </c>
      <c r="Z408" s="32">
        <f>SUBSTITUTE(SUBSTITUTE(SUBSTITUTE(SUBSTITUTE(SUBSTITUTE(SUBSTITUTE(SUBSTITUTE(SUBSTITUTE(Y408," ",""),"-",""),"(",""),")",""),".",""),"+",""),"/",""),CHAR(160),"")</f>
        <v/>
      </c>
      <c r="AA408" s="32">
        <f>IF(Z408="","",IF(LEN(Z408)=10,"+1"&amp;Z408,IF(AND(LEN(Z408)=11,LEFT(Z408,1)="1"),"+"&amp;Z408,IF(LEFT(Y408,1)="+","+"&amp;Z408,Z408))))</f>
        <v/>
      </c>
      <c r="AB408" s="32">
        <f>IF(TRIM(A408&amp;"")="","",IF(TRIM(M408&amp;"")&lt;&gt;"",TRIM(M408&amp;""),IFERROR(LEFT(TRIM(A408&amp;""),FIND(" ",TRIM(A408&amp;""))-1),TRIM(A408&amp;""))))</f>
        <v/>
      </c>
      <c r="AC408" s="32">
        <f>SUBSTITUTE(SUBSTITUTE(SUBSTITUTE(SUBSTITUTE(SUBSTITUTE(SUBSTITUTE(SUBSTITUTE(SUBSTITUTE(SUBSTITUTE(SUBSTITUTE(AB408,"%","%25"),"&amp;","%26"),"#","%23"),"+","%2B"),"=","%3D"),"?","%3F"),CHAR(34),"%22"),CHAR(10),"%0A"),CHAR(13),"")," ","+")</f>
        <v/>
      </c>
      <c r="AD408" s="32">
        <f>IF(OR(AA408="",AB408=""),"",'Start Here'!$B$20&amp;"#p="&amp;SUBSTITUTE(AA408,"+","%2B")&amp;"&amp;n="&amp;AC408&amp;"&amp;m="&amp;SUBSTITUTE('Start Here'!$B$24,"{name}",AC408))</f>
        <v/>
      </c>
      <c r="AE408" s="32">
        <f>LEN(AD408)</f>
        <v/>
      </c>
      <c r="AF408" s="32">
        <f>IF(AND(TRIM(A408&amp;"")&lt;&gt;"",OR(B408="Awaiting",B408="Not sure yet")),1,0)</f>
        <v/>
      </c>
      <c r="AG408" s="32">
        <f>N(AG407)+AF408</f>
        <v/>
      </c>
      <c r="AH408" s="32">
        <f>IF(AF408=1,AG408,"")</f>
        <v/>
      </c>
      <c r="AI408" s="32">
        <f>IF(AND(TRIM(A408&amp;"")&lt;&gt;"",L408&amp;""&lt;&gt;"",L408&amp;""=Seating!$I$3&amp;"",B408&lt;&gt;"Declined"),1,0)</f>
        <v/>
      </c>
      <c r="AJ408" s="32">
        <f>N(AJ407)+AI408</f>
        <v/>
      </c>
      <c r="AK408" s="32">
        <f>IF(AI408=1,AJ408,"")</f>
        <v/>
      </c>
    </row>
    <row r="409">
      <c r="A409" s="10" t="n"/>
      <c r="B409" s="47">
        <f>IF(TRIM(A409&amp;"")="","",IF(W409&lt;&gt;"",W409,IF(I409="","Awaiting",I409)))</f>
        <v/>
      </c>
      <c r="C409" s="60">
        <f>IF(OR(B409="Awaiting",B409="Not sure yet"),IF(AD409&lt;&gt;"",HYPERLINK(AD409,"💬 Remind"),"add mobile"),"")</f>
        <v/>
      </c>
      <c r="D409" s="58" t="n"/>
      <c r="E409" s="10" t="n"/>
      <c r="F409" s="10" t="n"/>
      <c r="G409" s="10" t="n"/>
      <c r="H409" s="10" t="n"/>
      <c r="I409" s="10" t="n"/>
      <c r="J409" s="10" t="n"/>
      <c r="K409" s="10" t="n"/>
      <c r="L409" s="56" t="n"/>
      <c r="M409" s="10" t="n"/>
      <c r="N409" s="12" t="n"/>
      <c r="O409" s="10" t="n"/>
      <c r="P409" s="10" t="n"/>
      <c r="Q409" s="61">
        <f>IF(V409="","",IF(T409="","Covered by "&amp;INDEX('Form Calc'!$B:$B,V409)&amp;"'s reply (same party)","Replied "&amp;TEXT(INDEX('Form Calc'!$A:$A,T409),"mm/dd")&amp;" · "&amp;INDEX('Form Calc'!$H:$H,T409)&amp;" adult(s), "&amp;INDEX('Form Calc'!$I:$I,T409)&amp;" child(ren)"&amp;IF(INDEX('Form Calc'!$K:$K,T409)&lt;&gt;""," · "&amp;INDEX('Form Calc'!$K:$K,T409),"")&amp;IF(INDEX('Form Calc'!$M:$M,T409)&lt;&gt;""," · “"&amp;INDEX('Form Calc'!$M:$M,T409)&amp;"”","")))</f>
        <v/>
      </c>
      <c r="R409" s="32">
        <f>SUBSTITUTE(SUBSTITUTE(SUBSTITUTE(SUBSTITUTE(SUBSTITUTE(SUBSTITUTE(SUBSTITUTE(SUBSTITUTE(D409&amp;""," ",""),"-",""),"(",""),")",""),".",""),"+",""),"/",""),CHAR(160),"")</f>
        <v/>
      </c>
      <c r="S409" s="32">
        <f>IF(LEN(R409)&gt;=10,RIGHT(R409,10),R409)</f>
        <v/>
      </c>
      <c r="T409" s="32">
        <f>IF(TRIM(A409&amp;"")="","",IF(S409&lt;&gt;"",IFERROR(MATCH(S409,'Form Calc'!$P:$P,0),IFERROR(MATCH(TRIM(A409&amp;""),'Form Calc'!$Q:$Q,0),"")),IFERROR(MATCH(TRIM(A409&amp;""),'Form Calc'!$Q:$Q,0),"")))</f>
        <v/>
      </c>
      <c r="U409" s="32">
        <f>IF(AND(T409&lt;&gt;"",TRIM(E409&amp;"")&lt;&gt;""),TRIM(E409&amp;""),"")</f>
        <v/>
      </c>
      <c r="V409" s="32">
        <f>IF(TRIM(A409&amp;"")="","",IF(T409&lt;&gt;"",T409,IF(TRIM(E409&amp;"")="","",IFERROR(INDEX($T$6:$T$505,MATCH(TRIM(E409&amp;""),$U$6:$U$505,0)),""))))</f>
        <v/>
      </c>
      <c r="W409" s="32">
        <f>IF(V409="","",INDEX('Form Calc'!$G:$G,V409))</f>
        <v/>
      </c>
      <c r="X409" s="32">
        <f>IF(TRIM(A409&amp;"")="","",IF(T409&lt;&gt;"",IF(INDEX('Form Calc'!$K:$K,T409)&lt;&gt;"",INDEX('Form Calc'!$K:$K,T409),J409&amp;""),J409&amp;""))</f>
        <v/>
      </c>
      <c r="Y409" s="32">
        <f>IF(TRIM(A409&amp;"")="","",IF(TRIM(D409&amp;"")&lt;&gt;"",TRIM(D409&amp;""),IF(T409&lt;&gt;"",INDEX('Form Calc'!$C:$C,T409)&amp;"","")))</f>
        <v/>
      </c>
      <c r="Z409" s="32">
        <f>SUBSTITUTE(SUBSTITUTE(SUBSTITUTE(SUBSTITUTE(SUBSTITUTE(SUBSTITUTE(SUBSTITUTE(SUBSTITUTE(Y409," ",""),"-",""),"(",""),")",""),".",""),"+",""),"/",""),CHAR(160),"")</f>
        <v/>
      </c>
      <c r="AA409" s="32">
        <f>IF(Z409="","",IF(LEN(Z409)=10,"+1"&amp;Z409,IF(AND(LEN(Z409)=11,LEFT(Z409,1)="1"),"+"&amp;Z409,IF(LEFT(Y409,1)="+","+"&amp;Z409,Z409))))</f>
        <v/>
      </c>
      <c r="AB409" s="32">
        <f>IF(TRIM(A409&amp;"")="","",IF(TRIM(M409&amp;"")&lt;&gt;"",TRIM(M409&amp;""),IFERROR(LEFT(TRIM(A409&amp;""),FIND(" ",TRIM(A409&amp;""))-1),TRIM(A409&amp;""))))</f>
        <v/>
      </c>
      <c r="AC409" s="32">
        <f>SUBSTITUTE(SUBSTITUTE(SUBSTITUTE(SUBSTITUTE(SUBSTITUTE(SUBSTITUTE(SUBSTITUTE(SUBSTITUTE(SUBSTITUTE(SUBSTITUTE(AB409,"%","%25"),"&amp;","%26"),"#","%23"),"+","%2B"),"=","%3D"),"?","%3F"),CHAR(34),"%22"),CHAR(10),"%0A"),CHAR(13),"")," ","+")</f>
        <v/>
      </c>
      <c r="AD409" s="32">
        <f>IF(OR(AA409="",AB409=""),"",'Start Here'!$B$20&amp;"#p="&amp;SUBSTITUTE(AA409,"+","%2B")&amp;"&amp;n="&amp;AC409&amp;"&amp;m="&amp;SUBSTITUTE('Start Here'!$B$24,"{name}",AC409))</f>
        <v/>
      </c>
      <c r="AE409" s="32">
        <f>LEN(AD409)</f>
        <v/>
      </c>
      <c r="AF409" s="32">
        <f>IF(AND(TRIM(A409&amp;"")&lt;&gt;"",OR(B409="Awaiting",B409="Not sure yet")),1,0)</f>
        <v/>
      </c>
      <c r="AG409" s="32">
        <f>N(AG408)+AF409</f>
        <v/>
      </c>
      <c r="AH409" s="32">
        <f>IF(AF409=1,AG409,"")</f>
        <v/>
      </c>
      <c r="AI409" s="32">
        <f>IF(AND(TRIM(A409&amp;"")&lt;&gt;"",L409&amp;""&lt;&gt;"",L409&amp;""=Seating!$I$3&amp;"",B409&lt;&gt;"Declined"),1,0)</f>
        <v/>
      </c>
      <c r="AJ409" s="32">
        <f>N(AJ408)+AI409</f>
        <v/>
      </c>
      <c r="AK409" s="32">
        <f>IF(AI409=1,AJ409,"")</f>
        <v/>
      </c>
    </row>
    <row r="410">
      <c r="A410" s="10" t="n"/>
      <c r="B410" s="47">
        <f>IF(TRIM(A410&amp;"")="","",IF(W410&lt;&gt;"",W410,IF(I410="","Awaiting",I410)))</f>
        <v/>
      </c>
      <c r="C410" s="60">
        <f>IF(OR(B410="Awaiting",B410="Not sure yet"),IF(AD410&lt;&gt;"",HYPERLINK(AD410,"💬 Remind"),"add mobile"),"")</f>
        <v/>
      </c>
      <c r="D410" s="58" t="n"/>
      <c r="E410" s="10" t="n"/>
      <c r="F410" s="10" t="n"/>
      <c r="G410" s="10" t="n"/>
      <c r="H410" s="10" t="n"/>
      <c r="I410" s="10" t="n"/>
      <c r="J410" s="10" t="n"/>
      <c r="K410" s="10" t="n"/>
      <c r="L410" s="56" t="n"/>
      <c r="M410" s="10" t="n"/>
      <c r="N410" s="12" t="n"/>
      <c r="O410" s="10" t="n"/>
      <c r="P410" s="10" t="n"/>
      <c r="Q410" s="61">
        <f>IF(V410="","",IF(T410="","Covered by "&amp;INDEX('Form Calc'!$B:$B,V410)&amp;"'s reply (same party)","Replied "&amp;TEXT(INDEX('Form Calc'!$A:$A,T410),"mm/dd")&amp;" · "&amp;INDEX('Form Calc'!$H:$H,T410)&amp;" adult(s), "&amp;INDEX('Form Calc'!$I:$I,T410)&amp;" child(ren)"&amp;IF(INDEX('Form Calc'!$K:$K,T410)&lt;&gt;""," · "&amp;INDEX('Form Calc'!$K:$K,T410),"")&amp;IF(INDEX('Form Calc'!$M:$M,T410)&lt;&gt;""," · “"&amp;INDEX('Form Calc'!$M:$M,T410)&amp;"”","")))</f>
        <v/>
      </c>
      <c r="R410" s="32">
        <f>SUBSTITUTE(SUBSTITUTE(SUBSTITUTE(SUBSTITUTE(SUBSTITUTE(SUBSTITUTE(SUBSTITUTE(SUBSTITUTE(D410&amp;""," ",""),"-",""),"(",""),")",""),".",""),"+",""),"/",""),CHAR(160),"")</f>
        <v/>
      </c>
      <c r="S410" s="32">
        <f>IF(LEN(R410)&gt;=10,RIGHT(R410,10),R410)</f>
        <v/>
      </c>
      <c r="T410" s="32">
        <f>IF(TRIM(A410&amp;"")="","",IF(S410&lt;&gt;"",IFERROR(MATCH(S410,'Form Calc'!$P:$P,0),IFERROR(MATCH(TRIM(A410&amp;""),'Form Calc'!$Q:$Q,0),"")),IFERROR(MATCH(TRIM(A410&amp;""),'Form Calc'!$Q:$Q,0),"")))</f>
        <v/>
      </c>
      <c r="U410" s="32">
        <f>IF(AND(T410&lt;&gt;"",TRIM(E410&amp;"")&lt;&gt;""),TRIM(E410&amp;""),"")</f>
        <v/>
      </c>
      <c r="V410" s="32">
        <f>IF(TRIM(A410&amp;"")="","",IF(T410&lt;&gt;"",T410,IF(TRIM(E410&amp;"")="","",IFERROR(INDEX($T$6:$T$505,MATCH(TRIM(E410&amp;""),$U$6:$U$505,0)),""))))</f>
        <v/>
      </c>
      <c r="W410" s="32">
        <f>IF(V410="","",INDEX('Form Calc'!$G:$G,V410))</f>
        <v/>
      </c>
      <c r="X410" s="32">
        <f>IF(TRIM(A410&amp;"")="","",IF(T410&lt;&gt;"",IF(INDEX('Form Calc'!$K:$K,T410)&lt;&gt;"",INDEX('Form Calc'!$K:$K,T410),J410&amp;""),J410&amp;""))</f>
        <v/>
      </c>
      <c r="Y410" s="32">
        <f>IF(TRIM(A410&amp;"")="","",IF(TRIM(D410&amp;"")&lt;&gt;"",TRIM(D410&amp;""),IF(T410&lt;&gt;"",INDEX('Form Calc'!$C:$C,T410)&amp;"","")))</f>
        <v/>
      </c>
      <c r="Z410" s="32">
        <f>SUBSTITUTE(SUBSTITUTE(SUBSTITUTE(SUBSTITUTE(SUBSTITUTE(SUBSTITUTE(SUBSTITUTE(SUBSTITUTE(Y410," ",""),"-",""),"(",""),")",""),".",""),"+",""),"/",""),CHAR(160),"")</f>
        <v/>
      </c>
      <c r="AA410" s="32">
        <f>IF(Z410="","",IF(LEN(Z410)=10,"+1"&amp;Z410,IF(AND(LEN(Z410)=11,LEFT(Z410,1)="1"),"+"&amp;Z410,IF(LEFT(Y410,1)="+","+"&amp;Z410,Z410))))</f>
        <v/>
      </c>
      <c r="AB410" s="32">
        <f>IF(TRIM(A410&amp;"")="","",IF(TRIM(M410&amp;"")&lt;&gt;"",TRIM(M410&amp;""),IFERROR(LEFT(TRIM(A410&amp;""),FIND(" ",TRIM(A410&amp;""))-1),TRIM(A410&amp;""))))</f>
        <v/>
      </c>
      <c r="AC410" s="32">
        <f>SUBSTITUTE(SUBSTITUTE(SUBSTITUTE(SUBSTITUTE(SUBSTITUTE(SUBSTITUTE(SUBSTITUTE(SUBSTITUTE(SUBSTITUTE(SUBSTITUTE(AB410,"%","%25"),"&amp;","%26"),"#","%23"),"+","%2B"),"=","%3D"),"?","%3F"),CHAR(34),"%22"),CHAR(10),"%0A"),CHAR(13),"")," ","+")</f>
        <v/>
      </c>
      <c r="AD410" s="32">
        <f>IF(OR(AA410="",AB410=""),"",'Start Here'!$B$20&amp;"#p="&amp;SUBSTITUTE(AA410,"+","%2B")&amp;"&amp;n="&amp;AC410&amp;"&amp;m="&amp;SUBSTITUTE('Start Here'!$B$24,"{name}",AC410))</f>
        <v/>
      </c>
      <c r="AE410" s="32">
        <f>LEN(AD410)</f>
        <v/>
      </c>
      <c r="AF410" s="32">
        <f>IF(AND(TRIM(A410&amp;"")&lt;&gt;"",OR(B410="Awaiting",B410="Not sure yet")),1,0)</f>
        <v/>
      </c>
      <c r="AG410" s="32">
        <f>N(AG409)+AF410</f>
        <v/>
      </c>
      <c r="AH410" s="32">
        <f>IF(AF410=1,AG410,"")</f>
        <v/>
      </c>
      <c r="AI410" s="32">
        <f>IF(AND(TRIM(A410&amp;"")&lt;&gt;"",L410&amp;""&lt;&gt;"",L410&amp;""=Seating!$I$3&amp;"",B410&lt;&gt;"Declined"),1,0)</f>
        <v/>
      </c>
      <c r="AJ410" s="32">
        <f>N(AJ409)+AI410</f>
        <v/>
      </c>
      <c r="AK410" s="32">
        <f>IF(AI410=1,AJ410,"")</f>
        <v/>
      </c>
    </row>
    <row r="411">
      <c r="A411" s="10" t="n"/>
      <c r="B411" s="47">
        <f>IF(TRIM(A411&amp;"")="","",IF(W411&lt;&gt;"",W411,IF(I411="","Awaiting",I411)))</f>
        <v/>
      </c>
      <c r="C411" s="60">
        <f>IF(OR(B411="Awaiting",B411="Not sure yet"),IF(AD411&lt;&gt;"",HYPERLINK(AD411,"💬 Remind"),"add mobile"),"")</f>
        <v/>
      </c>
      <c r="D411" s="58" t="n"/>
      <c r="E411" s="10" t="n"/>
      <c r="F411" s="10" t="n"/>
      <c r="G411" s="10" t="n"/>
      <c r="H411" s="10" t="n"/>
      <c r="I411" s="10" t="n"/>
      <c r="J411" s="10" t="n"/>
      <c r="K411" s="10" t="n"/>
      <c r="L411" s="56" t="n"/>
      <c r="M411" s="10" t="n"/>
      <c r="N411" s="12" t="n"/>
      <c r="O411" s="10" t="n"/>
      <c r="P411" s="10" t="n"/>
      <c r="Q411" s="61">
        <f>IF(V411="","",IF(T411="","Covered by "&amp;INDEX('Form Calc'!$B:$B,V411)&amp;"'s reply (same party)","Replied "&amp;TEXT(INDEX('Form Calc'!$A:$A,T411),"mm/dd")&amp;" · "&amp;INDEX('Form Calc'!$H:$H,T411)&amp;" adult(s), "&amp;INDEX('Form Calc'!$I:$I,T411)&amp;" child(ren)"&amp;IF(INDEX('Form Calc'!$K:$K,T411)&lt;&gt;""," · "&amp;INDEX('Form Calc'!$K:$K,T411),"")&amp;IF(INDEX('Form Calc'!$M:$M,T411)&lt;&gt;""," · “"&amp;INDEX('Form Calc'!$M:$M,T411)&amp;"”","")))</f>
        <v/>
      </c>
      <c r="R411" s="32">
        <f>SUBSTITUTE(SUBSTITUTE(SUBSTITUTE(SUBSTITUTE(SUBSTITUTE(SUBSTITUTE(SUBSTITUTE(SUBSTITUTE(D411&amp;""," ",""),"-",""),"(",""),")",""),".",""),"+",""),"/",""),CHAR(160),"")</f>
        <v/>
      </c>
      <c r="S411" s="32">
        <f>IF(LEN(R411)&gt;=10,RIGHT(R411,10),R411)</f>
        <v/>
      </c>
      <c r="T411" s="32">
        <f>IF(TRIM(A411&amp;"")="","",IF(S411&lt;&gt;"",IFERROR(MATCH(S411,'Form Calc'!$P:$P,0),IFERROR(MATCH(TRIM(A411&amp;""),'Form Calc'!$Q:$Q,0),"")),IFERROR(MATCH(TRIM(A411&amp;""),'Form Calc'!$Q:$Q,0),"")))</f>
        <v/>
      </c>
      <c r="U411" s="32">
        <f>IF(AND(T411&lt;&gt;"",TRIM(E411&amp;"")&lt;&gt;""),TRIM(E411&amp;""),"")</f>
        <v/>
      </c>
      <c r="V411" s="32">
        <f>IF(TRIM(A411&amp;"")="","",IF(T411&lt;&gt;"",T411,IF(TRIM(E411&amp;"")="","",IFERROR(INDEX($T$6:$T$505,MATCH(TRIM(E411&amp;""),$U$6:$U$505,0)),""))))</f>
        <v/>
      </c>
      <c r="W411" s="32">
        <f>IF(V411="","",INDEX('Form Calc'!$G:$G,V411))</f>
        <v/>
      </c>
      <c r="X411" s="32">
        <f>IF(TRIM(A411&amp;"")="","",IF(T411&lt;&gt;"",IF(INDEX('Form Calc'!$K:$K,T411)&lt;&gt;"",INDEX('Form Calc'!$K:$K,T411),J411&amp;""),J411&amp;""))</f>
        <v/>
      </c>
      <c r="Y411" s="32">
        <f>IF(TRIM(A411&amp;"")="","",IF(TRIM(D411&amp;"")&lt;&gt;"",TRIM(D411&amp;""),IF(T411&lt;&gt;"",INDEX('Form Calc'!$C:$C,T411)&amp;"","")))</f>
        <v/>
      </c>
      <c r="Z411" s="32">
        <f>SUBSTITUTE(SUBSTITUTE(SUBSTITUTE(SUBSTITUTE(SUBSTITUTE(SUBSTITUTE(SUBSTITUTE(SUBSTITUTE(Y411," ",""),"-",""),"(",""),")",""),".",""),"+",""),"/",""),CHAR(160),"")</f>
        <v/>
      </c>
      <c r="AA411" s="32">
        <f>IF(Z411="","",IF(LEN(Z411)=10,"+1"&amp;Z411,IF(AND(LEN(Z411)=11,LEFT(Z411,1)="1"),"+"&amp;Z411,IF(LEFT(Y411,1)="+","+"&amp;Z411,Z411))))</f>
        <v/>
      </c>
      <c r="AB411" s="32">
        <f>IF(TRIM(A411&amp;"")="","",IF(TRIM(M411&amp;"")&lt;&gt;"",TRIM(M411&amp;""),IFERROR(LEFT(TRIM(A411&amp;""),FIND(" ",TRIM(A411&amp;""))-1),TRIM(A411&amp;""))))</f>
        <v/>
      </c>
      <c r="AC411" s="32">
        <f>SUBSTITUTE(SUBSTITUTE(SUBSTITUTE(SUBSTITUTE(SUBSTITUTE(SUBSTITUTE(SUBSTITUTE(SUBSTITUTE(SUBSTITUTE(SUBSTITUTE(AB411,"%","%25"),"&amp;","%26"),"#","%23"),"+","%2B"),"=","%3D"),"?","%3F"),CHAR(34),"%22"),CHAR(10),"%0A"),CHAR(13),"")," ","+")</f>
        <v/>
      </c>
      <c r="AD411" s="32">
        <f>IF(OR(AA411="",AB411=""),"",'Start Here'!$B$20&amp;"#p="&amp;SUBSTITUTE(AA411,"+","%2B")&amp;"&amp;n="&amp;AC411&amp;"&amp;m="&amp;SUBSTITUTE('Start Here'!$B$24,"{name}",AC411))</f>
        <v/>
      </c>
      <c r="AE411" s="32">
        <f>LEN(AD411)</f>
        <v/>
      </c>
      <c r="AF411" s="32">
        <f>IF(AND(TRIM(A411&amp;"")&lt;&gt;"",OR(B411="Awaiting",B411="Not sure yet")),1,0)</f>
        <v/>
      </c>
      <c r="AG411" s="32">
        <f>N(AG410)+AF411</f>
        <v/>
      </c>
      <c r="AH411" s="32">
        <f>IF(AF411=1,AG411,"")</f>
        <v/>
      </c>
      <c r="AI411" s="32">
        <f>IF(AND(TRIM(A411&amp;"")&lt;&gt;"",L411&amp;""&lt;&gt;"",L411&amp;""=Seating!$I$3&amp;"",B411&lt;&gt;"Declined"),1,0)</f>
        <v/>
      </c>
      <c r="AJ411" s="32">
        <f>N(AJ410)+AI411</f>
        <v/>
      </c>
      <c r="AK411" s="32">
        <f>IF(AI411=1,AJ411,"")</f>
        <v/>
      </c>
    </row>
    <row r="412">
      <c r="A412" s="10" t="n"/>
      <c r="B412" s="47">
        <f>IF(TRIM(A412&amp;"")="","",IF(W412&lt;&gt;"",W412,IF(I412="","Awaiting",I412)))</f>
        <v/>
      </c>
      <c r="C412" s="60">
        <f>IF(OR(B412="Awaiting",B412="Not sure yet"),IF(AD412&lt;&gt;"",HYPERLINK(AD412,"💬 Remind"),"add mobile"),"")</f>
        <v/>
      </c>
      <c r="D412" s="58" t="n"/>
      <c r="E412" s="10" t="n"/>
      <c r="F412" s="10" t="n"/>
      <c r="G412" s="10" t="n"/>
      <c r="H412" s="10" t="n"/>
      <c r="I412" s="10" t="n"/>
      <c r="J412" s="10" t="n"/>
      <c r="K412" s="10" t="n"/>
      <c r="L412" s="56" t="n"/>
      <c r="M412" s="10" t="n"/>
      <c r="N412" s="12" t="n"/>
      <c r="O412" s="10" t="n"/>
      <c r="P412" s="10" t="n"/>
      <c r="Q412" s="61">
        <f>IF(V412="","",IF(T412="","Covered by "&amp;INDEX('Form Calc'!$B:$B,V412)&amp;"'s reply (same party)","Replied "&amp;TEXT(INDEX('Form Calc'!$A:$A,T412),"mm/dd")&amp;" · "&amp;INDEX('Form Calc'!$H:$H,T412)&amp;" adult(s), "&amp;INDEX('Form Calc'!$I:$I,T412)&amp;" child(ren)"&amp;IF(INDEX('Form Calc'!$K:$K,T412)&lt;&gt;""," · "&amp;INDEX('Form Calc'!$K:$K,T412),"")&amp;IF(INDEX('Form Calc'!$M:$M,T412)&lt;&gt;""," · “"&amp;INDEX('Form Calc'!$M:$M,T412)&amp;"”","")))</f>
        <v/>
      </c>
      <c r="R412" s="32">
        <f>SUBSTITUTE(SUBSTITUTE(SUBSTITUTE(SUBSTITUTE(SUBSTITUTE(SUBSTITUTE(SUBSTITUTE(SUBSTITUTE(D412&amp;""," ",""),"-",""),"(",""),")",""),".",""),"+",""),"/",""),CHAR(160),"")</f>
        <v/>
      </c>
      <c r="S412" s="32">
        <f>IF(LEN(R412)&gt;=10,RIGHT(R412,10),R412)</f>
        <v/>
      </c>
      <c r="T412" s="32">
        <f>IF(TRIM(A412&amp;"")="","",IF(S412&lt;&gt;"",IFERROR(MATCH(S412,'Form Calc'!$P:$P,0),IFERROR(MATCH(TRIM(A412&amp;""),'Form Calc'!$Q:$Q,0),"")),IFERROR(MATCH(TRIM(A412&amp;""),'Form Calc'!$Q:$Q,0),"")))</f>
        <v/>
      </c>
      <c r="U412" s="32">
        <f>IF(AND(T412&lt;&gt;"",TRIM(E412&amp;"")&lt;&gt;""),TRIM(E412&amp;""),"")</f>
        <v/>
      </c>
      <c r="V412" s="32">
        <f>IF(TRIM(A412&amp;"")="","",IF(T412&lt;&gt;"",T412,IF(TRIM(E412&amp;"")="","",IFERROR(INDEX($T$6:$T$505,MATCH(TRIM(E412&amp;""),$U$6:$U$505,0)),""))))</f>
        <v/>
      </c>
      <c r="W412" s="32">
        <f>IF(V412="","",INDEX('Form Calc'!$G:$G,V412))</f>
        <v/>
      </c>
      <c r="X412" s="32">
        <f>IF(TRIM(A412&amp;"")="","",IF(T412&lt;&gt;"",IF(INDEX('Form Calc'!$K:$K,T412)&lt;&gt;"",INDEX('Form Calc'!$K:$K,T412),J412&amp;""),J412&amp;""))</f>
        <v/>
      </c>
      <c r="Y412" s="32">
        <f>IF(TRIM(A412&amp;"")="","",IF(TRIM(D412&amp;"")&lt;&gt;"",TRIM(D412&amp;""),IF(T412&lt;&gt;"",INDEX('Form Calc'!$C:$C,T412)&amp;"","")))</f>
        <v/>
      </c>
      <c r="Z412" s="32">
        <f>SUBSTITUTE(SUBSTITUTE(SUBSTITUTE(SUBSTITUTE(SUBSTITUTE(SUBSTITUTE(SUBSTITUTE(SUBSTITUTE(Y412," ",""),"-",""),"(",""),")",""),".",""),"+",""),"/",""),CHAR(160),"")</f>
        <v/>
      </c>
      <c r="AA412" s="32">
        <f>IF(Z412="","",IF(LEN(Z412)=10,"+1"&amp;Z412,IF(AND(LEN(Z412)=11,LEFT(Z412,1)="1"),"+"&amp;Z412,IF(LEFT(Y412,1)="+","+"&amp;Z412,Z412))))</f>
        <v/>
      </c>
      <c r="AB412" s="32">
        <f>IF(TRIM(A412&amp;"")="","",IF(TRIM(M412&amp;"")&lt;&gt;"",TRIM(M412&amp;""),IFERROR(LEFT(TRIM(A412&amp;""),FIND(" ",TRIM(A412&amp;""))-1),TRIM(A412&amp;""))))</f>
        <v/>
      </c>
      <c r="AC412" s="32">
        <f>SUBSTITUTE(SUBSTITUTE(SUBSTITUTE(SUBSTITUTE(SUBSTITUTE(SUBSTITUTE(SUBSTITUTE(SUBSTITUTE(SUBSTITUTE(SUBSTITUTE(AB412,"%","%25"),"&amp;","%26"),"#","%23"),"+","%2B"),"=","%3D"),"?","%3F"),CHAR(34),"%22"),CHAR(10),"%0A"),CHAR(13),"")," ","+")</f>
        <v/>
      </c>
      <c r="AD412" s="32">
        <f>IF(OR(AA412="",AB412=""),"",'Start Here'!$B$20&amp;"#p="&amp;SUBSTITUTE(AA412,"+","%2B")&amp;"&amp;n="&amp;AC412&amp;"&amp;m="&amp;SUBSTITUTE('Start Here'!$B$24,"{name}",AC412))</f>
        <v/>
      </c>
      <c r="AE412" s="32">
        <f>LEN(AD412)</f>
        <v/>
      </c>
      <c r="AF412" s="32">
        <f>IF(AND(TRIM(A412&amp;"")&lt;&gt;"",OR(B412="Awaiting",B412="Not sure yet")),1,0)</f>
        <v/>
      </c>
      <c r="AG412" s="32">
        <f>N(AG411)+AF412</f>
        <v/>
      </c>
      <c r="AH412" s="32">
        <f>IF(AF412=1,AG412,"")</f>
        <v/>
      </c>
      <c r="AI412" s="32">
        <f>IF(AND(TRIM(A412&amp;"")&lt;&gt;"",L412&amp;""&lt;&gt;"",L412&amp;""=Seating!$I$3&amp;"",B412&lt;&gt;"Declined"),1,0)</f>
        <v/>
      </c>
      <c r="AJ412" s="32">
        <f>N(AJ411)+AI412</f>
        <v/>
      </c>
      <c r="AK412" s="32">
        <f>IF(AI412=1,AJ412,"")</f>
        <v/>
      </c>
    </row>
    <row r="413">
      <c r="A413" s="10" t="n"/>
      <c r="B413" s="47">
        <f>IF(TRIM(A413&amp;"")="","",IF(W413&lt;&gt;"",W413,IF(I413="","Awaiting",I413)))</f>
        <v/>
      </c>
      <c r="C413" s="60">
        <f>IF(OR(B413="Awaiting",B413="Not sure yet"),IF(AD413&lt;&gt;"",HYPERLINK(AD413,"💬 Remind"),"add mobile"),"")</f>
        <v/>
      </c>
      <c r="D413" s="58" t="n"/>
      <c r="E413" s="10" t="n"/>
      <c r="F413" s="10" t="n"/>
      <c r="G413" s="10" t="n"/>
      <c r="H413" s="10" t="n"/>
      <c r="I413" s="10" t="n"/>
      <c r="J413" s="10" t="n"/>
      <c r="K413" s="10" t="n"/>
      <c r="L413" s="56" t="n"/>
      <c r="M413" s="10" t="n"/>
      <c r="N413" s="12" t="n"/>
      <c r="O413" s="10" t="n"/>
      <c r="P413" s="10" t="n"/>
      <c r="Q413" s="61">
        <f>IF(V413="","",IF(T413="","Covered by "&amp;INDEX('Form Calc'!$B:$B,V413)&amp;"'s reply (same party)","Replied "&amp;TEXT(INDEX('Form Calc'!$A:$A,T413),"mm/dd")&amp;" · "&amp;INDEX('Form Calc'!$H:$H,T413)&amp;" adult(s), "&amp;INDEX('Form Calc'!$I:$I,T413)&amp;" child(ren)"&amp;IF(INDEX('Form Calc'!$K:$K,T413)&lt;&gt;""," · "&amp;INDEX('Form Calc'!$K:$K,T413),"")&amp;IF(INDEX('Form Calc'!$M:$M,T413)&lt;&gt;""," · “"&amp;INDEX('Form Calc'!$M:$M,T413)&amp;"”","")))</f>
        <v/>
      </c>
      <c r="R413" s="32">
        <f>SUBSTITUTE(SUBSTITUTE(SUBSTITUTE(SUBSTITUTE(SUBSTITUTE(SUBSTITUTE(SUBSTITUTE(SUBSTITUTE(D413&amp;""," ",""),"-",""),"(",""),")",""),".",""),"+",""),"/",""),CHAR(160),"")</f>
        <v/>
      </c>
      <c r="S413" s="32">
        <f>IF(LEN(R413)&gt;=10,RIGHT(R413,10),R413)</f>
        <v/>
      </c>
      <c r="T413" s="32">
        <f>IF(TRIM(A413&amp;"")="","",IF(S413&lt;&gt;"",IFERROR(MATCH(S413,'Form Calc'!$P:$P,0),IFERROR(MATCH(TRIM(A413&amp;""),'Form Calc'!$Q:$Q,0),"")),IFERROR(MATCH(TRIM(A413&amp;""),'Form Calc'!$Q:$Q,0),"")))</f>
        <v/>
      </c>
      <c r="U413" s="32">
        <f>IF(AND(T413&lt;&gt;"",TRIM(E413&amp;"")&lt;&gt;""),TRIM(E413&amp;""),"")</f>
        <v/>
      </c>
      <c r="V413" s="32">
        <f>IF(TRIM(A413&amp;"")="","",IF(T413&lt;&gt;"",T413,IF(TRIM(E413&amp;"")="","",IFERROR(INDEX($T$6:$T$505,MATCH(TRIM(E413&amp;""),$U$6:$U$505,0)),""))))</f>
        <v/>
      </c>
      <c r="W413" s="32">
        <f>IF(V413="","",INDEX('Form Calc'!$G:$G,V413))</f>
        <v/>
      </c>
      <c r="X413" s="32">
        <f>IF(TRIM(A413&amp;"")="","",IF(T413&lt;&gt;"",IF(INDEX('Form Calc'!$K:$K,T413)&lt;&gt;"",INDEX('Form Calc'!$K:$K,T413),J413&amp;""),J413&amp;""))</f>
        <v/>
      </c>
      <c r="Y413" s="32">
        <f>IF(TRIM(A413&amp;"")="","",IF(TRIM(D413&amp;"")&lt;&gt;"",TRIM(D413&amp;""),IF(T413&lt;&gt;"",INDEX('Form Calc'!$C:$C,T413)&amp;"","")))</f>
        <v/>
      </c>
      <c r="Z413" s="32">
        <f>SUBSTITUTE(SUBSTITUTE(SUBSTITUTE(SUBSTITUTE(SUBSTITUTE(SUBSTITUTE(SUBSTITUTE(SUBSTITUTE(Y413," ",""),"-",""),"(",""),")",""),".",""),"+",""),"/",""),CHAR(160),"")</f>
        <v/>
      </c>
      <c r="AA413" s="32">
        <f>IF(Z413="","",IF(LEN(Z413)=10,"+1"&amp;Z413,IF(AND(LEN(Z413)=11,LEFT(Z413,1)="1"),"+"&amp;Z413,IF(LEFT(Y413,1)="+","+"&amp;Z413,Z413))))</f>
        <v/>
      </c>
      <c r="AB413" s="32">
        <f>IF(TRIM(A413&amp;"")="","",IF(TRIM(M413&amp;"")&lt;&gt;"",TRIM(M413&amp;""),IFERROR(LEFT(TRIM(A413&amp;""),FIND(" ",TRIM(A413&amp;""))-1),TRIM(A413&amp;""))))</f>
        <v/>
      </c>
      <c r="AC413" s="32">
        <f>SUBSTITUTE(SUBSTITUTE(SUBSTITUTE(SUBSTITUTE(SUBSTITUTE(SUBSTITUTE(SUBSTITUTE(SUBSTITUTE(SUBSTITUTE(SUBSTITUTE(AB413,"%","%25"),"&amp;","%26"),"#","%23"),"+","%2B"),"=","%3D"),"?","%3F"),CHAR(34),"%22"),CHAR(10),"%0A"),CHAR(13),"")," ","+")</f>
        <v/>
      </c>
      <c r="AD413" s="32">
        <f>IF(OR(AA413="",AB413=""),"",'Start Here'!$B$20&amp;"#p="&amp;SUBSTITUTE(AA413,"+","%2B")&amp;"&amp;n="&amp;AC413&amp;"&amp;m="&amp;SUBSTITUTE('Start Here'!$B$24,"{name}",AC413))</f>
        <v/>
      </c>
      <c r="AE413" s="32">
        <f>LEN(AD413)</f>
        <v/>
      </c>
      <c r="AF413" s="32">
        <f>IF(AND(TRIM(A413&amp;"")&lt;&gt;"",OR(B413="Awaiting",B413="Not sure yet")),1,0)</f>
        <v/>
      </c>
      <c r="AG413" s="32">
        <f>N(AG412)+AF413</f>
        <v/>
      </c>
      <c r="AH413" s="32">
        <f>IF(AF413=1,AG413,"")</f>
        <v/>
      </c>
      <c r="AI413" s="32">
        <f>IF(AND(TRIM(A413&amp;"")&lt;&gt;"",L413&amp;""&lt;&gt;"",L413&amp;""=Seating!$I$3&amp;"",B413&lt;&gt;"Declined"),1,0)</f>
        <v/>
      </c>
      <c r="AJ413" s="32">
        <f>N(AJ412)+AI413</f>
        <v/>
      </c>
      <c r="AK413" s="32">
        <f>IF(AI413=1,AJ413,"")</f>
        <v/>
      </c>
    </row>
    <row r="414">
      <c r="A414" s="10" t="n"/>
      <c r="B414" s="47">
        <f>IF(TRIM(A414&amp;"")="","",IF(W414&lt;&gt;"",W414,IF(I414="","Awaiting",I414)))</f>
        <v/>
      </c>
      <c r="C414" s="60">
        <f>IF(OR(B414="Awaiting",B414="Not sure yet"),IF(AD414&lt;&gt;"",HYPERLINK(AD414,"💬 Remind"),"add mobile"),"")</f>
        <v/>
      </c>
      <c r="D414" s="58" t="n"/>
      <c r="E414" s="10" t="n"/>
      <c r="F414" s="10" t="n"/>
      <c r="G414" s="10" t="n"/>
      <c r="H414" s="10" t="n"/>
      <c r="I414" s="10" t="n"/>
      <c r="J414" s="10" t="n"/>
      <c r="K414" s="10" t="n"/>
      <c r="L414" s="56" t="n"/>
      <c r="M414" s="10" t="n"/>
      <c r="N414" s="12" t="n"/>
      <c r="O414" s="10" t="n"/>
      <c r="P414" s="10" t="n"/>
      <c r="Q414" s="61">
        <f>IF(V414="","",IF(T414="","Covered by "&amp;INDEX('Form Calc'!$B:$B,V414)&amp;"'s reply (same party)","Replied "&amp;TEXT(INDEX('Form Calc'!$A:$A,T414),"mm/dd")&amp;" · "&amp;INDEX('Form Calc'!$H:$H,T414)&amp;" adult(s), "&amp;INDEX('Form Calc'!$I:$I,T414)&amp;" child(ren)"&amp;IF(INDEX('Form Calc'!$K:$K,T414)&lt;&gt;""," · "&amp;INDEX('Form Calc'!$K:$K,T414),"")&amp;IF(INDEX('Form Calc'!$M:$M,T414)&lt;&gt;""," · “"&amp;INDEX('Form Calc'!$M:$M,T414)&amp;"”","")))</f>
        <v/>
      </c>
      <c r="R414" s="32">
        <f>SUBSTITUTE(SUBSTITUTE(SUBSTITUTE(SUBSTITUTE(SUBSTITUTE(SUBSTITUTE(SUBSTITUTE(SUBSTITUTE(D414&amp;""," ",""),"-",""),"(",""),")",""),".",""),"+",""),"/",""),CHAR(160),"")</f>
        <v/>
      </c>
      <c r="S414" s="32">
        <f>IF(LEN(R414)&gt;=10,RIGHT(R414,10),R414)</f>
        <v/>
      </c>
      <c r="T414" s="32">
        <f>IF(TRIM(A414&amp;"")="","",IF(S414&lt;&gt;"",IFERROR(MATCH(S414,'Form Calc'!$P:$P,0),IFERROR(MATCH(TRIM(A414&amp;""),'Form Calc'!$Q:$Q,0),"")),IFERROR(MATCH(TRIM(A414&amp;""),'Form Calc'!$Q:$Q,0),"")))</f>
        <v/>
      </c>
      <c r="U414" s="32">
        <f>IF(AND(T414&lt;&gt;"",TRIM(E414&amp;"")&lt;&gt;""),TRIM(E414&amp;""),"")</f>
        <v/>
      </c>
      <c r="V414" s="32">
        <f>IF(TRIM(A414&amp;"")="","",IF(T414&lt;&gt;"",T414,IF(TRIM(E414&amp;"")="","",IFERROR(INDEX($T$6:$T$505,MATCH(TRIM(E414&amp;""),$U$6:$U$505,0)),""))))</f>
        <v/>
      </c>
      <c r="W414" s="32">
        <f>IF(V414="","",INDEX('Form Calc'!$G:$G,V414))</f>
        <v/>
      </c>
      <c r="X414" s="32">
        <f>IF(TRIM(A414&amp;"")="","",IF(T414&lt;&gt;"",IF(INDEX('Form Calc'!$K:$K,T414)&lt;&gt;"",INDEX('Form Calc'!$K:$K,T414),J414&amp;""),J414&amp;""))</f>
        <v/>
      </c>
      <c r="Y414" s="32">
        <f>IF(TRIM(A414&amp;"")="","",IF(TRIM(D414&amp;"")&lt;&gt;"",TRIM(D414&amp;""),IF(T414&lt;&gt;"",INDEX('Form Calc'!$C:$C,T414)&amp;"","")))</f>
        <v/>
      </c>
      <c r="Z414" s="32">
        <f>SUBSTITUTE(SUBSTITUTE(SUBSTITUTE(SUBSTITUTE(SUBSTITUTE(SUBSTITUTE(SUBSTITUTE(SUBSTITUTE(Y414," ",""),"-",""),"(",""),")",""),".",""),"+",""),"/",""),CHAR(160),"")</f>
        <v/>
      </c>
      <c r="AA414" s="32">
        <f>IF(Z414="","",IF(LEN(Z414)=10,"+1"&amp;Z414,IF(AND(LEN(Z414)=11,LEFT(Z414,1)="1"),"+"&amp;Z414,IF(LEFT(Y414,1)="+","+"&amp;Z414,Z414))))</f>
        <v/>
      </c>
      <c r="AB414" s="32">
        <f>IF(TRIM(A414&amp;"")="","",IF(TRIM(M414&amp;"")&lt;&gt;"",TRIM(M414&amp;""),IFERROR(LEFT(TRIM(A414&amp;""),FIND(" ",TRIM(A414&amp;""))-1),TRIM(A414&amp;""))))</f>
        <v/>
      </c>
      <c r="AC414" s="32">
        <f>SUBSTITUTE(SUBSTITUTE(SUBSTITUTE(SUBSTITUTE(SUBSTITUTE(SUBSTITUTE(SUBSTITUTE(SUBSTITUTE(SUBSTITUTE(SUBSTITUTE(AB414,"%","%25"),"&amp;","%26"),"#","%23"),"+","%2B"),"=","%3D"),"?","%3F"),CHAR(34),"%22"),CHAR(10),"%0A"),CHAR(13),"")," ","+")</f>
        <v/>
      </c>
      <c r="AD414" s="32">
        <f>IF(OR(AA414="",AB414=""),"",'Start Here'!$B$20&amp;"#p="&amp;SUBSTITUTE(AA414,"+","%2B")&amp;"&amp;n="&amp;AC414&amp;"&amp;m="&amp;SUBSTITUTE('Start Here'!$B$24,"{name}",AC414))</f>
        <v/>
      </c>
      <c r="AE414" s="32">
        <f>LEN(AD414)</f>
        <v/>
      </c>
      <c r="AF414" s="32">
        <f>IF(AND(TRIM(A414&amp;"")&lt;&gt;"",OR(B414="Awaiting",B414="Not sure yet")),1,0)</f>
        <v/>
      </c>
      <c r="AG414" s="32">
        <f>N(AG413)+AF414</f>
        <v/>
      </c>
      <c r="AH414" s="32">
        <f>IF(AF414=1,AG414,"")</f>
        <v/>
      </c>
      <c r="AI414" s="32">
        <f>IF(AND(TRIM(A414&amp;"")&lt;&gt;"",L414&amp;""&lt;&gt;"",L414&amp;""=Seating!$I$3&amp;"",B414&lt;&gt;"Declined"),1,0)</f>
        <v/>
      </c>
      <c r="AJ414" s="32">
        <f>N(AJ413)+AI414</f>
        <v/>
      </c>
      <c r="AK414" s="32">
        <f>IF(AI414=1,AJ414,"")</f>
        <v/>
      </c>
    </row>
    <row r="415">
      <c r="A415" s="10" t="n"/>
      <c r="B415" s="47">
        <f>IF(TRIM(A415&amp;"")="","",IF(W415&lt;&gt;"",W415,IF(I415="","Awaiting",I415)))</f>
        <v/>
      </c>
      <c r="C415" s="60">
        <f>IF(OR(B415="Awaiting",B415="Not sure yet"),IF(AD415&lt;&gt;"",HYPERLINK(AD415,"💬 Remind"),"add mobile"),"")</f>
        <v/>
      </c>
      <c r="D415" s="58" t="n"/>
      <c r="E415" s="10" t="n"/>
      <c r="F415" s="10" t="n"/>
      <c r="G415" s="10" t="n"/>
      <c r="H415" s="10" t="n"/>
      <c r="I415" s="10" t="n"/>
      <c r="J415" s="10" t="n"/>
      <c r="K415" s="10" t="n"/>
      <c r="L415" s="56" t="n"/>
      <c r="M415" s="10" t="n"/>
      <c r="N415" s="12" t="n"/>
      <c r="O415" s="10" t="n"/>
      <c r="P415" s="10" t="n"/>
      <c r="Q415" s="61">
        <f>IF(V415="","",IF(T415="","Covered by "&amp;INDEX('Form Calc'!$B:$B,V415)&amp;"'s reply (same party)","Replied "&amp;TEXT(INDEX('Form Calc'!$A:$A,T415),"mm/dd")&amp;" · "&amp;INDEX('Form Calc'!$H:$H,T415)&amp;" adult(s), "&amp;INDEX('Form Calc'!$I:$I,T415)&amp;" child(ren)"&amp;IF(INDEX('Form Calc'!$K:$K,T415)&lt;&gt;""," · "&amp;INDEX('Form Calc'!$K:$K,T415),"")&amp;IF(INDEX('Form Calc'!$M:$M,T415)&lt;&gt;""," · “"&amp;INDEX('Form Calc'!$M:$M,T415)&amp;"”","")))</f>
        <v/>
      </c>
      <c r="R415" s="32">
        <f>SUBSTITUTE(SUBSTITUTE(SUBSTITUTE(SUBSTITUTE(SUBSTITUTE(SUBSTITUTE(SUBSTITUTE(SUBSTITUTE(D415&amp;""," ",""),"-",""),"(",""),")",""),".",""),"+",""),"/",""),CHAR(160),"")</f>
        <v/>
      </c>
      <c r="S415" s="32">
        <f>IF(LEN(R415)&gt;=10,RIGHT(R415,10),R415)</f>
        <v/>
      </c>
      <c r="T415" s="32">
        <f>IF(TRIM(A415&amp;"")="","",IF(S415&lt;&gt;"",IFERROR(MATCH(S415,'Form Calc'!$P:$P,0),IFERROR(MATCH(TRIM(A415&amp;""),'Form Calc'!$Q:$Q,0),"")),IFERROR(MATCH(TRIM(A415&amp;""),'Form Calc'!$Q:$Q,0),"")))</f>
        <v/>
      </c>
      <c r="U415" s="32">
        <f>IF(AND(T415&lt;&gt;"",TRIM(E415&amp;"")&lt;&gt;""),TRIM(E415&amp;""),"")</f>
        <v/>
      </c>
      <c r="V415" s="32">
        <f>IF(TRIM(A415&amp;"")="","",IF(T415&lt;&gt;"",T415,IF(TRIM(E415&amp;"")="","",IFERROR(INDEX($T$6:$T$505,MATCH(TRIM(E415&amp;""),$U$6:$U$505,0)),""))))</f>
        <v/>
      </c>
      <c r="W415" s="32">
        <f>IF(V415="","",INDEX('Form Calc'!$G:$G,V415))</f>
        <v/>
      </c>
      <c r="X415" s="32">
        <f>IF(TRIM(A415&amp;"")="","",IF(T415&lt;&gt;"",IF(INDEX('Form Calc'!$K:$K,T415)&lt;&gt;"",INDEX('Form Calc'!$K:$K,T415),J415&amp;""),J415&amp;""))</f>
        <v/>
      </c>
      <c r="Y415" s="32">
        <f>IF(TRIM(A415&amp;"")="","",IF(TRIM(D415&amp;"")&lt;&gt;"",TRIM(D415&amp;""),IF(T415&lt;&gt;"",INDEX('Form Calc'!$C:$C,T415)&amp;"","")))</f>
        <v/>
      </c>
      <c r="Z415" s="32">
        <f>SUBSTITUTE(SUBSTITUTE(SUBSTITUTE(SUBSTITUTE(SUBSTITUTE(SUBSTITUTE(SUBSTITUTE(SUBSTITUTE(Y415," ",""),"-",""),"(",""),")",""),".",""),"+",""),"/",""),CHAR(160),"")</f>
        <v/>
      </c>
      <c r="AA415" s="32">
        <f>IF(Z415="","",IF(LEN(Z415)=10,"+1"&amp;Z415,IF(AND(LEN(Z415)=11,LEFT(Z415,1)="1"),"+"&amp;Z415,IF(LEFT(Y415,1)="+","+"&amp;Z415,Z415))))</f>
        <v/>
      </c>
      <c r="AB415" s="32">
        <f>IF(TRIM(A415&amp;"")="","",IF(TRIM(M415&amp;"")&lt;&gt;"",TRIM(M415&amp;""),IFERROR(LEFT(TRIM(A415&amp;""),FIND(" ",TRIM(A415&amp;""))-1),TRIM(A415&amp;""))))</f>
        <v/>
      </c>
      <c r="AC415" s="32">
        <f>SUBSTITUTE(SUBSTITUTE(SUBSTITUTE(SUBSTITUTE(SUBSTITUTE(SUBSTITUTE(SUBSTITUTE(SUBSTITUTE(SUBSTITUTE(SUBSTITUTE(AB415,"%","%25"),"&amp;","%26"),"#","%23"),"+","%2B"),"=","%3D"),"?","%3F"),CHAR(34),"%22"),CHAR(10),"%0A"),CHAR(13),"")," ","+")</f>
        <v/>
      </c>
      <c r="AD415" s="32">
        <f>IF(OR(AA415="",AB415=""),"",'Start Here'!$B$20&amp;"#p="&amp;SUBSTITUTE(AA415,"+","%2B")&amp;"&amp;n="&amp;AC415&amp;"&amp;m="&amp;SUBSTITUTE('Start Here'!$B$24,"{name}",AC415))</f>
        <v/>
      </c>
      <c r="AE415" s="32">
        <f>LEN(AD415)</f>
        <v/>
      </c>
      <c r="AF415" s="32">
        <f>IF(AND(TRIM(A415&amp;"")&lt;&gt;"",OR(B415="Awaiting",B415="Not sure yet")),1,0)</f>
        <v/>
      </c>
      <c r="AG415" s="32">
        <f>N(AG414)+AF415</f>
        <v/>
      </c>
      <c r="AH415" s="32">
        <f>IF(AF415=1,AG415,"")</f>
        <v/>
      </c>
      <c r="AI415" s="32">
        <f>IF(AND(TRIM(A415&amp;"")&lt;&gt;"",L415&amp;""&lt;&gt;"",L415&amp;""=Seating!$I$3&amp;"",B415&lt;&gt;"Declined"),1,0)</f>
        <v/>
      </c>
      <c r="AJ415" s="32">
        <f>N(AJ414)+AI415</f>
        <v/>
      </c>
      <c r="AK415" s="32">
        <f>IF(AI415=1,AJ415,"")</f>
        <v/>
      </c>
    </row>
    <row r="416">
      <c r="A416" s="10" t="n"/>
      <c r="B416" s="47">
        <f>IF(TRIM(A416&amp;"")="","",IF(W416&lt;&gt;"",W416,IF(I416="","Awaiting",I416)))</f>
        <v/>
      </c>
      <c r="C416" s="60">
        <f>IF(OR(B416="Awaiting",B416="Not sure yet"),IF(AD416&lt;&gt;"",HYPERLINK(AD416,"💬 Remind"),"add mobile"),"")</f>
        <v/>
      </c>
      <c r="D416" s="58" t="n"/>
      <c r="E416" s="10" t="n"/>
      <c r="F416" s="10" t="n"/>
      <c r="G416" s="10" t="n"/>
      <c r="H416" s="10" t="n"/>
      <c r="I416" s="10" t="n"/>
      <c r="J416" s="10" t="n"/>
      <c r="K416" s="10" t="n"/>
      <c r="L416" s="56" t="n"/>
      <c r="M416" s="10" t="n"/>
      <c r="N416" s="12" t="n"/>
      <c r="O416" s="10" t="n"/>
      <c r="P416" s="10" t="n"/>
      <c r="Q416" s="61">
        <f>IF(V416="","",IF(T416="","Covered by "&amp;INDEX('Form Calc'!$B:$B,V416)&amp;"'s reply (same party)","Replied "&amp;TEXT(INDEX('Form Calc'!$A:$A,T416),"mm/dd")&amp;" · "&amp;INDEX('Form Calc'!$H:$H,T416)&amp;" adult(s), "&amp;INDEX('Form Calc'!$I:$I,T416)&amp;" child(ren)"&amp;IF(INDEX('Form Calc'!$K:$K,T416)&lt;&gt;""," · "&amp;INDEX('Form Calc'!$K:$K,T416),"")&amp;IF(INDEX('Form Calc'!$M:$M,T416)&lt;&gt;""," · “"&amp;INDEX('Form Calc'!$M:$M,T416)&amp;"”","")))</f>
        <v/>
      </c>
      <c r="R416" s="32">
        <f>SUBSTITUTE(SUBSTITUTE(SUBSTITUTE(SUBSTITUTE(SUBSTITUTE(SUBSTITUTE(SUBSTITUTE(SUBSTITUTE(D416&amp;""," ",""),"-",""),"(",""),")",""),".",""),"+",""),"/",""),CHAR(160),"")</f>
        <v/>
      </c>
      <c r="S416" s="32">
        <f>IF(LEN(R416)&gt;=10,RIGHT(R416,10),R416)</f>
        <v/>
      </c>
      <c r="T416" s="32">
        <f>IF(TRIM(A416&amp;"")="","",IF(S416&lt;&gt;"",IFERROR(MATCH(S416,'Form Calc'!$P:$P,0),IFERROR(MATCH(TRIM(A416&amp;""),'Form Calc'!$Q:$Q,0),"")),IFERROR(MATCH(TRIM(A416&amp;""),'Form Calc'!$Q:$Q,0),"")))</f>
        <v/>
      </c>
      <c r="U416" s="32">
        <f>IF(AND(T416&lt;&gt;"",TRIM(E416&amp;"")&lt;&gt;""),TRIM(E416&amp;""),"")</f>
        <v/>
      </c>
      <c r="V416" s="32">
        <f>IF(TRIM(A416&amp;"")="","",IF(T416&lt;&gt;"",T416,IF(TRIM(E416&amp;"")="","",IFERROR(INDEX($T$6:$T$505,MATCH(TRIM(E416&amp;""),$U$6:$U$505,0)),""))))</f>
        <v/>
      </c>
      <c r="W416" s="32">
        <f>IF(V416="","",INDEX('Form Calc'!$G:$G,V416))</f>
        <v/>
      </c>
      <c r="X416" s="32">
        <f>IF(TRIM(A416&amp;"")="","",IF(T416&lt;&gt;"",IF(INDEX('Form Calc'!$K:$K,T416)&lt;&gt;"",INDEX('Form Calc'!$K:$K,T416),J416&amp;""),J416&amp;""))</f>
        <v/>
      </c>
      <c r="Y416" s="32">
        <f>IF(TRIM(A416&amp;"")="","",IF(TRIM(D416&amp;"")&lt;&gt;"",TRIM(D416&amp;""),IF(T416&lt;&gt;"",INDEX('Form Calc'!$C:$C,T416)&amp;"","")))</f>
        <v/>
      </c>
      <c r="Z416" s="32">
        <f>SUBSTITUTE(SUBSTITUTE(SUBSTITUTE(SUBSTITUTE(SUBSTITUTE(SUBSTITUTE(SUBSTITUTE(SUBSTITUTE(Y416," ",""),"-",""),"(",""),")",""),".",""),"+",""),"/",""),CHAR(160),"")</f>
        <v/>
      </c>
      <c r="AA416" s="32">
        <f>IF(Z416="","",IF(LEN(Z416)=10,"+1"&amp;Z416,IF(AND(LEN(Z416)=11,LEFT(Z416,1)="1"),"+"&amp;Z416,IF(LEFT(Y416,1)="+","+"&amp;Z416,Z416))))</f>
        <v/>
      </c>
      <c r="AB416" s="32">
        <f>IF(TRIM(A416&amp;"")="","",IF(TRIM(M416&amp;"")&lt;&gt;"",TRIM(M416&amp;""),IFERROR(LEFT(TRIM(A416&amp;""),FIND(" ",TRIM(A416&amp;""))-1),TRIM(A416&amp;""))))</f>
        <v/>
      </c>
      <c r="AC416" s="32">
        <f>SUBSTITUTE(SUBSTITUTE(SUBSTITUTE(SUBSTITUTE(SUBSTITUTE(SUBSTITUTE(SUBSTITUTE(SUBSTITUTE(SUBSTITUTE(SUBSTITUTE(AB416,"%","%25"),"&amp;","%26"),"#","%23"),"+","%2B"),"=","%3D"),"?","%3F"),CHAR(34),"%22"),CHAR(10),"%0A"),CHAR(13),"")," ","+")</f>
        <v/>
      </c>
      <c r="AD416" s="32">
        <f>IF(OR(AA416="",AB416=""),"",'Start Here'!$B$20&amp;"#p="&amp;SUBSTITUTE(AA416,"+","%2B")&amp;"&amp;n="&amp;AC416&amp;"&amp;m="&amp;SUBSTITUTE('Start Here'!$B$24,"{name}",AC416))</f>
        <v/>
      </c>
      <c r="AE416" s="32">
        <f>LEN(AD416)</f>
        <v/>
      </c>
      <c r="AF416" s="32">
        <f>IF(AND(TRIM(A416&amp;"")&lt;&gt;"",OR(B416="Awaiting",B416="Not sure yet")),1,0)</f>
        <v/>
      </c>
      <c r="AG416" s="32">
        <f>N(AG415)+AF416</f>
        <v/>
      </c>
      <c r="AH416" s="32">
        <f>IF(AF416=1,AG416,"")</f>
        <v/>
      </c>
      <c r="AI416" s="32">
        <f>IF(AND(TRIM(A416&amp;"")&lt;&gt;"",L416&amp;""&lt;&gt;"",L416&amp;""=Seating!$I$3&amp;"",B416&lt;&gt;"Declined"),1,0)</f>
        <v/>
      </c>
      <c r="AJ416" s="32">
        <f>N(AJ415)+AI416</f>
        <v/>
      </c>
      <c r="AK416" s="32">
        <f>IF(AI416=1,AJ416,"")</f>
        <v/>
      </c>
    </row>
    <row r="417">
      <c r="A417" s="10" t="n"/>
      <c r="B417" s="47">
        <f>IF(TRIM(A417&amp;"")="","",IF(W417&lt;&gt;"",W417,IF(I417="","Awaiting",I417)))</f>
        <v/>
      </c>
      <c r="C417" s="60">
        <f>IF(OR(B417="Awaiting",B417="Not sure yet"),IF(AD417&lt;&gt;"",HYPERLINK(AD417,"💬 Remind"),"add mobile"),"")</f>
        <v/>
      </c>
      <c r="D417" s="58" t="n"/>
      <c r="E417" s="10" t="n"/>
      <c r="F417" s="10" t="n"/>
      <c r="G417" s="10" t="n"/>
      <c r="H417" s="10" t="n"/>
      <c r="I417" s="10" t="n"/>
      <c r="J417" s="10" t="n"/>
      <c r="K417" s="10" t="n"/>
      <c r="L417" s="56" t="n"/>
      <c r="M417" s="10" t="n"/>
      <c r="N417" s="12" t="n"/>
      <c r="O417" s="10" t="n"/>
      <c r="P417" s="10" t="n"/>
      <c r="Q417" s="61">
        <f>IF(V417="","",IF(T417="","Covered by "&amp;INDEX('Form Calc'!$B:$B,V417)&amp;"'s reply (same party)","Replied "&amp;TEXT(INDEX('Form Calc'!$A:$A,T417),"mm/dd")&amp;" · "&amp;INDEX('Form Calc'!$H:$H,T417)&amp;" adult(s), "&amp;INDEX('Form Calc'!$I:$I,T417)&amp;" child(ren)"&amp;IF(INDEX('Form Calc'!$K:$K,T417)&lt;&gt;""," · "&amp;INDEX('Form Calc'!$K:$K,T417),"")&amp;IF(INDEX('Form Calc'!$M:$M,T417)&lt;&gt;""," · “"&amp;INDEX('Form Calc'!$M:$M,T417)&amp;"”","")))</f>
        <v/>
      </c>
      <c r="R417" s="32">
        <f>SUBSTITUTE(SUBSTITUTE(SUBSTITUTE(SUBSTITUTE(SUBSTITUTE(SUBSTITUTE(SUBSTITUTE(SUBSTITUTE(D417&amp;""," ",""),"-",""),"(",""),")",""),".",""),"+",""),"/",""),CHAR(160),"")</f>
        <v/>
      </c>
      <c r="S417" s="32">
        <f>IF(LEN(R417)&gt;=10,RIGHT(R417,10),R417)</f>
        <v/>
      </c>
      <c r="T417" s="32">
        <f>IF(TRIM(A417&amp;"")="","",IF(S417&lt;&gt;"",IFERROR(MATCH(S417,'Form Calc'!$P:$P,0),IFERROR(MATCH(TRIM(A417&amp;""),'Form Calc'!$Q:$Q,0),"")),IFERROR(MATCH(TRIM(A417&amp;""),'Form Calc'!$Q:$Q,0),"")))</f>
        <v/>
      </c>
      <c r="U417" s="32">
        <f>IF(AND(T417&lt;&gt;"",TRIM(E417&amp;"")&lt;&gt;""),TRIM(E417&amp;""),"")</f>
        <v/>
      </c>
      <c r="V417" s="32">
        <f>IF(TRIM(A417&amp;"")="","",IF(T417&lt;&gt;"",T417,IF(TRIM(E417&amp;"")="","",IFERROR(INDEX($T$6:$T$505,MATCH(TRIM(E417&amp;""),$U$6:$U$505,0)),""))))</f>
        <v/>
      </c>
      <c r="W417" s="32">
        <f>IF(V417="","",INDEX('Form Calc'!$G:$G,V417))</f>
        <v/>
      </c>
      <c r="X417" s="32">
        <f>IF(TRIM(A417&amp;"")="","",IF(T417&lt;&gt;"",IF(INDEX('Form Calc'!$K:$K,T417)&lt;&gt;"",INDEX('Form Calc'!$K:$K,T417),J417&amp;""),J417&amp;""))</f>
        <v/>
      </c>
      <c r="Y417" s="32">
        <f>IF(TRIM(A417&amp;"")="","",IF(TRIM(D417&amp;"")&lt;&gt;"",TRIM(D417&amp;""),IF(T417&lt;&gt;"",INDEX('Form Calc'!$C:$C,T417)&amp;"","")))</f>
        <v/>
      </c>
      <c r="Z417" s="32">
        <f>SUBSTITUTE(SUBSTITUTE(SUBSTITUTE(SUBSTITUTE(SUBSTITUTE(SUBSTITUTE(SUBSTITUTE(SUBSTITUTE(Y417," ",""),"-",""),"(",""),")",""),".",""),"+",""),"/",""),CHAR(160),"")</f>
        <v/>
      </c>
      <c r="AA417" s="32">
        <f>IF(Z417="","",IF(LEN(Z417)=10,"+1"&amp;Z417,IF(AND(LEN(Z417)=11,LEFT(Z417,1)="1"),"+"&amp;Z417,IF(LEFT(Y417,1)="+","+"&amp;Z417,Z417))))</f>
        <v/>
      </c>
      <c r="AB417" s="32">
        <f>IF(TRIM(A417&amp;"")="","",IF(TRIM(M417&amp;"")&lt;&gt;"",TRIM(M417&amp;""),IFERROR(LEFT(TRIM(A417&amp;""),FIND(" ",TRIM(A417&amp;""))-1),TRIM(A417&amp;""))))</f>
        <v/>
      </c>
      <c r="AC417" s="32">
        <f>SUBSTITUTE(SUBSTITUTE(SUBSTITUTE(SUBSTITUTE(SUBSTITUTE(SUBSTITUTE(SUBSTITUTE(SUBSTITUTE(SUBSTITUTE(SUBSTITUTE(AB417,"%","%25"),"&amp;","%26"),"#","%23"),"+","%2B"),"=","%3D"),"?","%3F"),CHAR(34),"%22"),CHAR(10),"%0A"),CHAR(13),"")," ","+")</f>
        <v/>
      </c>
      <c r="AD417" s="32">
        <f>IF(OR(AA417="",AB417=""),"",'Start Here'!$B$20&amp;"#p="&amp;SUBSTITUTE(AA417,"+","%2B")&amp;"&amp;n="&amp;AC417&amp;"&amp;m="&amp;SUBSTITUTE('Start Here'!$B$24,"{name}",AC417))</f>
        <v/>
      </c>
      <c r="AE417" s="32">
        <f>LEN(AD417)</f>
        <v/>
      </c>
      <c r="AF417" s="32">
        <f>IF(AND(TRIM(A417&amp;"")&lt;&gt;"",OR(B417="Awaiting",B417="Not sure yet")),1,0)</f>
        <v/>
      </c>
      <c r="AG417" s="32">
        <f>N(AG416)+AF417</f>
        <v/>
      </c>
      <c r="AH417" s="32">
        <f>IF(AF417=1,AG417,"")</f>
        <v/>
      </c>
      <c r="AI417" s="32">
        <f>IF(AND(TRIM(A417&amp;"")&lt;&gt;"",L417&amp;""&lt;&gt;"",L417&amp;""=Seating!$I$3&amp;"",B417&lt;&gt;"Declined"),1,0)</f>
        <v/>
      </c>
      <c r="AJ417" s="32">
        <f>N(AJ416)+AI417</f>
        <v/>
      </c>
      <c r="AK417" s="32">
        <f>IF(AI417=1,AJ417,"")</f>
        <v/>
      </c>
    </row>
    <row r="418">
      <c r="A418" s="10" t="n"/>
      <c r="B418" s="47">
        <f>IF(TRIM(A418&amp;"")="","",IF(W418&lt;&gt;"",W418,IF(I418="","Awaiting",I418)))</f>
        <v/>
      </c>
      <c r="C418" s="60">
        <f>IF(OR(B418="Awaiting",B418="Not sure yet"),IF(AD418&lt;&gt;"",HYPERLINK(AD418,"💬 Remind"),"add mobile"),"")</f>
        <v/>
      </c>
      <c r="D418" s="58" t="n"/>
      <c r="E418" s="10" t="n"/>
      <c r="F418" s="10" t="n"/>
      <c r="G418" s="10" t="n"/>
      <c r="H418" s="10" t="n"/>
      <c r="I418" s="10" t="n"/>
      <c r="J418" s="10" t="n"/>
      <c r="K418" s="10" t="n"/>
      <c r="L418" s="56" t="n"/>
      <c r="M418" s="10" t="n"/>
      <c r="N418" s="12" t="n"/>
      <c r="O418" s="10" t="n"/>
      <c r="P418" s="10" t="n"/>
      <c r="Q418" s="61">
        <f>IF(V418="","",IF(T418="","Covered by "&amp;INDEX('Form Calc'!$B:$B,V418)&amp;"'s reply (same party)","Replied "&amp;TEXT(INDEX('Form Calc'!$A:$A,T418),"mm/dd")&amp;" · "&amp;INDEX('Form Calc'!$H:$H,T418)&amp;" adult(s), "&amp;INDEX('Form Calc'!$I:$I,T418)&amp;" child(ren)"&amp;IF(INDEX('Form Calc'!$K:$K,T418)&lt;&gt;""," · "&amp;INDEX('Form Calc'!$K:$K,T418),"")&amp;IF(INDEX('Form Calc'!$M:$M,T418)&lt;&gt;""," · “"&amp;INDEX('Form Calc'!$M:$M,T418)&amp;"”","")))</f>
        <v/>
      </c>
      <c r="R418" s="32">
        <f>SUBSTITUTE(SUBSTITUTE(SUBSTITUTE(SUBSTITUTE(SUBSTITUTE(SUBSTITUTE(SUBSTITUTE(SUBSTITUTE(D418&amp;""," ",""),"-",""),"(",""),")",""),".",""),"+",""),"/",""),CHAR(160),"")</f>
        <v/>
      </c>
      <c r="S418" s="32">
        <f>IF(LEN(R418)&gt;=10,RIGHT(R418,10),R418)</f>
        <v/>
      </c>
      <c r="T418" s="32">
        <f>IF(TRIM(A418&amp;"")="","",IF(S418&lt;&gt;"",IFERROR(MATCH(S418,'Form Calc'!$P:$P,0),IFERROR(MATCH(TRIM(A418&amp;""),'Form Calc'!$Q:$Q,0),"")),IFERROR(MATCH(TRIM(A418&amp;""),'Form Calc'!$Q:$Q,0),"")))</f>
        <v/>
      </c>
      <c r="U418" s="32">
        <f>IF(AND(T418&lt;&gt;"",TRIM(E418&amp;"")&lt;&gt;""),TRIM(E418&amp;""),"")</f>
        <v/>
      </c>
      <c r="V418" s="32">
        <f>IF(TRIM(A418&amp;"")="","",IF(T418&lt;&gt;"",T418,IF(TRIM(E418&amp;"")="","",IFERROR(INDEX($T$6:$T$505,MATCH(TRIM(E418&amp;""),$U$6:$U$505,0)),""))))</f>
        <v/>
      </c>
      <c r="W418" s="32">
        <f>IF(V418="","",INDEX('Form Calc'!$G:$G,V418))</f>
        <v/>
      </c>
      <c r="X418" s="32">
        <f>IF(TRIM(A418&amp;"")="","",IF(T418&lt;&gt;"",IF(INDEX('Form Calc'!$K:$K,T418)&lt;&gt;"",INDEX('Form Calc'!$K:$K,T418),J418&amp;""),J418&amp;""))</f>
        <v/>
      </c>
      <c r="Y418" s="32">
        <f>IF(TRIM(A418&amp;"")="","",IF(TRIM(D418&amp;"")&lt;&gt;"",TRIM(D418&amp;""),IF(T418&lt;&gt;"",INDEX('Form Calc'!$C:$C,T418)&amp;"","")))</f>
        <v/>
      </c>
      <c r="Z418" s="32">
        <f>SUBSTITUTE(SUBSTITUTE(SUBSTITUTE(SUBSTITUTE(SUBSTITUTE(SUBSTITUTE(SUBSTITUTE(SUBSTITUTE(Y418," ",""),"-",""),"(",""),")",""),".",""),"+",""),"/",""),CHAR(160),"")</f>
        <v/>
      </c>
      <c r="AA418" s="32">
        <f>IF(Z418="","",IF(LEN(Z418)=10,"+1"&amp;Z418,IF(AND(LEN(Z418)=11,LEFT(Z418,1)="1"),"+"&amp;Z418,IF(LEFT(Y418,1)="+","+"&amp;Z418,Z418))))</f>
        <v/>
      </c>
      <c r="AB418" s="32">
        <f>IF(TRIM(A418&amp;"")="","",IF(TRIM(M418&amp;"")&lt;&gt;"",TRIM(M418&amp;""),IFERROR(LEFT(TRIM(A418&amp;""),FIND(" ",TRIM(A418&amp;""))-1),TRIM(A418&amp;""))))</f>
        <v/>
      </c>
      <c r="AC418" s="32">
        <f>SUBSTITUTE(SUBSTITUTE(SUBSTITUTE(SUBSTITUTE(SUBSTITUTE(SUBSTITUTE(SUBSTITUTE(SUBSTITUTE(SUBSTITUTE(SUBSTITUTE(AB418,"%","%25"),"&amp;","%26"),"#","%23"),"+","%2B"),"=","%3D"),"?","%3F"),CHAR(34),"%22"),CHAR(10),"%0A"),CHAR(13),"")," ","+")</f>
        <v/>
      </c>
      <c r="AD418" s="32">
        <f>IF(OR(AA418="",AB418=""),"",'Start Here'!$B$20&amp;"#p="&amp;SUBSTITUTE(AA418,"+","%2B")&amp;"&amp;n="&amp;AC418&amp;"&amp;m="&amp;SUBSTITUTE('Start Here'!$B$24,"{name}",AC418))</f>
        <v/>
      </c>
      <c r="AE418" s="32">
        <f>LEN(AD418)</f>
        <v/>
      </c>
      <c r="AF418" s="32">
        <f>IF(AND(TRIM(A418&amp;"")&lt;&gt;"",OR(B418="Awaiting",B418="Not sure yet")),1,0)</f>
        <v/>
      </c>
      <c r="AG418" s="32">
        <f>N(AG417)+AF418</f>
        <v/>
      </c>
      <c r="AH418" s="32">
        <f>IF(AF418=1,AG418,"")</f>
        <v/>
      </c>
      <c r="AI418" s="32">
        <f>IF(AND(TRIM(A418&amp;"")&lt;&gt;"",L418&amp;""&lt;&gt;"",L418&amp;""=Seating!$I$3&amp;"",B418&lt;&gt;"Declined"),1,0)</f>
        <v/>
      </c>
      <c r="AJ418" s="32">
        <f>N(AJ417)+AI418</f>
        <v/>
      </c>
      <c r="AK418" s="32">
        <f>IF(AI418=1,AJ418,"")</f>
        <v/>
      </c>
    </row>
    <row r="419">
      <c r="A419" s="10" t="n"/>
      <c r="B419" s="47">
        <f>IF(TRIM(A419&amp;"")="","",IF(W419&lt;&gt;"",W419,IF(I419="","Awaiting",I419)))</f>
        <v/>
      </c>
      <c r="C419" s="60">
        <f>IF(OR(B419="Awaiting",B419="Not sure yet"),IF(AD419&lt;&gt;"",HYPERLINK(AD419,"💬 Remind"),"add mobile"),"")</f>
        <v/>
      </c>
      <c r="D419" s="58" t="n"/>
      <c r="E419" s="10" t="n"/>
      <c r="F419" s="10" t="n"/>
      <c r="G419" s="10" t="n"/>
      <c r="H419" s="10" t="n"/>
      <c r="I419" s="10" t="n"/>
      <c r="J419" s="10" t="n"/>
      <c r="K419" s="10" t="n"/>
      <c r="L419" s="56" t="n"/>
      <c r="M419" s="10" t="n"/>
      <c r="N419" s="12" t="n"/>
      <c r="O419" s="10" t="n"/>
      <c r="P419" s="10" t="n"/>
      <c r="Q419" s="61">
        <f>IF(V419="","",IF(T419="","Covered by "&amp;INDEX('Form Calc'!$B:$B,V419)&amp;"'s reply (same party)","Replied "&amp;TEXT(INDEX('Form Calc'!$A:$A,T419),"mm/dd")&amp;" · "&amp;INDEX('Form Calc'!$H:$H,T419)&amp;" adult(s), "&amp;INDEX('Form Calc'!$I:$I,T419)&amp;" child(ren)"&amp;IF(INDEX('Form Calc'!$K:$K,T419)&lt;&gt;""," · "&amp;INDEX('Form Calc'!$K:$K,T419),"")&amp;IF(INDEX('Form Calc'!$M:$M,T419)&lt;&gt;""," · “"&amp;INDEX('Form Calc'!$M:$M,T419)&amp;"”","")))</f>
        <v/>
      </c>
      <c r="R419" s="32">
        <f>SUBSTITUTE(SUBSTITUTE(SUBSTITUTE(SUBSTITUTE(SUBSTITUTE(SUBSTITUTE(SUBSTITUTE(SUBSTITUTE(D419&amp;""," ",""),"-",""),"(",""),")",""),".",""),"+",""),"/",""),CHAR(160),"")</f>
        <v/>
      </c>
      <c r="S419" s="32">
        <f>IF(LEN(R419)&gt;=10,RIGHT(R419,10),R419)</f>
        <v/>
      </c>
      <c r="T419" s="32">
        <f>IF(TRIM(A419&amp;"")="","",IF(S419&lt;&gt;"",IFERROR(MATCH(S419,'Form Calc'!$P:$P,0),IFERROR(MATCH(TRIM(A419&amp;""),'Form Calc'!$Q:$Q,0),"")),IFERROR(MATCH(TRIM(A419&amp;""),'Form Calc'!$Q:$Q,0),"")))</f>
        <v/>
      </c>
      <c r="U419" s="32">
        <f>IF(AND(T419&lt;&gt;"",TRIM(E419&amp;"")&lt;&gt;""),TRIM(E419&amp;""),"")</f>
        <v/>
      </c>
      <c r="V419" s="32">
        <f>IF(TRIM(A419&amp;"")="","",IF(T419&lt;&gt;"",T419,IF(TRIM(E419&amp;"")="","",IFERROR(INDEX($T$6:$T$505,MATCH(TRIM(E419&amp;""),$U$6:$U$505,0)),""))))</f>
        <v/>
      </c>
      <c r="W419" s="32">
        <f>IF(V419="","",INDEX('Form Calc'!$G:$G,V419))</f>
        <v/>
      </c>
      <c r="X419" s="32">
        <f>IF(TRIM(A419&amp;"")="","",IF(T419&lt;&gt;"",IF(INDEX('Form Calc'!$K:$K,T419)&lt;&gt;"",INDEX('Form Calc'!$K:$K,T419),J419&amp;""),J419&amp;""))</f>
        <v/>
      </c>
      <c r="Y419" s="32">
        <f>IF(TRIM(A419&amp;"")="","",IF(TRIM(D419&amp;"")&lt;&gt;"",TRIM(D419&amp;""),IF(T419&lt;&gt;"",INDEX('Form Calc'!$C:$C,T419)&amp;"","")))</f>
        <v/>
      </c>
      <c r="Z419" s="32">
        <f>SUBSTITUTE(SUBSTITUTE(SUBSTITUTE(SUBSTITUTE(SUBSTITUTE(SUBSTITUTE(SUBSTITUTE(SUBSTITUTE(Y419," ",""),"-",""),"(",""),")",""),".",""),"+",""),"/",""),CHAR(160),"")</f>
        <v/>
      </c>
      <c r="AA419" s="32">
        <f>IF(Z419="","",IF(LEN(Z419)=10,"+1"&amp;Z419,IF(AND(LEN(Z419)=11,LEFT(Z419,1)="1"),"+"&amp;Z419,IF(LEFT(Y419,1)="+","+"&amp;Z419,Z419))))</f>
        <v/>
      </c>
      <c r="AB419" s="32">
        <f>IF(TRIM(A419&amp;"")="","",IF(TRIM(M419&amp;"")&lt;&gt;"",TRIM(M419&amp;""),IFERROR(LEFT(TRIM(A419&amp;""),FIND(" ",TRIM(A419&amp;""))-1),TRIM(A419&amp;""))))</f>
        <v/>
      </c>
      <c r="AC419" s="32">
        <f>SUBSTITUTE(SUBSTITUTE(SUBSTITUTE(SUBSTITUTE(SUBSTITUTE(SUBSTITUTE(SUBSTITUTE(SUBSTITUTE(SUBSTITUTE(SUBSTITUTE(AB419,"%","%25"),"&amp;","%26"),"#","%23"),"+","%2B"),"=","%3D"),"?","%3F"),CHAR(34),"%22"),CHAR(10),"%0A"),CHAR(13),"")," ","+")</f>
        <v/>
      </c>
      <c r="AD419" s="32">
        <f>IF(OR(AA419="",AB419=""),"",'Start Here'!$B$20&amp;"#p="&amp;SUBSTITUTE(AA419,"+","%2B")&amp;"&amp;n="&amp;AC419&amp;"&amp;m="&amp;SUBSTITUTE('Start Here'!$B$24,"{name}",AC419))</f>
        <v/>
      </c>
      <c r="AE419" s="32">
        <f>LEN(AD419)</f>
        <v/>
      </c>
      <c r="AF419" s="32">
        <f>IF(AND(TRIM(A419&amp;"")&lt;&gt;"",OR(B419="Awaiting",B419="Not sure yet")),1,0)</f>
        <v/>
      </c>
      <c r="AG419" s="32">
        <f>N(AG418)+AF419</f>
        <v/>
      </c>
      <c r="AH419" s="32">
        <f>IF(AF419=1,AG419,"")</f>
        <v/>
      </c>
      <c r="AI419" s="32">
        <f>IF(AND(TRIM(A419&amp;"")&lt;&gt;"",L419&amp;""&lt;&gt;"",L419&amp;""=Seating!$I$3&amp;"",B419&lt;&gt;"Declined"),1,0)</f>
        <v/>
      </c>
      <c r="AJ419" s="32">
        <f>N(AJ418)+AI419</f>
        <v/>
      </c>
      <c r="AK419" s="32">
        <f>IF(AI419=1,AJ419,"")</f>
        <v/>
      </c>
    </row>
    <row r="420">
      <c r="A420" s="10" t="n"/>
      <c r="B420" s="47">
        <f>IF(TRIM(A420&amp;"")="","",IF(W420&lt;&gt;"",W420,IF(I420="","Awaiting",I420)))</f>
        <v/>
      </c>
      <c r="C420" s="60">
        <f>IF(OR(B420="Awaiting",B420="Not sure yet"),IF(AD420&lt;&gt;"",HYPERLINK(AD420,"💬 Remind"),"add mobile"),"")</f>
        <v/>
      </c>
      <c r="D420" s="58" t="n"/>
      <c r="E420" s="10" t="n"/>
      <c r="F420" s="10" t="n"/>
      <c r="G420" s="10" t="n"/>
      <c r="H420" s="10" t="n"/>
      <c r="I420" s="10" t="n"/>
      <c r="J420" s="10" t="n"/>
      <c r="K420" s="10" t="n"/>
      <c r="L420" s="56" t="n"/>
      <c r="M420" s="10" t="n"/>
      <c r="N420" s="12" t="n"/>
      <c r="O420" s="10" t="n"/>
      <c r="P420" s="10" t="n"/>
      <c r="Q420" s="61">
        <f>IF(V420="","",IF(T420="","Covered by "&amp;INDEX('Form Calc'!$B:$B,V420)&amp;"'s reply (same party)","Replied "&amp;TEXT(INDEX('Form Calc'!$A:$A,T420),"mm/dd")&amp;" · "&amp;INDEX('Form Calc'!$H:$H,T420)&amp;" adult(s), "&amp;INDEX('Form Calc'!$I:$I,T420)&amp;" child(ren)"&amp;IF(INDEX('Form Calc'!$K:$K,T420)&lt;&gt;""," · "&amp;INDEX('Form Calc'!$K:$K,T420),"")&amp;IF(INDEX('Form Calc'!$M:$M,T420)&lt;&gt;""," · “"&amp;INDEX('Form Calc'!$M:$M,T420)&amp;"”","")))</f>
        <v/>
      </c>
      <c r="R420" s="32">
        <f>SUBSTITUTE(SUBSTITUTE(SUBSTITUTE(SUBSTITUTE(SUBSTITUTE(SUBSTITUTE(SUBSTITUTE(SUBSTITUTE(D420&amp;""," ",""),"-",""),"(",""),")",""),".",""),"+",""),"/",""),CHAR(160),"")</f>
        <v/>
      </c>
      <c r="S420" s="32">
        <f>IF(LEN(R420)&gt;=10,RIGHT(R420,10),R420)</f>
        <v/>
      </c>
      <c r="T420" s="32">
        <f>IF(TRIM(A420&amp;"")="","",IF(S420&lt;&gt;"",IFERROR(MATCH(S420,'Form Calc'!$P:$P,0),IFERROR(MATCH(TRIM(A420&amp;""),'Form Calc'!$Q:$Q,0),"")),IFERROR(MATCH(TRIM(A420&amp;""),'Form Calc'!$Q:$Q,0),"")))</f>
        <v/>
      </c>
      <c r="U420" s="32">
        <f>IF(AND(T420&lt;&gt;"",TRIM(E420&amp;"")&lt;&gt;""),TRIM(E420&amp;""),"")</f>
        <v/>
      </c>
      <c r="V420" s="32">
        <f>IF(TRIM(A420&amp;"")="","",IF(T420&lt;&gt;"",T420,IF(TRIM(E420&amp;"")="","",IFERROR(INDEX($T$6:$T$505,MATCH(TRIM(E420&amp;""),$U$6:$U$505,0)),""))))</f>
        <v/>
      </c>
      <c r="W420" s="32">
        <f>IF(V420="","",INDEX('Form Calc'!$G:$G,V420))</f>
        <v/>
      </c>
      <c r="X420" s="32">
        <f>IF(TRIM(A420&amp;"")="","",IF(T420&lt;&gt;"",IF(INDEX('Form Calc'!$K:$K,T420)&lt;&gt;"",INDEX('Form Calc'!$K:$K,T420),J420&amp;""),J420&amp;""))</f>
        <v/>
      </c>
      <c r="Y420" s="32">
        <f>IF(TRIM(A420&amp;"")="","",IF(TRIM(D420&amp;"")&lt;&gt;"",TRIM(D420&amp;""),IF(T420&lt;&gt;"",INDEX('Form Calc'!$C:$C,T420)&amp;"","")))</f>
        <v/>
      </c>
      <c r="Z420" s="32">
        <f>SUBSTITUTE(SUBSTITUTE(SUBSTITUTE(SUBSTITUTE(SUBSTITUTE(SUBSTITUTE(SUBSTITUTE(SUBSTITUTE(Y420," ",""),"-",""),"(",""),")",""),".",""),"+",""),"/",""),CHAR(160),"")</f>
        <v/>
      </c>
      <c r="AA420" s="32">
        <f>IF(Z420="","",IF(LEN(Z420)=10,"+1"&amp;Z420,IF(AND(LEN(Z420)=11,LEFT(Z420,1)="1"),"+"&amp;Z420,IF(LEFT(Y420,1)="+","+"&amp;Z420,Z420))))</f>
        <v/>
      </c>
      <c r="AB420" s="32">
        <f>IF(TRIM(A420&amp;"")="","",IF(TRIM(M420&amp;"")&lt;&gt;"",TRIM(M420&amp;""),IFERROR(LEFT(TRIM(A420&amp;""),FIND(" ",TRIM(A420&amp;""))-1),TRIM(A420&amp;""))))</f>
        <v/>
      </c>
      <c r="AC420" s="32">
        <f>SUBSTITUTE(SUBSTITUTE(SUBSTITUTE(SUBSTITUTE(SUBSTITUTE(SUBSTITUTE(SUBSTITUTE(SUBSTITUTE(SUBSTITUTE(SUBSTITUTE(AB420,"%","%25"),"&amp;","%26"),"#","%23"),"+","%2B"),"=","%3D"),"?","%3F"),CHAR(34),"%22"),CHAR(10),"%0A"),CHAR(13),"")," ","+")</f>
        <v/>
      </c>
      <c r="AD420" s="32">
        <f>IF(OR(AA420="",AB420=""),"",'Start Here'!$B$20&amp;"#p="&amp;SUBSTITUTE(AA420,"+","%2B")&amp;"&amp;n="&amp;AC420&amp;"&amp;m="&amp;SUBSTITUTE('Start Here'!$B$24,"{name}",AC420))</f>
        <v/>
      </c>
      <c r="AE420" s="32">
        <f>LEN(AD420)</f>
        <v/>
      </c>
      <c r="AF420" s="32">
        <f>IF(AND(TRIM(A420&amp;"")&lt;&gt;"",OR(B420="Awaiting",B420="Not sure yet")),1,0)</f>
        <v/>
      </c>
      <c r="AG420" s="32">
        <f>N(AG419)+AF420</f>
        <v/>
      </c>
      <c r="AH420" s="32">
        <f>IF(AF420=1,AG420,"")</f>
        <v/>
      </c>
      <c r="AI420" s="32">
        <f>IF(AND(TRIM(A420&amp;"")&lt;&gt;"",L420&amp;""&lt;&gt;"",L420&amp;""=Seating!$I$3&amp;"",B420&lt;&gt;"Declined"),1,0)</f>
        <v/>
      </c>
      <c r="AJ420" s="32">
        <f>N(AJ419)+AI420</f>
        <v/>
      </c>
      <c r="AK420" s="32">
        <f>IF(AI420=1,AJ420,"")</f>
        <v/>
      </c>
    </row>
    <row r="421">
      <c r="A421" s="10" t="n"/>
      <c r="B421" s="47">
        <f>IF(TRIM(A421&amp;"")="","",IF(W421&lt;&gt;"",W421,IF(I421="","Awaiting",I421)))</f>
        <v/>
      </c>
      <c r="C421" s="60">
        <f>IF(OR(B421="Awaiting",B421="Not sure yet"),IF(AD421&lt;&gt;"",HYPERLINK(AD421,"💬 Remind"),"add mobile"),"")</f>
        <v/>
      </c>
      <c r="D421" s="58" t="n"/>
      <c r="E421" s="10" t="n"/>
      <c r="F421" s="10" t="n"/>
      <c r="G421" s="10" t="n"/>
      <c r="H421" s="10" t="n"/>
      <c r="I421" s="10" t="n"/>
      <c r="J421" s="10" t="n"/>
      <c r="K421" s="10" t="n"/>
      <c r="L421" s="56" t="n"/>
      <c r="M421" s="10" t="n"/>
      <c r="N421" s="12" t="n"/>
      <c r="O421" s="10" t="n"/>
      <c r="P421" s="10" t="n"/>
      <c r="Q421" s="61">
        <f>IF(V421="","",IF(T421="","Covered by "&amp;INDEX('Form Calc'!$B:$B,V421)&amp;"'s reply (same party)","Replied "&amp;TEXT(INDEX('Form Calc'!$A:$A,T421),"mm/dd")&amp;" · "&amp;INDEX('Form Calc'!$H:$H,T421)&amp;" adult(s), "&amp;INDEX('Form Calc'!$I:$I,T421)&amp;" child(ren)"&amp;IF(INDEX('Form Calc'!$K:$K,T421)&lt;&gt;""," · "&amp;INDEX('Form Calc'!$K:$K,T421),"")&amp;IF(INDEX('Form Calc'!$M:$M,T421)&lt;&gt;""," · “"&amp;INDEX('Form Calc'!$M:$M,T421)&amp;"”","")))</f>
        <v/>
      </c>
      <c r="R421" s="32">
        <f>SUBSTITUTE(SUBSTITUTE(SUBSTITUTE(SUBSTITUTE(SUBSTITUTE(SUBSTITUTE(SUBSTITUTE(SUBSTITUTE(D421&amp;""," ",""),"-",""),"(",""),")",""),".",""),"+",""),"/",""),CHAR(160),"")</f>
        <v/>
      </c>
      <c r="S421" s="32">
        <f>IF(LEN(R421)&gt;=10,RIGHT(R421,10),R421)</f>
        <v/>
      </c>
      <c r="T421" s="32">
        <f>IF(TRIM(A421&amp;"")="","",IF(S421&lt;&gt;"",IFERROR(MATCH(S421,'Form Calc'!$P:$P,0),IFERROR(MATCH(TRIM(A421&amp;""),'Form Calc'!$Q:$Q,0),"")),IFERROR(MATCH(TRIM(A421&amp;""),'Form Calc'!$Q:$Q,0),"")))</f>
        <v/>
      </c>
      <c r="U421" s="32">
        <f>IF(AND(T421&lt;&gt;"",TRIM(E421&amp;"")&lt;&gt;""),TRIM(E421&amp;""),"")</f>
        <v/>
      </c>
      <c r="V421" s="32">
        <f>IF(TRIM(A421&amp;"")="","",IF(T421&lt;&gt;"",T421,IF(TRIM(E421&amp;"")="","",IFERROR(INDEX($T$6:$T$505,MATCH(TRIM(E421&amp;""),$U$6:$U$505,0)),""))))</f>
        <v/>
      </c>
      <c r="W421" s="32">
        <f>IF(V421="","",INDEX('Form Calc'!$G:$G,V421))</f>
        <v/>
      </c>
      <c r="X421" s="32">
        <f>IF(TRIM(A421&amp;"")="","",IF(T421&lt;&gt;"",IF(INDEX('Form Calc'!$K:$K,T421)&lt;&gt;"",INDEX('Form Calc'!$K:$K,T421),J421&amp;""),J421&amp;""))</f>
        <v/>
      </c>
      <c r="Y421" s="32">
        <f>IF(TRIM(A421&amp;"")="","",IF(TRIM(D421&amp;"")&lt;&gt;"",TRIM(D421&amp;""),IF(T421&lt;&gt;"",INDEX('Form Calc'!$C:$C,T421)&amp;"","")))</f>
        <v/>
      </c>
      <c r="Z421" s="32">
        <f>SUBSTITUTE(SUBSTITUTE(SUBSTITUTE(SUBSTITUTE(SUBSTITUTE(SUBSTITUTE(SUBSTITUTE(SUBSTITUTE(Y421," ",""),"-",""),"(",""),")",""),".",""),"+",""),"/",""),CHAR(160),"")</f>
        <v/>
      </c>
      <c r="AA421" s="32">
        <f>IF(Z421="","",IF(LEN(Z421)=10,"+1"&amp;Z421,IF(AND(LEN(Z421)=11,LEFT(Z421,1)="1"),"+"&amp;Z421,IF(LEFT(Y421,1)="+","+"&amp;Z421,Z421))))</f>
        <v/>
      </c>
      <c r="AB421" s="32">
        <f>IF(TRIM(A421&amp;"")="","",IF(TRIM(M421&amp;"")&lt;&gt;"",TRIM(M421&amp;""),IFERROR(LEFT(TRIM(A421&amp;""),FIND(" ",TRIM(A421&amp;""))-1),TRIM(A421&amp;""))))</f>
        <v/>
      </c>
      <c r="AC421" s="32">
        <f>SUBSTITUTE(SUBSTITUTE(SUBSTITUTE(SUBSTITUTE(SUBSTITUTE(SUBSTITUTE(SUBSTITUTE(SUBSTITUTE(SUBSTITUTE(SUBSTITUTE(AB421,"%","%25"),"&amp;","%26"),"#","%23"),"+","%2B"),"=","%3D"),"?","%3F"),CHAR(34),"%22"),CHAR(10),"%0A"),CHAR(13),"")," ","+")</f>
        <v/>
      </c>
      <c r="AD421" s="32">
        <f>IF(OR(AA421="",AB421=""),"",'Start Here'!$B$20&amp;"#p="&amp;SUBSTITUTE(AA421,"+","%2B")&amp;"&amp;n="&amp;AC421&amp;"&amp;m="&amp;SUBSTITUTE('Start Here'!$B$24,"{name}",AC421))</f>
        <v/>
      </c>
      <c r="AE421" s="32">
        <f>LEN(AD421)</f>
        <v/>
      </c>
      <c r="AF421" s="32">
        <f>IF(AND(TRIM(A421&amp;"")&lt;&gt;"",OR(B421="Awaiting",B421="Not sure yet")),1,0)</f>
        <v/>
      </c>
      <c r="AG421" s="32">
        <f>N(AG420)+AF421</f>
        <v/>
      </c>
      <c r="AH421" s="32">
        <f>IF(AF421=1,AG421,"")</f>
        <v/>
      </c>
      <c r="AI421" s="32">
        <f>IF(AND(TRIM(A421&amp;"")&lt;&gt;"",L421&amp;""&lt;&gt;"",L421&amp;""=Seating!$I$3&amp;"",B421&lt;&gt;"Declined"),1,0)</f>
        <v/>
      </c>
      <c r="AJ421" s="32">
        <f>N(AJ420)+AI421</f>
        <v/>
      </c>
      <c r="AK421" s="32">
        <f>IF(AI421=1,AJ421,"")</f>
        <v/>
      </c>
    </row>
    <row r="422">
      <c r="A422" s="10" t="n"/>
      <c r="B422" s="47">
        <f>IF(TRIM(A422&amp;"")="","",IF(W422&lt;&gt;"",W422,IF(I422="","Awaiting",I422)))</f>
        <v/>
      </c>
      <c r="C422" s="60">
        <f>IF(OR(B422="Awaiting",B422="Not sure yet"),IF(AD422&lt;&gt;"",HYPERLINK(AD422,"💬 Remind"),"add mobile"),"")</f>
        <v/>
      </c>
      <c r="D422" s="58" t="n"/>
      <c r="E422" s="10" t="n"/>
      <c r="F422" s="10" t="n"/>
      <c r="G422" s="10" t="n"/>
      <c r="H422" s="10" t="n"/>
      <c r="I422" s="10" t="n"/>
      <c r="J422" s="10" t="n"/>
      <c r="K422" s="10" t="n"/>
      <c r="L422" s="56" t="n"/>
      <c r="M422" s="10" t="n"/>
      <c r="N422" s="12" t="n"/>
      <c r="O422" s="10" t="n"/>
      <c r="P422" s="10" t="n"/>
      <c r="Q422" s="61">
        <f>IF(V422="","",IF(T422="","Covered by "&amp;INDEX('Form Calc'!$B:$B,V422)&amp;"'s reply (same party)","Replied "&amp;TEXT(INDEX('Form Calc'!$A:$A,T422),"mm/dd")&amp;" · "&amp;INDEX('Form Calc'!$H:$H,T422)&amp;" adult(s), "&amp;INDEX('Form Calc'!$I:$I,T422)&amp;" child(ren)"&amp;IF(INDEX('Form Calc'!$K:$K,T422)&lt;&gt;""," · "&amp;INDEX('Form Calc'!$K:$K,T422),"")&amp;IF(INDEX('Form Calc'!$M:$M,T422)&lt;&gt;""," · “"&amp;INDEX('Form Calc'!$M:$M,T422)&amp;"”","")))</f>
        <v/>
      </c>
      <c r="R422" s="32">
        <f>SUBSTITUTE(SUBSTITUTE(SUBSTITUTE(SUBSTITUTE(SUBSTITUTE(SUBSTITUTE(SUBSTITUTE(SUBSTITUTE(D422&amp;""," ",""),"-",""),"(",""),")",""),".",""),"+",""),"/",""),CHAR(160),"")</f>
        <v/>
      </c>
      <c r="S422" s="32">
        <f>IF(LEN(R422)&gt;=10,RIGHT(R422,10),R422)</f>
        <v/>
      </c>
      <c r="T422" s="32">
        <f>IF(TRIM(A422&amp;"")="","",IF(S422&lt;&gt;"",IFERROR(MATCH(S422,'Form Calc'!$P:$P,0),IFERROR(MATCH(TRIM(A422&amp;""),'Form Calc'!$Q:$Q,0),"")),IFERROR(MATCH(TRIM(A422&amp;""),'Form Calc'!$Q:$Q,0),"")))</f>
        <v/>
      </c>
      <c r="U422" s="32">
        <f>IF(AND(T422&lt;&gt;"",TRIM(E422&amp;"")&lt;&gt;""),TRIM(E422&amp;""),"")</f>
        <v/>
      </c>
      <c r="V422" s="32">
        <f>IF(TRIM(A422&amp;"")="","",IF(T422&lt;&gt;"",T422,IF(TRIM(E422&amp;"")="","",IFERROR(INDEX($T$6:$T$505,MATCH(TRIM(E422&amp;""),$U$6:$U$505,0)),""))))</f>
        <v/>
      </c>
      <c r="W422" s="32">
        <f>IF(V422="","",INDEX('Form Calc'!$G:$G,V422))</f>
        <v/>
      </c>
      <c r="X422" s="32">
        <f>IF(TRIM(A422&amp;"")="","",IF(T422&lt;&gt;"",IF(INDEX('Form Calc'!$K:$K,T422)&lt;&gt;"",INDEX('Form Calc'!$K:$K,T422),J422&amp;""),J422&amp;""))</f>
        <v/>
      </c>
      <c r="Y422" s="32">
        <f>IF(TRIM(A422&amp;"")="","",IF(TRIM(D422&amp;"")&lt;&gt;"",TRIM(D422&amp;""),IF(T422&lt;&gt;"",INDEX('Form Calc'!$C:$C,T422)&amp;"","")))</f>
        <v/>
      </c>
      <c r="Z422" s="32">
        <f>SUBSTITUTE(SUBSTITUTE(SUBSTITUTE(SUBSTITUTE(SUBSTITUTE(SUBSTITUTE(SUBSTITUTE(SUBSTITUTE(Y422," ",""),"-",""),"(",""),")",""),".",""),"+",""),"/",""),CHAR(160),"")</f>
        <v/>
      </c>
      <c r="AA422" s="32">
        <f>IF(Z422="","",IF(LEN(Z422)=10,"+1"&amp;Z422,IF(AND(LEN(Z422)=11,LEFT(Z422,1)="1"),"+"&amp;Z422,IF(LEFT(Y422,1)="+","+"&amp;Z422,Z422))))</f>
        <v/>
      </c>
      <c r="AB422" s="32">
        <f>IF(TRIM(A422&amp;"")="","",IF(TRIM(M422&amp;"")&lt;&gt;"",TRIM(M422&amp;""),IFERROR(LEFT(TRIM(A422&amp;""),FIND(" ",TRIM(A422&amp;""))-1),TRIM(A422&amp;""))))</f>
        <v/>
      </c>
      <c r="AC422" s="32">
        <f>SUBSTITUTE(SUBSTITUTE(SUBSTITUTE(SUBSTITUTE(SUBSTITUTE(SUBSTITUTE(SUBSTITUTE(SUBSTITUTE(SUBSTITUTE(SUBSTITUTE(AB422,"%","%25"),"&amp;","%26"),"#","%23"),"+","%2B"),"=","%3D"),"?","%3F"),CHAR(34),"%22"),CHAR(10),"%0A"),CHAR(13),"")," ","+")</f>
        <v/>
      </c>
      <c r="AD422" s="32">
        <f>IF(OR(AA422="",AB422=""),"",'Start Here'!$B$20&amp;"#p="&amp;SUBSTITUTE(AA422,"+","%2B")&amp;"&amp;n="&amp;AC422&amp;"&amp;m="&amp;SUBSTITUTE('Start Here'!$B$24,"{name}",AC422))</f>
        <v/>
      </c>
      <c r="AE422" s="32">
        <f>LEN(AD422)</f>
        <v/>
      </c>
      <c r="AF422" s="32">
        <f>IF(AND(TRIM(A422&amp;"")&lt;&gt;"",OR(B422="Awaiting",B422="Not sure yet")),1,0)</f>
        <v/>
      </c>
      <c r="AG422" s="32">
        <f>N(AG421)+AF422</f>
        <v/>
      </c>
      <c r="AH422" s="32">
        <f>IF(AF422=1,AG422,"")</f>
        <v/>
      </c>
      <c r="AI422" s="32">
        <f>IF(AND(TRIM(A422&amp;"")&lt;&gt;"",L422&amp;""&lt;&gt;"",L422&amp;""=Seating!$I$3&amp;"",B422&lt;&gt;"Declined"),1,0)</f>
        <v/>
      </c>
      <c r="AJ422" s="32">
        <f>N(AJ421)+AI422</f>
        <v/>
      </c>
      <c r="AK422" s="32">
        <f>IF(AI422=1,AJ422,"")</f>
        <v/>
      </c>
    </row>
    <row r="423">
      <c r="A423" s="10" t="n"/>
      <c r="B423" s="47">
        <f>IF(TRIM(A423&amp;"")="","",IF(W423&lt;&gt;"",W423,IF(I423="","Awaiting",I423)))</f>
        <v/>
      </c>
      <c r="C423" s="60">
        <f>IF(OR(B423="Awaiting",B423="Not sure yet"),IF(AD423&lt;&gt;"",HYPERLINK(AD423,"💬 Remind"),"add mobile"),"")</f>
        <v/>
      </c>
      <c r="D423" s="58" t="n"/>
      <c r="E423" s="10" t="n"/>
      <c r="F423" s="10" t="n"/>
      <c r="G423" s="10" t="n"/>
      <c r="H423" s="10" t="n"/>
      <c r="I423" s="10" t="n"/>
      <c r="J423" s="10" t="n"/>
      <c r="K423" s="10" t="n"/>
      <c r="L423" s="56" t="n"/>
      <c r="M423" s="10" t="n"/>
      <c r="N423" s="12" t="n"/>
      <c r="O423" s="10" t="n"/>
      <c r="P423" s="10" t="n"/>
      <c r="Q423" s="61">
        <f>IF(V423="","",IF(T423="","Covered by "&amp;INDEX('Form Calc'!$B:$B,V423)&amp;"'s reply (same party)","Replied "&amp;TEXT(INDEX('Form Calc'!$A:$A,T423),"mm/dd")&amp;" · "&amp;INDEX('Form Calc'!$H:$H,T423)&amp;" adult(s), "&amp;INDEX('Form Calc'!$I:$I,T423)&amp;" child(ren)"&amp;IF(INDEX('Form Calc'!$K:$K,T423)&lt;&gt;""," · "&amp;INDEX('Form Calc'!$K:$K,T423),"")&amp;IF(INDEX('Form Calc'!$M:$M,T423)&lt;&gt;""," · “"&amp;INDEX('Form Calc'!$M:$M,T423)&amp;"”","")))</f>
        <v/>
      </c>
      <c r="R423" s="32">
        <f>SUBSTITUTE(SUBSTITUTE(SUBSTITUTE(SUBSTITUTE(SUBSTITUTE(SUBSTITUTE(SUBSTITUTE(SUBSTITUTE(D423&amp;""," ",""),"-",""),"(",""),")",""),".",""),"+",""),"/",""),CHAR(160),"")</f>
        <v/>
      </c>
      <c r="S423" s="32">
        <f>IF(LEN(R423)&gt;=10,RIGHT(R423,10),R423)</f>
        <v/>
      </c>
      <c r="T423" s="32">
        <f>IF(TRIM(A423&amp;"")="","",IF(S423&lt;&gt;"",IFERROR(MATCH(S423,'Form Calc'!$P:$P,0),IFERROR(MATCH(TRIM(A423&amp;""),'Form Calc'!$Q:$Q,0),"")),IFERROR(MATCH(TRIM(A423&amp;""),'Form Calc'!$Q:$Q,0),"")))</f>
        <v/>
      </c>
      <c r="U423" s="32">
        <f>IF(AND(T423&lt;&gt;"",TRIM(E423&amp;"")&lt;&gt;""),TRIM(E423&amp;""),"")</f>
        <v/>
      </c>
      <c r="V423" s="32">
        <f>IF(TRIM(A423&amp;"")="","",IF(T423&lt;&gt;"",T423,IF(TRIM(E423&amp;"")="","",IFERROR(INDEX($T$6:$T$505,MATCH(TRIM(E423&amp;""),$U$6:$U$505,0)),""))))</f>
        <v/>
      </c>
      <c r="W423" s="32">
        <f>IF(V423="","",INDEX('Form Calc'!$G:$G,V423))</f>
        <v/>
      </c>
      <c r="X423" s="32">
        <f>IF(TRIM(A423&amp;"")="","",IF(T423&lt;&gt;"",IF(INDEX('Form Calc'!$K:$K,T423)&lt;&gt;"",INDEX('Form Calc'!$K:$K,T423),J423&amp;""),J423&amp;""))</f>
        <v/>
      </c>
      <c r="Y423" s="32">
        <f>IF(TRIM(A423&amp;"")="","",IF(TRIM(D423&amp;"")&lt;&gt;"",TRIM(D423&amp;""),IF(T423&lt;&gt;"",INDEX('Form Calc'!$C:$C,T423)&amp;"","")))</f>
        <v/>
      </c>
      <c r="Z423" s="32">
        <f>SUBSTITUTE(SUBSTITUTE(SUBSTITUTE(SUBSTITUTE(SUBSTITUTE(SUBSTITUTE(SUBSTITUTE(SUBSTITUTE(Y423," ",""),"-",""),"(",""),")",""),".",""),"+",""),"/",""),CHAR(160),"")</f>
        <v/>
      </c>
      <c r="AA423" s="32">
        <f>IF(Z423="","",IF(LEN(Z423)=10,"+1"&amp;Z423,IF(AND(LEN(Z423)=11,LEFT(Z423,1)="1"),"+"&amp;Z423,IF(LEFT(Y423,1)="+","+"&amp;Z423,Z423))))</f>
        <v/>
      </c>
      <c r="AB423" s="32">
        <f>IF(TRIM(A423&amp;"")="","",IF(TRIM(M423&amp;"")&lt;&gt;"",TRIM(M423&amp;""),IFERROR(LEFT(TRIM(A423&amp;""),FIND(" ",TRIM(A423&amp;""))-1),TRIM(A423&amp;""))))</f>
        <v/>
      </c>
      <c r="AC423" s="32">
        <f>SUBSTITUTE(SUBSTITUTE(SUBSTITUTE(SUBSTITUTE(SUBSTITUTE(SUBSTITUTE(SUBSTITUTE(SUBSTITUTE(SUBSTITUTE(SUBSTITUTE(AB423,"%","%25"),"&amp;","%26"),"#","%23"),"+","%2B"),"=","%3D"),"?","%3F"),CHAR(34),"%22"),CHAR(10),"%0A"),CHAR(13),"")," ","+")</f>
        <v/>
      </c>
      <c r="AD423" s="32">
        <f>IF(OR(AA423="",AB423=""),"",'Start Here'!$B$20&amp;"#p="&amp;SUBSTITUTE(AA423,"+","%2B")&amp;"&amp;n="&amp;AC423&amp;"&amp;m="&amp;SUBSTITUTE('Start Here'!$B$24,"{name}",AC423))</f>
        <v/>
      </c>
      <c r="AE423" s="32">
        <f>LEN(AD423)</f>
        <v/>
      </c>
      <c r="AF423" s="32">
        <f>IF(AND(TRIM(A423&amp;"")&lt;&gt;"",OR(B423="Awaiting",B423="Not sure yet")),1,0)</f>
        <v/>
      </c>
      <c r="AG423" s="32">
        <f>N(AG422)+AF423</f>
        <v/>
      </c>
      <c r="AH423" s="32">
        <f>IF(AF423=1,AG423,"")</f>
        <v/>
      </c>
      <c r="AI423" s="32">
        <f>IF(AND(TRIM(A423&amp;"")&lt;&gt;"",L423&amp;""&lt;&gt;"",L423&amp;""=Seating!$I$3&amp;"",B423&lt;&gt;"Declined"),1,0)</f>
        <v/>
      </c>
      <c r="AJ423" s="32">
        <f>N(AJ422)+AI423</f>
        <v/>
      </c>
      <c r="AK423" s="32">
        <f>IF(AI423=1,AJ423,"")</f>
        <v/>
      </c>
    </row>
    <row r="424">
      <c r="A424" s="10" t="n"/>
      <c r="B424" s="47">
        <f>IF(TRIM(A424&amp;"")="","",IF(W424&lt;&gt;"",W424,IF(I424="","Awaiting",I424)))</f>
        <v/>
      </c>
      <c r="C424" s="60">
        <f>IF(OR(B424="Awaiting",B424="Not sure yet"),IF(AD424&lt;&gt;"",HYPERLINK(AD424,"💬 Remind"),"add mobile"),"")</f>
        <v/>
      </c>
      <c r="D424" s="58" t="n"/>
      <c r="E424" s="10" t="n"/>
      <c r="F424" s="10" t="n"/>
      <c r="G424" s="10" t="n"/>
      <c r="H424" s="10" t="n"/>
      <c r="I424" s="10" t="n"/>
      <c r="J424" s="10" t="n"/>
      <c r="K424" s="10" t="n"/>
      <c r="L424" s="56" t="n"/>
      <c r="M424" s="10" t="n"/>
      <c r="N424" s="12" t="n"/>
      <c r="O424" s="10" t="n"/>
      <c r="P424" s="10" t="n"/>
      <c r="Q424" s="61">
        <f>IF(V424="","",IF(T424="","Covered by "&amp;INDEX('Form Calc'!$B:$B,V424)&amp;"'s reply (same party)","Replied "&amp;TEXT(INDEX('Form Calc'!$A:$A,T424),"mm/dd")&amp;" · "&amp;INDEX('Form Calc'!$H:$H,T424)&amp;" adult(s), "&amp;INDEX('Form Calc'!$I:$I,T424)&amp;" child(ren)"&amp;IF(INDEX('Form Calc'!$K:$K,T424)&lt;&gt;""," · "&amp;INDEX('Form Calc'!$K:$K,T424),"")&amp;IF(INDEX('Form Calc'!$M:$M,T424)&lt;&gt;""," · “"&amp;INDEX('Form Calc'!$M:$M,T424)&amp;"”","")))</f>
        <v/>
      </c>
      <c r="R424" s="32">
        <f>SUBSTITUTE(SUBSTITUTE(SUBSTITUTE(SUBSTITUTE(SUBSTITUTE(SUBSTITUTE(SUBSTITUTE(SUBSTITUTE(D424&amp;""," ",""),"-",""),"(",""),")",""),".",""),"+",""),"/",""),CHAR(160),"")</f>
        <v/>
      </c>
      <c r="S424" s="32">
        <f>IF(LEN(R424)&gt;=10,RIGHT(R424,10),R424)</f>
        <v/>
      </c>
      <c r="T424" s="32">
        <f>IF(TRIM(A424&amp;"")="","",IF(S424&lt;&gt;"",IFERROR(MATCH(S424,'Form Calc'!$P:$P,0),IFERROR(MATCH(TRIM(A424&amp;""),'Form Calc'!$Q:$Q,0),"")),IFERROR(MATCH(TRIM(A424&amp;""),'Form Calc'!$Q:$Q,0),"")))</f>
        <v/>
      </c>
      <c r="U424" s="32">
        <f>IF(AND(T424&lt;&gt;"",TRIM(E424&amp;"")&lt;&gt;""),TRIM(E424&amp;""),"")</f>
        <v/>
      </c>
      <c r="V424" s="32">
        <f>IF(TRIM(A424&amp;"")="","",IF(T424&lt;&gt;"",T424,IF(TRIM(E424&amp;"")="","",IFERROR(INDEX($T$6:$T$505,MATCH(TRIM(E424&amp;""),$U$6:$U$505,0)),""))))</f>
        <v/>
      </c>
      <c r="W424" s="32">
        <f>IF(V424="","",INDEX('Form Calc'!$G:$G,V424))</f>
        <v/>
      </c>
      <c r="X424" s="32">
        <f>IF(TRIM(A424&amp;"")="","",IF(T424&lt;&gt;"",IF(INDEX('Form Calc'!$K:$K,T424)&lt;&gt;"",INDEX('Form Calc'!$K:$K,T424),J424&amp;""),J424&amp;""))</f>
        <v/>
      </c>
      <c r="Y424" s="32">
        <f>IF(TRIM(A424&amp;"")="","",IF(TRIM(D424&amp;"")&lt;&gt;"",TRIM(D424&amp;""),IF(T424&lt;&gt;"",INDEX('Form Calc'!$C:$C,T424)&amp;"","")))</f>
        <v/>
      </c>
      <c r="Z424" s="32">
        <f>SUBSTITUTE(SUBSTITUTE(SUBSTITUTE(SUBSTITUTE(SUBSTITUTE(SUBSTITUTE(SUBSTITUTE(SUBSTITUTE(Y424," ",""),"-",""),"(",""),")",""),".",""),"+",""),"/",""),CHAR(160),"")</f>
        <v/>
      </c>
      <c r="AA424" s="32">
        <f>IF(Z424="","",IF(LEN(Z424)=10,"+1"&amp;Z424,IF(AND(LEN(Z424)=11,LEFT(Z424,1)="1"),"+"&amp;Z424,IF(LEFT(Y424,1)="+","+"&amp;Z424,Z424))))</f>
        <v/>
      </c>
      <c r="AB424" s="32">
        <f>IF(TRIM(A424&amp;"")="","",IF(TRIM(M424&amp;"")&lt;&gt;"",TRIM(M424&amp;""),IFERROR(LEFT(TRIM(A424&amp;""),FIND(" ",TRIM(A424&amp;""))-1),TRIM(A424&amp;""))))</f>
        <v/>
      </c>
      <c r="AC424" s="32">
        <f>SUBSTITUTE(SUBSTITUTE(SUBSTITUTE(SUBSTITUTE(SUBSTITUTE(SUBSTITUTE(SUBSTITUTE(SUBSTITUTE(SUBSTITUTE(SUBSTITUTE(AB424,"%","%25"),"&amp;","%26"),"#","%23"),"+","%2B"),"=","%3D"),"?","%3F"),CHAR(34),"%22"),CHAR(10),"%0A"),CHAR(13),"")," ","+")</f>
        <v/>
      </c>
      <c r="AD424" s="32">
        <f>IF(OR(AA424="",AB424=""),"",'Start Here'!$B$20&amp;"#p="&amp;SUBSTITUTE(AA424,"+","%2B")&amp;"&amp;n="&amp;AC424&amp;"&amp;m="&amp;SUBSTITUTE('Start Here'!$B$24,"{name}",AC424))</f>
        <v/>
      </c>
      <c r="AE424" s="32">
        <f>LEN(AD424)</f>
        <v/>
      </c>
      <c r="AF424" s="32">
        <f>IF(AND(TRIM(A424&amp;"")&lt;&gt;"",OR(B424="Awaiting",B424="Not sure yet")),1,0)</f>
        <v/>
      </c>
      <c r="AG424" s="32">
        <f>N(AG423)+AF424</f>
        <v/>
      </c>
      <c r="AH424" s="32">
        <f>IF(AF424=1,AG424,"")</f>
        <v/>
      </c>
      <c r="AI424" s="32">
        <f>IF(AND(TRIM(A424&amp;"")&lt;&gt;"",L424&amp;""&lt;&gt;"",L424&amp;""=Seating!$I$3&amp;"",B424&lt;&gt;"Declined"),1,0)</f>
        <v/>
      </c>
      <c r="AJ424" s="32">
        <f>N(AJ423)+AI424</f>
        <v/>
      </c>
      <c r="AK424" s="32">
        <f>IF(AI424=1,AJ424,"")</f>
        <v/>
      </c>
    </row>
    <row r="425">
      <c r="A425" s="10" t="n"/>
      <c r="B425" s="47">
        <f>IF(TRIM(A425&amp;"")="","",IF(W425&lt;&gt;"",W425,IF(I425="","Awaiting",I425)))</f>
        <v/>
      </c>
      <c r="C425" s="60">
        <f>IF(OR(B425="Awaiting",B425="Not sure yet"),IF(AD425&lt;&gt;"",HYPERLINK(AD425,"💬 Remind"),"add mobile"),"")</f>
        <v/>
      </c>
      <c r="D425" s="58" t="n"/>
      <c r="E425" s="10" t="n"/>
      <c r="F425" s="10" t="n"/>
      <c r="G425" s="10" t="n"/>
      <c r="H425" s="10" t="n"/>
      <c r="I425" s="10" t="n"/>
      <c r="J425" s="10" t="n"/>
      <c r="K425" s="10" t="n"/>
      <c r="L425" s="56" t="n"/>
      <c r="M425" s="10" t="n"/>
      <c r="N425" s="12" t="n"/>
      <c r="O425" s="10" t="n"/>
      <c r="P425" s="10" t="n"/>
      <c r="Q425" s="61">
        <f>IF(V425="","",IF(T425="","Covered by "&amp;INDEX('Form Calc'!$B:$B,V425)&amp;"'s reply (same party)","Replied "&amp;TEXT(INDEX('Form Calc'!$A:$A,T425),"mm/dd")&amp;" · "&amp;INDEX('Form Calc'!$H:$H,T425)&amp;" adult(s), "&amp;INDEX('Form Calc'!$I:$I,T425)&amp;" child(ren)"&amp;IF(INDEX('Form Calc'!$K:$K,T425)&lt;&gt;""," · "&amp;INDEX('Form Calc'!$K:$K,T425),"")&amp;IF(INDEX('Form Calc'!$M:$M,T425)&lt;&gt;""," · “"&amp;INDEX('Form Calc'!$M:$M,T425)&amp;"”","")))</f>
        <v/>
      </c>
      <c r="R425" s="32">
        <f>SUBSTITUTE(SUBSTITUTE(SUBSTITUTE(SUBSTITUTE(SUBSTITUTE(SUBSTITUTE(SUBSTITUTE(SUBSTITUTE(D425&amp;""," ",""),"-",""),"(",""),")",""),".",""),"+",""),"/",""),CHAR(160),"")</f>
        <v/>
      </c>
      <c r="S425" s="32">
        <f>IF(LEN(R425)&gt;=10,RIGHT(R425,10),R425)</f>
        <v/>
      </c>
      <c r="T425" s="32">
        <f>IF(TRIM(A425&amp;"")="","",IF(S425&lt;&gt;"",IFERROR(MATCH(S425,'Form Calc'!$P:$P,0),IFERROR(MATCH(TRIM(A425&amp;""),'Form Calc'!$Q:$Q,0),"")),IFERROR(MATCH(TRIM(A425&amp;""),'Form Calc'!$Q:$Q,0),"")))</f>
        <v/>
      </c>
      <c r="U425" s="32">
        <f>IF(AND(T425&lt;&gt;"",TRIM(E425&amp;"")&lt;&gt;""),TRIM(E425&amp;""),"")</f>
        <v/>
      </c>
      <c r="V425" s="32">
        <f>IF(TRIM(A425&amp;"")="","",IF(T425&lt;&gt;"",T425,IF(TRIM(E425&amp;"")="","",IFERROR(INDEX($T$6:$T$505,MATCH(TRIM(E425&amp;""),$U$6:$U$505,0)),""))))</f>
        <v/>
      </c>
      <c r="W425" s="32">
        <f>IF(V425="","",INDEX('Form Calc'!$G:$G,V425))</f>
        <v/>
      </c>
      <c r="X425" s="32">
        <f>IF(TRIM(A425&amp;"")="","",IF(T425&lt;&gt;"",IF(INDEX('Form Calc'!$K:$K,T425)&lt;&gt;"",INDEX('Form Calc'!$K:$K,T425),J425&amp;""),J425&amp;""))</f>
        <v/>
      </c>
      <c r="Y425" s="32">
        <f>IF(TRIM(A425&amp;"")="","",IF(TRIM(D425&amp;"")&lt;&gt;"",TRIM(D425&amp;""),IF(T425&lt;&gt;"",INDEX('Form Calc'!$C:$C,T425)&amp;"","")))</f>
        <v/>
      </c>
      <c r="Z425" s="32">
        <f>SUBSTITUTE(SUBSTITUTE(SUBSTITUTE(SUBSTITUTE(SUBSTITUTE(SUBSTITUTE(SUBSTITUTE(SUBSTITUTE(Y425," ",""),"-",""),"(",""),")",""),".",""),"+",""),"/",""),CHAR(160),"")</f>
        <v/>
      </c>
      <c r="AA425" s="32">
        <f>IF(Z425="","",IF(LEN(Z425)=10,"+1"&amp;Z425,IF(AND(LEN(Z425)=11,LEFT(Z425,1)="1"),"+"&amp;Z425,IF(LEFT(Y425,1)="+","+"&amp;Z425,Z425))))</f>
        <v/>
      </c>
      <c r="AB425" s="32">
        <f>IF(TRIM(A425&amp;"")="","",IF(TRIM(M425&amp;"")&lt;&gt;"",TRIM(M425&amp;""),IFERROR(LEFT(TRIM(A425&amp;""),FIND(" ",TRIM(A425&amp;""))-1),TRIM(A425&amp;""))))</f>
        <v/>
      </c>
      <c r="AC425" s="32">
        <f>SUBSTITUTE(SUBSTITUTE(SUBSTITUTE(SUBSTITUTE(SUBSTITUTE(SUBSTITUTE(SUBSTITUTE(SUBSTITUTE(SUBSTITUTE(SUBSTITUTE(AB425,"%","%25"),"&amp;","%26"),"#","%23"),"+","%2B"),"=","%3D"),"?","%3F"),CHAR(34),"%22"),CHAR(10),"%0A"),CHAR(13),"")," ","+")</f>
        <v/>
      </c>
      <c r="AD425" s="32">
        <f>IF(OR(AA425="",AB425=""),"",'Start Here'!$B$20&amp;"#p="&amp;SUBSTITUTE(AA425,"+","%2B")&amp;"&amp;n="&amp;AC425&amp;"&amp;m="&amp;SUBSTITUTE('Start Here'!$B$24,"{name}",AC425))</f>
        <v/>
      </c>
      <c r="AE425" s="32">
        <f>LEN(AD425)</f>
        <v/>
      </c>
      <c r="AF425" s="32">
        <f>IF(AND(TRIM(A425&amp;"")&lt;&gt;"",OR(B425="Awaiting",B425="Not sure yet")),1,0)</f>
        <v/>
      </c>
      <c r="AG425" s="32">
        <f>N(AG424)+AF425</f>
        <v/>
      </c>
      <c r="AH425" s="32">
        <f>IF(AF425=1,AG425,"")</f>
        <v/>
      </c>
      <c r="AI425" s="32">
        <f>IF(AND(TRIM(A425&amp;"")&lt;&gt;"",L425&amp;""&lt;&gt;"",L425&amp;""=Seating!$I$3&amp;"",B425&lt;&gt;"Declined"),1,0)</f>
        <v/>
      </c>
      <c r="AJ425" s="32">
        <f>N(AJ424)+AI425</f>
        <v/>
      </c>
      <c r="AK425" s="32">
        <f>IF(AI425=1,AJ425,"")</f>
        <v/>
      </c>
    </row>
    <row r="426">
      <c r="A426" s="10" t="n"/>
      <c r="B426" s="47">
        <f>IF(TRIM(A426&amp;"")="","",IF(W426&lt;&gt;"",W426,IF(I426="","Awaiting",I426)))</f>
        <v/>
      </c>
      <c r="C426" s="60">
        <f>IF(OR(B426="Awaiting",B426="Not sure yet"),IF(AD426&lt;&gt;"",HYPERLINK(AD426,"💬 Remind"),"add mobile"),"")</f>
        <v/>
      </c>
      <c r="D426" s="58" t="n"/>
      <c r="E426" s="10" t="n"/>
      <c r="F426" s="10" t="n"/>
      <c r="G426" s="10" t="n"/>
      <c r="H426" s="10" t="n"/>
      <c r="I426" s="10" t="n"/>
      <c r="J426" s="10" t="n"/>
      <c r="K426" s="10" t="n"/>
      <c r="L426" s="56" t="n"/>
      <c r="M426" s="10" t="n"/>
      <c r="N426" s="12" t="n"/>
      <c r="O426" s="10" t="n"/>
      <c r="P426" s="10" t="n"/>
      <c r="Q426" s="61">
        <f>IF(V426="","",IF(T426="","Covered by "&amp;INDEX('Form Calc'!$B:$B,V426)&amp;"'s reply (same party)","Replied "&amp;TEXT(INDEX('Form Calc'!$A:$A,T426),"mm/dd")&amp;" · "&amp;INDEX('Form Calc'!$H:$H,T426)&amp;" adult(s), "&amp;INDEX('Form Calc'!$I:$I,T426)&amp;" child(ren)"&amp;IF(INDEX('Form Calc'!$K:$K,T426)&lt;&gt;""," · "&amp;INDEX('Form Calc'!$K:$K,T426),"")&amp;IF(INDEX('Form Calc'!$M:$M,T426)&lt;&gt;""," · “"&amp;INDEX('Form Calc'!$M:$M,T426)&amp;"”","")))</f>
        <v/>
      </c>
      <c r="R426" s="32">
        <f>SUBSTITUTE(SUBSTITUTE(SUBSTITUTE(SUBSTITUTE(SUBSTITUTE(SUBSTITUTE(SUBSTITUTE(SUBSTITUTE(D426&amp;""," ",""),"-",""),"(",""),")",""),".",""),"+",""),"/",""),CHAR(160),"")</f>
        <v/>
      </c>
      <c r="S426" s="32">
        <f>IF(LEN(R426)&gt;=10,RIGHT(R426,10),R426)</f>
        <v/>
      </c>
      <c r="T426" s="32">
        <f>IF(TRIM(A426&amp;"")="","",IF(S426&lt;&gt;"",IFERROR(MATCH(S426,'Form Calc'!$P:$P,0),IFERROR(MATCH(TRIM(A426&amp;""),'Form Calc'!$Q:$Q,0),"")),IFERROR(MATCH(TRIM(A426&amp;""),'Form Calc'!$Q:$Q,0),"")))</f>
        <v/>
      </c>
      <c r="U426" s="32">
        <f>IF(AND(T426&lt;&gt;"",TRIM(E426&amp;"")&lt;&gt;""),TRIM(E426&amp;""),"")</f>
        <v/>
      </c>
      <c r="V426" s="32">
        <f>IF(TRIM(A426&amp;"")="","",IF(T426&lt;&gt;"",T426,IF(TRIM(E426&amp;"")="","",IFERROR(INDEX($T$6:$T$505,MATCH(TRIM(E426&amp;""),$U$6:$U$505,0)),""))))</f>
        <v/>
      </c>
      <c r="W426" s="32">
        <f>IF(V426="","",INDEX('Form Calc'!$G:$G,V426))</f>
        <v/>
      </c>
      <c r="X426" s="32">
        <f>IF(TRIM(A426&amp;"")="","",IF(T426&lt;&gt;"",IF(INDEX('Form Calc'!$K:$K,T426)&lt;&gt;"",INDEX('Form Calc'!$K:$K,T426),J426&amp;""),J426&amp;""))</f>
        <v/>
      </c>
      <c r="Y426" s="32">
        <f>IF(TRIM(A426&amp;"")="","",IF(TRIM(D426&amp;"")&lt;&gt;"",TRIM(D426&amp;""),IF(T426&lt;&gt;"",INDEX('Form Calc'!$C:$C,T426)&amp;"","")))</f>
        <v/>
      </c>
      <c r="Z426" s="32">
        <f>SUBSTITUTE(SUBSTITUTE(SUBSTITUTE(SUBSTITUTE(SUBSTITUTE(SUBSTITUTE(SUBSTITUTE(SUBSTITUTE(Y426," ",""),"-",""),"(",""),")",""),".",""),"+",""),"/",""),CHAR(160),"")</f>
        <v/>
      </c>
      <c r="AA426" s="32">
        <f>IF(Z426="","",IF(LEN(Z426)=10,"+1"&amp;Z426,IF(AND(LEN(Z426)=11,LEFT(Z426,1)="1"),"+"&amp;Z426,IF(LEFT(Y426,1)="+","+"&amp;Z426,Z426))))</f>
        <v/>
      </c>
      <c r="AB426" s="32">
        <f>IF(TRIM(A426&amp;"")="","",IF(TRIM(M426&amp;"")&lt;&gt;"",TRIM(M426&amp;""),IFERROR(LEFT(TRIM(A426&amp;""),FIND(" ",TRIM(A426&amp;""))-1),TRIM(A426&amp;""))))</f>
        <v/>
      </c>
      <c r="AC426" s="32">
        <f>SUBSTITUTE(SUBSTITUTE(SUBSTITUTE(SUBSTITUTE(SUBSTITUTE(SUBSTITUTE(SUBSTITUTE(SUBSTITUTE(SUBSTITUTE(SUBSTITUTE(AB426,"%","%25"),"&amp;","%26"),"#","%23"),"+","%2B"),"=","%3D"),"?","%3F"),CHAR(34),"%22"),CHAR(10),"%0A"),CHAR(13),"")," ","+")</f>
        <v/>
      </c>
      <c r="AD426" s="32">
        <f>IF(OR(AA426="",AB426=""),"",'Start Here'!$B$20&amp;"#p="&amp;SUBSTITUTE(AA426,"+","%2B")&amp;"&amp;n="&amp;AC426&amp;"&amp;m="&amp;SUBSTITUTE('Start Here'!$B$24,"{name}",AC426))</f>
        <v/>
      </c>
      <c r="AE426" s="32">
        <f>LEN(AD426)</f>
        <v/>
      </c>
      <c r="AF426" s="32">
        <f>IF(AND(TRIM(A426&amp;"")&lt;&gt;"",OR(B426="Awaiting",B426="Not sure yet")),1,0)</f>
        <v/>
      </c>
      <c r="AG426" s="32">
        <f>N(AG425)+AF426</f>
        <v/>
      </c>
      <c r="AH426" s="32">
        <f>IF(AF426=1,AG426,"")</f>
        <v/>
      </c>
      <c r="AI426" s="32">
        <f>IF(AND(TRIM(A426&amp;"")&lt;&gt;"",L426&amp;""&lt;&gt;"",L426&amp;""=Seating!$I$3&amp;"",B426&lt;&gt;"Declined"),1,0)</f>
        <v/>
      </c>
      <c r="AJ426" s="32">
        <f>N(AJ425)+AI426</f>
        <v/>
      </c>
      <c r="AK426" s="32">
        <f>IF(AI426=1,AJ426,"")</f>
        <v/>
      </c>
    </row>
    <row r="427">
      <c r="A427" s="10" t="n"/>
      <c r="B427" s="47">
        <f>IF(TRIM(A427&amp;"")="","",IF(W427&lt;&gt;"",W427,IF(I427="","Awaiting",I427)))</f>
        <v/>
      </c>
      <c r="C427" s="60">
        <f>IF(OR(B427="Awaiting",B427="Not sure yet"),IF(AD427&lt;&gt;"",HYPERLINK(AD427,"💬 Remind"),"add mobile"),"")</f>
        <v/>
      </c>
      <c r="D427" s="58" t="n"/>
      <c r="E427" s="10" t="n"/>
      <c r="F427" s="10" t="n"/>
      <c r="G427" s="10" t="n"/>
      <c r="H427" s="10" t="n"/>
      <c r="I427" s="10" t="n"/>
      <c r="J427" s="10" t="n"/>
      <c r="K427" s="10" t="n"/>
      <c r="L427" s="56" t="n"/>
      <c r="M427" s="10" t="n"/>
      <c r="N427" s="12" t="n"/>
      <c r="O427" s="10" t="n"/>
      <c r="P427" s="10" t="n"/>
      <c r="Q427" s="61">
        <f>IF(V427="","",IF(T427="","Covered by "&amp;INDEX('Form Calc'!$B:$B,V427)&amp;"'s reply (same party)","Replied "&amp;TEXT(INDEX('Form Calc'!$A:$A,T427),"mm/dd")&amp;" · "&amp;INDEX('Form Calc'!$H:$H,T427)&amp;" adult(s), "&amp;INDEX('Form Calc'!$I:$I,T427)&amp;" child(ren)"&amp;IF(INDEX('Form Calc'!$K:$K,T427)&lt;&gt;""," · "&amp;INDEX('Form Calc'!$K:$K,T427),"")&amp;IF(INDEX('Form Calc'!$M:$M,T427)&lt;&gt;""," · “"&amp;INDEX('Form Calc'!$M:$M,T427)&amp;"”","")))</f>
        <v/>
      </c>
      <c r="R427" s="32">
        <f>SUBSTITUTE(SUBSTITUTE(SUBSTITUTE(SUBSTITUTE(SUBSTITUTE(SUBSTITUTE(SUBSTITUTE(SUBSTITUTE(D427&amp;""," ",""),"-",""),"(",""),")",""),".",""),"+",""),"/",""),CHAR(160),"")</f>
        <v/>
      </c>
      <c r="S427" s="32">
        <f>IF(LEN(R427)&gt;=10,RIGHT(R427,10),R427)</f>
        <v/>
      </c>
      <c r="T427" s="32">
        <f>IF(TRIM(A427&amp;"")="","",IF(S427&lt;&gt;"",IFERROR(MATCH(S427,'Form Calc'!$P:$P,0),IFERROR(MATCH(TRIM(A427&amp;""),'Form Calc'!$Q:$Q,0),"")),IFERROR(MATCH(TRIM(A427&amp;""),'Form Calc'!$Q:$Q,0),"")))</f>
        <v/>
      </c>
      <c r="U427" s="32">
        <f>IF(AND(T427&lt;&gt;"",TRIM(E427&amp;"")&lt;&gt;""),TRIM(E427&amp;""),"")</f>
        <v/>
      </c>
      <c r="V427" s="32">
        <f>IF(TRIM(A427&amp;"")="","",IF(T427&lt;&gt;"",T427,IF(TRIM(E427&amp;"")="","",IFERROR(INDEX($T$6:$T$505,MATCH(TRIM(E427&amp;""),$U$6:$U$505,0)),""))))</f>
        <v/>
      </c>
      <c r="W427" s="32">
        <f>IF(V427="","",INDEX('Form Calc'!$G:$G,V427))</f>
        <v/>
      </c>
      <c r="X427" s="32">
        <f>IF(TRIM(A427&amp;"")="","",IF(T427&lt;&gt;"",IF(INDEX('Form Calc'!$K:$K,T427)&lt;&gt;"",INDEX('Form Calc'!$K:$K,T427),J427&amp;""),J427&amp;""))</f>
        <v/>
      </c>
      <c r="Y427" s="32">
        <f>IF(TRIM(A427&amp;"")="","",IF(TRIM(D427&amp;"")&lt;&gt;"",TRIM(D427&amp;""),IF(T427&lt;&gt;"",INDEX('Form Calc'!$C:$C,T427)&amp;"","")))</f>
        <v/>
      </c>
      <c r="Z427" s="32">
        <f>SUBSTITUTE(SUBSTITUTE(SUBSTITUTE(SUBSTITUTE(SUBSTITUTE(SUBSTITUTE(SUBSTITUTE(SUBSTITUTE(Y427," ",""),"-",""),"(",""),")",""),".",""),"+",""),"/",""),CHAR(160),"")</f>
        <v/>
      </c>
      <c r="AA427" s="32">
        <f>IF(Z427="","",IF(LEN(Z427)=10,"+1"&amp;Z427,IF(AND(LEN(Z427)=11,LEFT(Z427,1)="1"),"+"&amp;Z427,IF(LEFT(Y427,1)="+","+"&amp;Z427,Z427))))</f>
        <v/>
      </c>
      <c r="AB427" s="32">
        <f>IF(TRIM(A427&amp;"")="","",IF(TRIM(M427&amp;"")&lt;&gt;"",TRIM(M427&amp;""),IFERROR(LEFT(TRIM(A427&amp;""),FIND(" ",TRIM(A427&amp;""))-1),TRIM(A427&amp;""))))</f>
        <v/>
      </c>
      <c r="AC427" s="32">
        <f>SUBSTITUTE(SUBSTITUTE(SUBSTITUTE(SUBSTITUTE(SUBSTITUTE(SUBSTITUTE(SUBSTITUTE(SUBSTITUTE(SUBSTITUTE(SUBSTITUTE(AB427,"%","%25"),"&amp;","%26"),"#","%23"),"+","%2B"),"=","%3D"),"?","%3F"),CHAR(34),"%22"),CHAR(10),"%0A"),CHAR(13),"")," ","+")</f>
        <v/>
      </c>
      <c r="AD427" s="32">
        <f>IF(OR(AA427="",AB427=""),"",'Start Here'!$B$20&amp;"#p="&amp;SUBSTITUTE(AA427,"+","%2B")&amp;"&amp;n="&amp;AC427&amp;"&amp;m="&amp;SUBSTITUTE('Start Here'!$B$24,"{name}",AC427))</f>
        <v/>
      </c>
      <c r="AE427" s="32">
        <f>LEN(AD427)</f>
        <v/>
      </c>
      <c r="AF427" s="32">
        <f>IF(AND(TRIM(A427&amp;"")&lt;&gt;"",OR(B427="Awaiting",B427="Not sure yet")),1,0)</f>
        <v/>
      </c>
      <c r="AG427" s="32">
        <f>N(AG426)+AF427</f>
        <v/>
      </c>
      <c r="AH427" s="32">
        <f>IF(AF427=1,AG427,"")</f>
        <v/>
      </c>
      <c r="AI427" s="32">
        <f>IF(AND(TRIM(A427&amp;"")&lt;&gt;"",L427&amp;""&lt;&gt;"",L427&amp;""=Seating!$I$3&amp;"",B427&lt;&gt;"Declined"),1,0)</f>
        <v/>
      </c>
      <c r="AJ427" s="32">
        <f>N(AJ426)+AI427</f>
        <v/>
      </c>
      <c r="AK427" s="32">
        <f>IF(AI427=1,AJ427,"")</f>
        <v/>
      </c>
    </row>
    <row r="428">
      <c r="A428" s="10" t="n"/>
      <c r="B428" s="47">
        <f>IF(TRIM(A428&amp;"")="","",IF(W428&lt;&gt;"",W428,IF(I428="","Awaiting",I428)))</f>
        <v/>
      </c>
      <c r="C428" s="60">
        <f>IF(OR(B428="Awaiting",B428="Not sure yet"),IF(AD428&lt;&gt;"",HYPERLINK(AD428,"💬 Remind"),"add mobile"),"")</f>
        <v/>
      </c>
      <c r="D428" s="58" t="n"/>
      <c r="E428" s="10" t="n"/>
      <c r="F428" s="10" t="n"/>
      <c r="G428" s="10" t="n"/>
      <c r="H428" s="10" t="n"/>
      <c r="I428" s="10" t="n"/>
      <c r="J428" s="10" t="n"/>
      <c r="K428" s="10" t="n"/>
      <c r="L428" s="56" t="n"/>
      <c r="M428" s="10" t="n"/>
      <c r="N428" s="12" t="n"/>
      <c r="O428" s="10" t="n"/>
      <c r="P428" s="10" t="n"/>
      <c r="Q428" s="61">
        <f>IF(V428="","",IF(T428="","Covered by "&amp;INDEX('Form Calc'!$B:$B,V428)&amp;"'s reply (same party)","Replied "&amp;TEXT(INDEX('Form Calc'!$A:$A,T428),"mm/dd")&amp;" · "&amp;INDEX('Form Calc'!$H:$H,T428)&amp;" adult(s), "&amp;INDEX('Form Calc'!$I:$I,T428)&amp;" child(ren)"&amp;IF(INDEX('Form Calc'!$K:$K,T428)&lt;&gt;""," · "&amp;INDEX('Form Calc'!$K:$K,T428),"")&amp;IF(INDEX('Form Calc'!$M:$M,T428)&lt;&gt;""," · “"&amp;INDEX('Form Calc'!$M:$M,T428)&amp;"”","")))</f>
        <v/>
      </c>
      <c r="R428" s="32">
        <f>SUBSTITUTE(SUBSTITUTE(SUBSTITUTE(SUBSTITUTE(SUBSTITUTE(SUBSTITUTE(SUBSTITUTE(SUBSTITUTE(D428&amp;""," ",""),"-",""),"(",""),")",""),".",""),"+",""),"/",""),CHAR(160),"")</f>
        <v/>
      </c>
      <c r="S428" s="32">
        <f>IF(LEN(R428)&gt;=10,RIGHT(R428,10),R428)</f>
        <v/>
      </c>
      <c r="T428" s="32">
        <f>IF(TRIM(A428&amp;"")="","",IF(S428&lt;&gt;"",IFERROR(MATCH(S428,'Form Calc'!$P:$P,0),IFERROR(MATCH(TRIM(A428&amp;""),'Form Calc'!$Q:$Q,0),"")),IFERROR(MATCH(TRIM(A428&amp;""),'Form Calc'!$Q:$Q,0),"")))</f>
        <v/>
      </c>
      <c r="U428" s="32">
        <f>IF(AND(T428&lt;&gt;"",TRIM(E428&amp;"")&lt;&gt;""),TRIM(E428&amp;""),"")</f>
        <v/>
      </c>
      <c r="V428" s="32">
        <f>IF(TRIM(A428&amp;"")="","",IF(T428&lt;&gt;"",T428,IF(TRIM(E428&amp;"")="","",IFERROR(INDEX($T$6:$T$505,MATCH(TRIM(E428&amp;""),$U$6:$U$505,0)),""))))</f>
        <v/>
      </c>
      <c r="W428" s="32">
        <f>IF(V428="","",INDEX('Form Calc'!$G:$G,V428))</f>
        <v/>
      </c>
      <c r="X428" s="32">
        <f>IF(TRIM(A428&amp;"")="","",IF(T428&lt;&gt;"",IF(INDEX('Form Calc'!$K:$K,T428)&lt;&gt;"",INDEX('Form Calc'!$K:$K,T428),J428&amp;""),J428&amp;""))</f>
        <v/>
      </c>
      <c r="Y428" s="32">
        <f>IF(TRIM(A428&amp;"")="","",IF(TRIM(D428&amp;"")&lt;&gt;"",TRIM(D428&amp;""),IF(T428&lt;&gt;"",INDEX('Form Calc'!$C:$C,T428)&amp;"","")))</f>
        <v/>
      </c>
      <c r="Z428" s="32">
        <f>SUBSTITUTE(SUBSTITUTE(SUBSTITUTE(SUBSTITUTE(SUBSTITUTE(SUBSTITUTE(SUBSTITUTE(SUBSTITUTE(Y428," ",""),"-",""),"(",""),")",""),".",""),"+",""),"/",""),CHAR(160),"")</f>
        <v/>
      </c>
      <c r="AA428" s="32">
        <f>IF(Z428="","",IF(LEN(Z428)=10,"+1"&amp;Z428,IF(AND(LEN(Z428)=11,LEFT(Z428,1)="1"),"+"&amp;Z428,IF(LEFT(Y428,1)="+","+"&amp;Z428,Z428))))</f>
        <v/>
      </c>
      <c r="AB428" s="32">
        <f>IF(TRIM(A428&amp;"")="","",IF(TRIM(M428&amp;"")&lt;&gt;"",TRIM(M428&amp;""),IFERROR(LEFT(TRIM(A428&amp;""),FIND(" ",TRIM(A428&amp;""))-1),TRIM(A428&amp;""))))</f>
        <v/>
      </c>
      <c r="AC428" s="32">
        <f>SUBSTITUTE(SUBSTITUTE(SUBSTITUTE(SUBSTITUTE(SUBSTITUTE(SUBSTITUTE(SUBSTITUTE(SUBSTITUTE(SUBSTITUTE(SUBSTITUTE(AB428,"%","%25"),"&amp;","%26"),"#","%23"),"+","%2B"),"=","%3D"),"?","%3F"),CHAR(34),"%22"),CHAR(10),"%0A"),CHAR(13),"")," ","+")</f>
        <v/>
      </c>
      <c r="AD428" s="32">
        <f>IF(OR(AA428="",AB428=""),"",'Start Here'!$B$20&amp;"#p="&amp;SUBSTITUTE(AA428,"+","%2B")&amp;"&amp;n="&amp;AC428&amp;"&amp;m="&amp;SUBSTITUTE('Start Here'!$B$24,"{name}",AC428))</f>
        <v/>
      </c>
      <c r="AE428" s="32">
        <f>LEN(AD428)</f>
        <v/>
      </c>
      <c r="AF428" s="32">
        <f>IF(AND(TRIM(A428&amp;"")&lt;&gt;"",OR(B428="Awaiting",B428="Not sure yet")),1,0)</f>
        <v/>
      </c>
      <c r="AG428" s="32">
        <f>N(AG427)+AF428</f>
        <v/>
      </c>
      <c r="AH428" s="32">
        <f>IF(AF428=1,AG428,"")</f>
        <v/>
      </c>
      <c r="AI428" s="32">
        <f>IF(AND(TRIM(A428&amp;"")&lt;&gt;"",L428&amp;""&lt;&gt;"",L428&amp;""=Seating!$I$3&amp;"",B428&lt;&gt;"Declined"),1,0)</f>
        <v/>
      </c>
      <c r="AJ428" s="32">
        <f>N(AJ427)+AI428</f>
        <v/>
      </c>
      <c r="AK428" s="32">
        <f>IF(AI428=1,AJ428,"")</f>
        <v/>
      </c>
    </row>
    <row r="429">
      <c r="A429" s="10" t="n"/>
      <c r="B429" s="47">
        <f>IF(TRIM(A429&amp;"")="","",IF(W429&lt;&gt;"",W429,IF(I429="","Awaiting",I429)))</f>
        <v/>
      </c>
      <c r="C429" s="60">
        <f>IF(OR(B429="Awaiting",B429="Not sure yet"),IF(AD429&lt;&gt;"",HYPERLINK(AD429,"💬 Remind"),"add mobile"),"")</f>
        <v/>
      </c>
      <c r="D429" s="58" t="n"/>
      <c r="E429" s="10" t="n"/>
      <c r="F429" s="10" t="n"/>
      <c r="G429" s="10" t="n"/>
      <c r="H429" s="10" t="n"/>
      <c r="I429" s="10" t="n"/>
      <c r="J429" s="10" t="n"/>
      <c r="K429" s="10" t="n"/>
      <c r="L429" s="56" t="n"/>
      <c r="M429" s="10" t="n"/>
      <c r="N429" s="12" t="n"/>
      <c r="O429" s="10" t="n"/>
      <c r="P429" s="10" t="n"/>
      <c r="Q429" s="61">
        <f>IF(V429="","",IF(T429="","Covered by "&amp;INDEX('Form Calc'!$B:$B,V429)&amp;"'s reply (same party)","Replied "&amp;TEXT(INDEX('Form Calc'!$A:$A,T429),"mm/dd")&amp;" · "&amp;INDEX('Form Calc'!$H:$H,T429)&amp;" adult(s), "&amp;INDEX('Form Calc'!$I:$I,T429)&amp;" child(ren)"&amp;IF(INDEX('Form Calc'!$K:$K,T429)&lt;&gt;""," · "&amp;INDEX('Form Calc'!$K:$K,T429),"")&amp;IF(INDEX('Form Calc'!$M:$M,T429)&lt;&gt;""," · “"&amp;INDEX('Form Calc'!$M:$M,T429)&amp;"”","")))</f>
        <v/>
      </c>
      <c r="R429" s="32">
        <f>SUBSTITUTE(SUBSTITUTE(SUBSTITUTE(SUBSTITUTE(SUBSTITUTE(SUBSTITUTE(SUBSTITUTE(SUBSTITUTE(D429&amp;""," ",""),"-",""),"(",""),")",""),".",""),"+",""),"/",""),CHAR(160),"")</f>
        <v/>
      </c>
      <c r="S429" s="32">
        <f>IF(LEN(R429)&gt;=10,RIGHT(R429,10),R429)</f>
        <v/>
      </c>
      <c r="T429" s="32">
        <f>IF(TRIM(A429&amp;"")="","",IF(S429&lt;&gt;"",IFERROR(MATCH(S429,'Form Calc'!$P:$P,0),IFERROR(MATCH(TRIM(A429&amp;""),'Form Calc'!$Q:$Q,0),"")),IFERROR(MATCH(TRIM(A429&amp;""),'Form Calc'!$Q:$Q,0),"")))</f>
        <v/>
      </c>
      <c r="U429" s="32">
        <f>IF(AND(T429&lt;&gt;"",TRIM(E429&amp;"")&lt;&gt;""),TRIM(E429&amp;""),"")</f>
        <v/>
      </c>
      <c r="V429" s="32">
        <f>IF(TRIM(A429&amp;"")="","",IF(T429&lt;&gt;"",T429,IF(TRIM(E429&amp;"")="","",IFERROR(INDEX($T$6:$T$505,MATCH(TRIM(E429&amp;""),$U$6:$U$505,0)),""))))</f>
        <v/>
      </c>
      <c r="W429" s="32">
        <f>IF(V429="","",INDEX('Form Calc'!$G:$G,V429))</f>
        <v/>
      </c>
      <c r="X429" s="32">
        <f>IF(TRIM(A429&amp;"")="","",IF(T429&lt;&gt;"",IF(INDEX('Form Calc'!$K:$K,T429)&lt;&gt;"",INDEX('Form Calc'!$K:$K,T429),J429&amp;""),J429&amp;""))</f>
        <v/>
      </c>
      <c r="Y429" s="32">
        <f>IF(TRIM(A429&amp;"")="","",IF(TRIM(D429&amp;"")&lt;&gt;"",TRIM(D429&amp;""),IF(T429&lt;&gt;"",INDEX('Form Calc'!$C:$C,T429)&amp;"","")))</f>
        <v/>
      </c>
      <c r="Z429" s="32">
        <f>SUBSTITUTE(SUBSTITUTE(SUBSTITUTE(SUBSTITUTE(SUBSTITUTE(SUBSTITUTE(SUBSTITUTE(SUBSTITUTE(Y429," ",""),"-",""),"(",""),")",""),".",""),"+",""),"/",""),CHAR(160),"")</f>
        <v/>
      </c>
      <c r="AA429" s="32">
        <f>IF(Z429="","",IF(LEN(Z429)=10,"+1"&amp;Z429,IF(AND(LEN(Z429)=11,LEFT(Z429,1)="1"),"+"&amp;Z429,IF(LEFT(Y429,1)="+","+"&amp;Z429,Z429))))</f>
        <v/>
      </c>
      <c r="AB429" s="32">
        <f>IF(TRIM(A429&amp;"")="","",IF(TRIM(M429&amp;"")&lt;&gt;"",TRIM(M429&amp;""),IFERROR(LEFT(TRIM(A429&amp;""),FIND(" ",TRIM(A429&amp;""))-1),TRIM(A429&amp;""))))</f>
        <v/>
      </c>
      <c r="AC429" s="32">
        <f>SUBSTITUTE(SUBSTITUTE(SUBSTITUTE(SUBSTITUTE(SUBSTITUTE(SUBSTITUTE(SUBSTITUTE(SUBSTITUTE(SUBSTITUTE(SUBSTITUTE(AB429,"%","%25"),"&amp;","%26"),"#","%23"),"+","%2B"),"=","%3D"),"?","%3F"),CHAR(34),"%22"),CHAR(10),"%0A"),CHAR(13),"")," ","+")</f>
        <v/>
      </c>
      <c r="AD429" s="32">
        <f>IF(OR(AA429="",AB429=""),"",'Start Here'!$B$20&amp;"#p="&amp;SUBSTITUTE(AA429,"+","%2B")&amp;"&amp;n="&amp;AC429&amp;"&amp;m="&amp;SUBSTITUTE('Start Here'!$B$24,"{name}",AC429))</f>
        <v/>
      </c>
      <c r="AE429" s="32">
        <f>LEN(AD429)</f>
        <v/>
      </c>
      <c r="AF429" s="32">
        <f>IF(AND(TRIM(A429&amp;"")&lt;&gt;"",OR(B429="Awaiting",B429="Not sure yet")),1,0)</f>
        <v/>
      </c>
      <c r="AG429" s="32">
        <f>N(AG428)+AF429</f>
        <v/>
      </c>
      <c r="AH429" s="32">
        <f>IF(AF429=1,AG429,"")</f>
        <v/>
      </c>
      <c r="AI429" s="32">
        <f>IF(AND(TRIM(A429&amp;"")&lt;&gt;"",L429&amp;""&lt;&gt;"",L429&amp;""=Seating!$I$3&amp;"",B429&lt;&gt;"Declined"),1,0)</f>
        <v/>
      </c>
      <c r="AJ429" s="32">
        <f>N(AJ428)+AI429</f>
        <v/>
      </c>
      <c r="AK429" s="32">
        <f>IF(AI429=1,AJ429,"")</f>
        <v/>
      </c>
    </row>
    <row r="430">
      <c r="A430" s="10" t="n"/>
      <c r="B430" s="47">
        <f>IF(TRIM(A430&amp;"")="","",IF(W430&lt;&gt;"",W430,IF(I430="","Awaiting",I430)))</f>
        <v/>
      </c>
      <c r="C430" s="60">
        <f>IF(OR(B430="Awaiting",B430="Not sure yet"),IF(AD430&lt;&gt;"",HYPERLINK(AD430,"💬 Remind"),"add mobile"),"")</f>
        <v/>
      </c>
      <c r="D430" s="58" t="n"/>
      <c r="E430" s="10" t="n"/>
      <c r="F430" s="10" t="n"/>
      <c r="G430" s="10" t="n"/>
      <c r="H430" s="10" t="n"/>
      <c r="I430" s="10" t="n"/>
      <c r="J430" s="10" t="n"/>
      <c r="K430" s="10" t="n"/>
      <c r="L430" s="56" t="n"/>
      <c r="M430" s="10" t="n"/>
      <c r="N430" s="12" t="n"/>
      <c r="O430" s="10" t="n"/>
      <c r="P430" s="10" t="n"/>
      <c r="Q430" s="61">
        <f>IF(V430="","",IF(T430="","Covered by "&amp;INDEX('Form Calc'!$B:$B,V430)&amp;"'s reply (same party)","Replied "&amp;TEXT(INDEX('Form Calc'!$A:$A,T430),"mm/dd")&amp;" · "&amp;INDEX('Form Calc'!$H:$H,T430)&amp;" adult(s), "&amp;INDEX('Form Calc'!$I:$I,T430)&amp;" child(ren)"&amp;IF(INDEX('Form Calc'!$K:$K,T430)&lt;&gt;""," · "&amp;INDEX('Form Calc'!$K:$K,T430),"")&amp;IF(INDEX('Form Calc'!$M:$M,T430)&lt;&gt;""," · “"&amp;INDEX('Form Calc'!$M:$M,T430)&amp;"”","")))</f>
        <v/>
      </c>
      <c r="R430" s="32">
        <f>SUBSTITUTE(SUBSTITUTE(SUBSTITUTE(SUBSTITUTE(SUBSTITUTE(SUBSTITUTE(SUBSTITUTE(SUBSTITUTE(D430&amp;""," ",""),"-",""),"(",""),")",""),".",""),"+",""),"/",""),CHAR(160),"")</f>
        <v/>
      </c>
      <c r="S430" s="32">
        <f>IF(LEN(R430)&gt;=10,RIGHT(R430,10),R430)</f>
        <v/>
      </c>
      <c r="T430" s="32">
        <f>IF(TRIM(A430&amp;"")="","",IF(S430&lt;&gt;"",IFERROR(MATCH(S430,'Form Calc'!$P:$P,0),IFERROR(MATCH(TRIM(A430&amp;""),'Form Calc'!$Q:$Q,0),"")),IFERROR(MATCH(TRIM(A430&amp;""),'Form Calc'!$Q:$Q,0),"")))</f>
        <v/>
      </c>
      <c r="U430" s="32">
        <f>IF(AND(T430&lt;&gt;"",TRIM(E430&amp;"")&lt;&gt;""),TRIM(E430&amp;""),"")</f>
        <v/>
      </c>
      <c r="V430" s="32">
        <f>IF(TRIM(A430&amp;"")="","",IF(T430&lt;&gt;"",T430,IF(TRIM(E430&amp;"")="","",IFERROR(INDEX($T$6:$T$505,MATCH(TRIM(E430&amp;""),$U$6:$U$505,0)),""))))</f>
        <v/>
      </c>
      <c r="W430" s="32">
        <f>IF(V430="","",INDEX('Form Calc'!$G:$G,V430))</f>
        <v/>
      </c>
      <c r="X430" s="32">
        <f>IF(TRIM(A430&amp;"")="","",IF(T430&lt;&gt;"",IF(INDEX('Form Calc'!$K:$K,T430)&lt;&gt;"",INDEX('Form Calc'!$K:$K,T430),J430&amp;""),J430&amp;""))</f>
        <v/>
      </c>
      <c r="Y430" s="32">
        <f>IF(TRIM(A430&amp;"")="","",IF(TRIM(D430&amp;"")&lt;&gt;"",TRIM(D430&amp;""),IF(T430&lt;&gt;"",INDEX('Form Calc'!$C:$C,T430)&amp;"","")))</f>
        <v/>
      </c>
      <c r="Z430" s="32">
        <f>SUBSTITUTE(SUBSTITUTE(SUBSTITUTE(SUBSTITUTE(SUBSTITUTE(SUBSTITUTE(SUBSTITUTE(SUBSTITUTE(Y430," ",""),"-",""),"(",""),")",""),".",""),"+",""),"/",""),CHAR(160),"")</f>
        <v/>
      </c>
      <c r="AA430" s="32">
        <f>IF(Z430="","",IF(LEN(Z430)=10,"+1"&amp;Z430,IF(AND(LEN(Z430)=11,LEFT(Z430,1)="1"),"+"&amp;Z430,IF(LEFT(Y430,1)="+","+"&amp;Z430,Z430))))</f>
        <v/>
      </c>
      <c r="AB430" s="32">
        <f>IF(TRIM(A430&amp;"")="","",IF(TRIM(M430&amp;"")&lt;&gt;"",TRIM(M430&amp;""),IFERROR(LEFT(TRIM(A430&amp;""),FIND(" ",TRIM(A430&amp;""))-1),TRIM(A430&amp;""))))</f>
        <v/>
      </c>
      <c r="AC430" s="32">
        <f>SUBSTITUTE(SUBSTITUTE(SUBSTITUTE(SUBSTITUTE(SUBSTITUTE(SUBSTITUTE(SUBSTITUTE(SUBSTITUTE(SUBSTITUTE(SUBSTITUTE(AB430,"%","%25"),"&amp;","%26"),"#","%23"),"+","%2B"),"=","%3D"),"?","%3F"),CHAR(34),"%22"),CHAR(10),"%0A"),CHAR(13),"")," ","+")</f>
        <v/>
      </c>
      <c r="AD430" s="32">
        <f>IF(OR(AA430="",AB430=""),"",'Start Here'!$B$20&amp;"#p="&amp;SUBSTITUTE(AA430,"+","%2B")&amp;"&amp;n="&amp;AC430&amp;"&amp;m="&amp;SUBSTITUTE('Start Here'!$B$24,"{name}",AC430))</f>
        <v/>
      </c>
      <c r="AE430" s="32">
        <f>LEN(AD430)</f>
        <v/>
      </c>
      <c r="AF430" s="32">
        <f>IF(AND(TRIM(A430&amp;"")&lt;&gt;"",OR(B430="Awaiting",B430="Not sure yet")),1,0)</f>
        <v/>
      </c>
      <c r="AG430" s="32">
        <f>N(AG429)+AF430</f>
        <v/>
      </c>
      <c r="AH430" s="32">
        <f>IF(AF430=1,AG430,"")</f>
        <v/>
      </c>
      <c r="AI430" s="32">
        <f>IF(AND(TRIM(A430&amp;"")&lt;&gt;"",L430&amp;""&lt;&gt;"",L430&amp;""=Seating!$I$3&amp;"",B430&lt;&gt;"Declined"),1,0)</f>
        <v/>
      </c>
      <c r="AJ430" s="32">
        <f>N(AJ429)+AI430</f>
        <v/>
      </c>
      <c r="AK430" s="32">
        <f>IF(AI430=1,AJ430,"")</f>
        <v/>
      </c>
    </row>
    <row r="431">
      <c r="A431" s="10" t="n"/>
      <c r="B431" s="47">
        <f>IF(TRIM(A431&amp;"")="","",IF(W431&lt;&gt;"",W431,IF(I431="","Awaiting",I431)))</f>
        <v/>
      </c>
      <c r="C431" s="60">
        <f>IF(OR(B431="Awaiting",B431="Not sure yet"),IF(AD431&lt;&gt;"",HYPERLINK(AD431,"💬 Remind"),"add mobile"),"")</f>
        <v/>
      </c>
      <c r="D431" s="58" t="n"/>
      <c r="E431" s="10" t="n"/>
      <c r="F431" s="10" t="n"/>
      <c r="G431" s="10" t="n"/>
      <c r="H431" s="10" t="n"/>
      <c r="I431" s="10" t="n"/>
      <c r="J431" s="10" t="n"/>
      <c r="K431" s="10" t="n"/>
      <c r="L431" s="56" t="n"/>
      <c r="M431" s="10" t="n"/>
      <c r="N431" s="12" t="n"/>
      <c r="O431" s="10" t="n"/>
      <c r="P431" s="10" t="n"/>
      <c r="Q431" s="61">
        <f>IF(V431="","",IF(T431="","Covered by "&amp;INDEX('Form Calc'!$B:$B,V431)&amp;"'s reply (same party)","Replied "&amp;TEXT(INDEX('Form Calc'!$A:$A,T431),"mm/dd")&amp;" · "&amp;INDEX('Form Calc'!$H:$H,T431)&amp;" adult(s), "&amp;INDEX('Form Calc'!$I:$I,T431)&amp;" child(ren)"&amp;IF(INDEX('Form Calc'!$K:$K,T431)&lt;&gt;""," · "&amp;INDEX('Form Calc'!$K:$K,T431),"")&amp;IF(INDEX('Form Calc'!$M:$M,T431)&lt;&gt;""," · “"&amp;INDEX('Form Calc'!$M:$M,T431)&amp;"”","")))</f>
        <v/>
      </c>
      <c r="R431" s="32">
        <f>SUBSTITUTE(SUBSTITUTE(SUBSTITUTE(SUBSTITUTE(SUBSTITUTE(SUBSTITUTE(SUBSTITUTE(SUBSTITUTE(D431&amp;""," ",""),"-",""),"(",""),")",""),".",""),"+",""),"/",""),CHAR(160),"")</f>
        <v/>
      </c>
      <c r="S431" s="32">
        <f>IF(LEN(R431)&gt;=10,RIGHT(R431,10),R431)</f>
        <v/>
      </c>
      <c r="T431" s="32">
        <f>IF(TRIM(A431&amp;"")="","",IF(S431&lt;&gt;"",IFERROR(MATCH(S431,'Form Calc'!$P:$P,0),IFERROR(MATCH(TRIM(A431&amp;""),'Form Calc'!$Q:$Q,0),"")),IFERROR(MATCH(TRIM(A431&amp;""),'Form Calc'!$Q:$Q,0),"")))</f>
        <v/>
      </c>
      <c r="U431" s="32">
        <f>IF(AND(T431&lt;&gt;"",TRIM(E431&amp;"")&lt;&gt;""),TRIM(E431&amp;""),"")</f>
        <v/>
      </c>
      <c r="V431" s="32">
        <f>IF(TRIM(A431&amp;"")="","",IF(T431&lt;&gt;"",T431,IF(TRIM(E431&amp;"")="","",IFERROR(INDEX($T$6:$T$505,MATCH(TRIM(E431&amp;""),$U$6:$U$505,0)),""))))</f>
        <v/>
      </c>
      <c r="W431" s="32">
        <f>IF(V431="","",INDEX('Form Calc'!$G:$G,V431))</f>
        <v/>
      </c>
      <c r="X431" s="32">
        <f>IF(TRIM(A431&amp;"")="","",IF(T431&lt;&gt;"",IF(INDEX('Form Calc'!$K:$K,T431)&lt;&gt;"",INDEX('Form Calc'!$K:$K,T431),J431&amp;""),J431&amp;""))</f>
        <v/>
      </c>
      <c r="Y431" s="32">
        <f>IF(TRIM(A431&amp;"")="","",IF(TRIM(D431&amp;"")&lt;&gt;"",TRIM(D431&amp;""),IF(T431&lt;&gt;"",INDEX('Form Calc'!$C:$C,T431)&amp;"","")))</f>
        <v/>
      </c>
      <c r="Z431" s="32">
        <f>SUBSTITUTE(SUBSTITUTE(SUBSTITUTE(SUBSTITUTE(SUBSTITUTE(SUBSTITUTE(SUBSTITUTE(SUBSTITUTE(Y431," ",""),"-",""),"(",""),")",""),".",""),"+",""),"/",""),CHAR(160),"")</f>
        <v/>
      </c>
      <c r="AA431" s="32">
        <f>IF(Z431="","",IF(LEN(Z431)=10,"+1"&amp;Z431,IF(AND(LEN(Z431)=11,LEFT(Z431,1)="1"),"+"&amp;Z431,IF(LEFT(Y431,1)="+","+"&amp;Z431,Z431))))</f>
        <v/>
      </c>
      <c r="AB431" s="32">
        <f>IF(TRIM(A431&amp;"")="","",IF(TRIM(M431&amp;"")&lt;&gt;"",TRIM(M431&amp;""),IFERROR(LEFT(TRIM(A431&amp;""),FIND(" ",TRIM(A431&amp;""))-1),TRIM(A431&amp;""))))</f>
        <v/>
      </c>
      <c r="AC431" s="32">
        <f>SUBSTITUTE(SUBSTITUTE(SUBSTITUTE(SUBSTITUTE(SUBSTITUTE(SUBSTITUTE(SUBSTITUTE(SUBSTITUTE(SUBSTITUTE(SUBSTITUTE(AB431,"%","%25"),"&amp;","%26"),"#","%23"),"+","%2B"),"=","%3D"),"?","%3F"),CHAR(34),"%22"),CHAR(10),"%0A"),CHAR(13),"")," ","+")</f>
        <v/>
      </c>
      <c r="AD431" s="32">
        <f>IF(OR(AA431="",AB431=""),"",'Start Here'!$B$20&amp;"#p="&amp;SUBSTITUTE(AA431,"+","%2B")&amp;"&amp;n="&amp;AC431&amp;"&amp;m="&amp;SUBSTITUTE('Start Here'!$B$24,"{name}",AC431))</f>
        <v/>
      </c>
      <c r="AE431" s="32">
        <f>LEN(AD431)</f>
        <v/>
      </c>
      <c r="AF431" s="32">
        <f>IF(AND(TRIM(A431&amp;"")&lt;&gt;"",OR(B431="Awaiting",B431="Not sure yet")),1,0)</f>
        <v/>
      </c>
      <c r="AG431" s="32">
        <f>N(AG430)+AF431</f>
        <v/>
      </c>
      <c r="AH431" s="32">
        <f>IF(AF431=1,AG431,"")</f>
        <v/>
      </c>
      <c r="AI431" s="32">
        <f>IF(AND(TRIM(A431&amp;"")&lt;&gt;"",L431&amp;""&lt;&gt;"",L431&amp;""=Seating!$I$3&amp;"",B431&lt;&gt;"Declined"),1,0)</f>
        <v/>
      </c>
      <c r="AJ431" s="32">
        <f>N(AJ430)+AI431</f>
        <v/>
      </c>
      <c r="AK431" s="32">
        <f>IF(AI431=1,AJ431,"")</f>
        <v/>
      </c>
    </row>
    <row r="432">
      <c r="A432" s="10" t="n"/>
      <c r="B432" s="47">
        <f>IF(TRIM(A432&amp;"")="","",IF(W432&lt;&gt;"",W432,IF(I432="","Awaiting",I432)))</f>
        <v/>
      </c>
      <c r="C432" s="60">
        <f>IF(OR(B432="Awaiting",B432="Not sure yet"),IF(AD432&lt;&gt;"",HYPERLINK(AD432,"💬 Remind"),"add mobile"),"")</f>
        <v/>
      </c>
      <c r="D432" s="58" t="n"/>
      <c r="E432" s="10" t="n"/>
      <c r="F432" s="10" t="n"/>
      <c r="G432" s="10" t="n"/>
      <c r="H432" s="10" t="n"/>
      <c r="I432" s="10" t="n"/>
      <c r="J432" s="10" t="n"/>
      <c r="K432" s="10" t="n"/>
      <c r="L432" s="56" t="n"/>
      <c r="M432" s="10" t="n"/>
      <c r="N432" s="12" t="n"/>
      <c r="O432" s="10" t="n"/>
      <c r="P432" s="10" t="n"/>
      <c r="Q432" s="61">
        <f>IF(V432="","",IF(T432="","Covered by "&amp;INDEX('Form Calc'!$B:$B,V432)&amp;"'s reply (same party)","Replied "&amp;TEXT(INDEX('Form Calc'!$A:$A,T432),"mm/dd")&amp;" · "&amp;INDEX('Form Calc'!$H:$H,T432)&amp;" adult(s), "&amp;INDEX('Form Calc'!$I:$I,T432)&amp;" child(ren)"&amp;IF(INDEX('Form Calc'!$K:$K,T432)&lt;&gt;""," · "&amp;INDEX('Form Calc'!$K:$K,T432),"")&amp;IF(INDEX('Form Calc'!$M:$M,T432)&lt;&gt;""," · “"&amp;INDEX('Form Calc'!$M:$M,T432)&amp;"”","")))</f>
        <v/>
      </c>
      <c r="R432" s="32">
        <f>SUBSTITUTE(SUBSTITUTE(SUBSTITUTE(SUBSTITUTE(SUBSTITUTE(SUBSTITUTE(SUBSTITUTE(SUBSTITUTE(D432&amp;""," ",""),"-",""),"(",""),")",""),".",""),"+",""),"/",""),CHAR(160),"")</f>
        <v/>
      </c>
      <c r="S432" s="32">
        <f>IF(LEN(R432)&gt;=10,RIGHT(R432,10),R432)</f>
        <v/>
      </c>
      <c r="T432" s="32">
        <f>IF(TRIM(A432&amp;"")="","",IF(S432&lt;&gt;"",IFERROR(MATCH(S432,'Form Calc'!$P:$P,0),IFERROR(MATCH(TRIM(A432&amp;""),'Form Calc'!$Q:$Q,0),"")),IFERROR(MATCH(TRIM(A432&amp;""),'Form Calc'!$Q:$Q,0),"")))</f>
        <v/>
      </c>
      <c r="U432" s="32">
        <f>IF(AND(T432&lt;&gt;"",TRIM(E432&amp;"")&lt;&gt;""),TRIM(E432&amp;""),"")</f>
        <v/>
      </c>
      <c r="V432" s="32">
        <f>IF(TRIM(A432&amp;"")="","",IF(T432&lt;&gt;"",T432,IF(TRIM(E432&amp;"")="","",IFERROR(INDEX($T$6:$T$505,MATCH(TRIM(E432&amp;""),$U$6:$U$505,0)),""))))</f>
        <v/>
      </c>
      <c r="W432" s="32">
        <f>IF(V432="","",INDEX('Form Calc'!$G:$G,V432))</f>
        <v/>
      </c>
      <c r="X432" s="32">
        <f>IF(TRIM(A432&amp;"")="","",IF(T432&lt;&gt;"",IF(INDEX('Form Calc'!$K:$K,T432)&lt;&gt;"",INDEX('Form Calc'!$K:$K,T432),J432&amp;""),J432&amp;""))</f>
        <v/>
      </c>
      <c r="Y432" s="32">
        <f>IF(TRIM(A432&amp;"")="","",IF(TRIM(D432&amp;"")&lt;&gt;"",TRIM(D432&amp;""),IF(T432&lt;&gt;"",INDEX('Form Calc'!$C:$C,T432)&amp;"","")))</f>
        <v/>
      </c>
      <c r="Z432" s="32">
        <f>SUBSTITUTE(SUBSTITUTE(SUBSTITUTE(SUBSTITUTE(SUBSTITUTE(SUBSTITUTE(SUBSTITUTE(SUBSTITUTE(Y432," ",""),"-",""),"(",""),")",""),".",""),"+",""),"/",""),CHAR(160),"")</f>
        <v/>
      </c>
      <c r="AA432" s="32">
        <f>IF(Z432="","",IF(LEN(Z432)=10,"+1"&amp;Z432,IF(AND(LEN(Z432)=11,LEFT(Z432,1)="1"),"+"&amp;Z432,IF(LEFT(Y432,1)="+","+"&amp;Z432,Z432))))</f>
        <v/>
      </c>
      <c r="AB432" s="32">
        <f>IF(TRIM(A432&amp;"")="","",IF(TRIM(M432&amp;"")&lt;&gt;"",TRIM(M432&amp;""),IFERROR(LEFT(TRIM(A432&amp;""),FIND(" ",TRIM(A432&amp;""))-1),TRIM(A432&amp;""))))</f>
        <v/>
      </c>
      <c r="AC432" s="32">
        <f>SUBSTITUTE(SUBSTITUTE(SUBSTITUTE(SUBSTITUTE(SUBSTITUTE(SUBSTITUTE(SUBSTITUTE(SUBSTITUTE(SUBSTITUTE(SUBSTITUTE(AB432,"%","%25"),"&amp;","%26"),"#","%23"),"+","%2B"),"=","%3D"),"?","%3F"),CHAR(34),"%22"),CHAR(10),"%0A"),CHAR(13),"")," ","+")</f>
        <v/>
      </c>
      <c r="AD432" s="32">
        <f>IF(OR(AA432="",AB432=""),"",'Start Here'!$B$20&amp;"#p="&amp;SUBSTITUTE(AA432,"+","%2B")&amp;"&amp;n="&amp;AC432&amp;"&amp;m="&amp;SUBSTITUTE('Start Here'!$B$24,"{name}",AC432))</f>
        <v/>
      </c>
      <c r="AE432" s="32">
        <f>LEN(AD432)</f>
        <v/>
      </c>
      <c r="AF432" s="32">
        <f>IF(AND(TRIM(A432&amp;"")&lt;&gt;"",OR(B432="Awaiting",B432="Not sure yet")),1,0)</f>
        <v/>
      </c>
      <c r="AG432" s="32">
        <f>N(AG431)+AF432</f>
        <v/>
      </c>
      <c r="AH432" s="32">
        <f>IF(AF432=1,AG432,"")</f>
        <v/>
      </c>
      <c r="AI432" s="32">
        <f>IF(AND(TRIM(A432&amp;"")&lt;&gt;"",L432&amp;""&lt;&gt;"",L432&amp;""=Seating!$I$3&amp;"",B432&lt;&gt;"Declined"),1,0)</f>
        <v/>
      </c>
      <c r="AJ432" s="32">
        <f>N(AJ431)+AI432</f>
        <v/>
      </c>
      <c r="AK432" s="32">
        <f>IF(AI432=1,AJ432,"")</f>
        <v/>
      </c>
    </row>
    <row r="433">
      <c r="A433" s="10" t="n"/>
      <c r="B433" s="47">
        <f>IF(TRIM(A433&amp;"")="","",IF(W433&lt;&gt;"",W433,IF(I433="","Awaiting",I433)))</f>
        <v/>
      </c>
      <c r="C433" s="60">
        <f>IF(OR(B433="Awaiting",B433="Not sure yet"),IF(AD433&lt;&gt;"",HYPERLINK(AD433,"💬 Remind"),"add mobile"),"")</f>
        <v/>
      </c>
      <c r="D433" s="58" t="n"/>
      <c r="E433" s="10" t="n"/>
      <c r="F433" s="10" t="n"/>
      <c r="G433" s="10" t="n"/>
      <c r="H433" s="10" t="n"/>
      <c r="I433" s="10" t="n"/>
      <c r="J433" s="10" t="n"/>
      <c r="K433" s="10" t="n"/>
      <c r="L433" s="56" t="n"/>
      <c r="M433" s="10" t="n"/>
      <c r="N433" s="12" t="n"/>
      <c r="O433" s="10" t="n"/>
      <c r="P433" s="10" t="n"/>
      <c r="Q433" s="61">
        <f>IF(V433="","",IF(T433="","Covered by "&amp;INDEX('Form Calc'!$B:$B,V433)&amp;"'s reply (same party)","Replied "&amp;TEXT(INDEX('Form Calc'!$A:$A,T433),"mm/dd")&amp;" · "&amp;INDEX('Form Calc'!$H:$H,T433)&amp;" adult(s), "&amp;INDEX('Form Calc'!$I:$I,T433)&amp;" child(ren)"&amp;IF(INDEX('Form Calc'!$K:$K,T433)&lt;&gt;""," · "&amp;INDEX('Form Calc'!$K:$K,T433),"")&amp;IF(INDEX('Form Calc'!$M:$M,T433)&lt;&gt;""," · “"&amp;INDEX('Form Calc'!$M:$M,T433)&amp;"”","")))</f>
        <v/>
      </c>
      <c r="R433" s="32">
        <f>SUBSTITUTE(SUBSTITUTE(SUBSTITUTE(SUBSTITUTE(SUBSTITUTE(SUBSTITUTE(SUBSTITUTE(SUBSTITUTE(D433&amp;""," ",""),"-",""),"(",""),")",""),".",""),"+",""),"/",""),CHAR(160),"")</f>
        <v/>
      </c>
      <c r="S433" s="32">
        <f>IF(LEN(R433)&gt;=10,RIGHT(R433,10),R433)</f>
        <v/>
      </c>
      <c r="T433" s="32">
        <f>IF(TRIM(A433&amp;"")="","",IF(S433&lt;&gt;"",IFERROR(MATCH(S433,'Form Calc'!$P:$P,0),IFERROR(MATCH(TRIM(A433&amp;""),'Form Calc'!$Q:$Q,0),"")),IFERROR(MATCH(TRIM(A433&amp;""),'Form Calc'!$Q:$Q,0),"")))</f>
        <v/>
      </c>
      <c r="U433" s="32">
        <f>IF(AND(T433&lt;&gt;"",TRIM(E433&amp;"")&lt;&gt;""),TRIM(E433&amp;""),"")</f>
        <v/>
      </c>
      <c r="V433" s="32">
        <f>IF(TRIM(A433&amp;"")="","",IF(T433&lt;&gt;"",T433,IF(TRIM(E433&amp;"")="","",IFERROR(INDEX($T$6:$T$505,MATCH(TRIM(E433&amp;""),$U$6:$U$505,0)),""))))</f>
        <v/>
      </c>
      <c r="W433" s="32">
        <f>IF(V433="","",INDEX('Form Calc'!$G:$G,V433))</f>
        <v/>
      </c>
      <c r="X433" s="32">
        <f>IF(TRIM(A433&amp;"")="","",IF(T433&lt;&gt;"",IF(INDEX('Form Calc'!$K:$K,T433)&lt;&gt;"",INDEX('Form Calc'!$K:$K,T433),J433&amp;""),J433&amp;""))</f>
        <v/>
      </c>
      <c r="Y433" s="32">
        <f>IF(TRIM(A433&amp;"")="","",IF(TRIM(D433&amp;"")&lt;&gt;"",TRIM(D433&amp;""),IF(T433&lt;&gt;"",INDEX('Form Calc'!$C:$C,T433)&amp;"","")))</f>
        <v/>
      </c>
      <c r="Z433" s="32">
        <f>SUBSTITUTE(SUBSTITUTE(SUBSTITUTE(SUBSTITUTE(SUBSTITUTE(SUBSTITUTE(SUBSTITUTE(SUBSTITUTE(Y433," ",""),"-",""),"(",""),")",""),".",""),"+",""),"/",""),CHAR(160),"")</f>
        <v/>
      </c>
      <c r="AA433" s="32">
        <f>IF(Z433="","",IF(LEN(Z433)=10,"+1"&amp;Z433,IF(AND(LEN(Z433)=11,LEFT(Z433,1)="1"),"+"&amp;Z433,IF(LEFT(Y433,1)="+","+"&amp;Z433,Z433))))</f>
        <v/>
      </c>
      <c r="AB433" s="32">
        <f>IF(TRIM(A433&amp;"")="","",IF(TRIM(M433&amp;"")&lt;&gt;"",TRIM(M433&amp;""),IFERROR(LEFT(TRIM(A433&amp;""),FIND(" ",TRIM(A433&amp;""))-1),TRIM(A433&amp;""))))</f>
        <v/>
      </c>
      <c r="AC433" s="32">
        <f>SUBSTITUTE(SUBSTITUTE(SUBSTITUTE(SUBSTITUTE(SUBSTITUTE(SUBSTITUTE(SUBSTITUTE(SUBSTITUTE(SUBSTITUTE(SUBSTITUTE(AB433,"%","%25"),"&amp;","%26"),"#","%23"),"+","%2B"),"=","%3D"),"?","%3F"),CHAR(34),"%22"),CHAR(10),"%0A"),CHAR(13),"")," ","+")</f>
        <v/>
      </c>
      <c r="AD433" s="32">
        <f>IF(OR(AA433="",AB433=""),"",'Start Here'!$B$20&amp;"#p="&amp;SUBSTITUTE(AA433,"+","%2B")&amp;"&amp;n="&amp;AC433&amp;"&amp;m="&amp;SUBSTITUTE('Start Here'!$B$24,"{name}",AC433))</f>
        <v/>
      </c>
      <c r="AE433" s="32">
        <f>LEN(AD433)</f>
        <v/>
      </c>
      <c r="AF433" s="32">
        <f>IF(AND(TRIM(A433&amp;"")&lt;&gt;"",OR(B433="Awaiting",B433="Not sure yet")),1,0)</f>
        <v/>
      </c>
      <c r="AG433" s="32">
        <f>N(AG432)+AF433</f>
        <v/>
      </c>
      <c r="AH433" s="32">
        <f>IF(AF433=1,AG433,"")</f>
        <v/>
      </c>
      <c r="AI433" s="32">
        <f>IF(AND(TRIM(A433&amp;"")&lt;&gt;"",L433&amp;""&lt;&gt;"",L433&amp;""=Seating!$I$3&amp;"",B433&lt;&gt;"Declined"),1,0)</f>
        <v/>
      </c>
      <c r="AJ433" s="32">
        <f>N(AJ432)+AI433</f>
        <v/>
      </c>
      <c r="AK433" s="32">
        <f>IF(AI433=1,AJ433,"")</f>
        <v/>
      </c>
    </row>
    <row r="434">
      <c r="A434" s="10" t="n"/>
      <c r="B434" s="47">
        <f>IF(TRIM(A434&amp;"")="","",IF(W434&lt;&gt;"",W434,IF(I434="","Awaiting",I434)))</f>
        <v/>
      </c>
      <c r="C434" s="60">
        <f>IF(OR(B434="Awaiting",B434="Not sure yet"),IF(AD434&lt;&gt;"",HYPERLINK(AD434,"💬 Remind"),"add mobile"),"")</f>
        <v/>
      </c>
      <c r="D434" s="58" t="n"/>
      <c r="E434" s="10" t="n"/>
      <c r="F434" s="10" t="n"/>
      <c r="G434" s="10" t="n"/>
      <c r="H434" s="10" t="n"/>
      <c r="I434" s="10" t="n"/>
      <c r="J434" s="10" t="n"/>
      <c r="K434" s="10" t="n"/>
      <c r="L434" s="56" t="n"/>
      <c r="M434" s="10" t="n"/>
      <c r="N434" s="12" t="n"/>
      <c r="O434" s="10" t="n"/>
      <c r="P434" s="10" t="n"/>
      <c r="Q434" s="61">
        <f>IF(V434="","",IF(T434="","Covered by "&amp;INDEX('Form Calc'!$B:$B,V434)&amp;"'s reply (same party)","Replied "&amp;TEXT(INDEX('Form Calc'!$A:$A,T434),"mm/dd")&amp;" · "&amp;INDEX('Form Calc'!$H:$H,T434)&amp;" adult(s), "&amp;INDEX('Form Calc'!$I:$I,T434)&amp;" child(ren)"&amp;IF(INDEX('Form Calc'!$K:$K,T434)&lt;&gt;""," · "&amp;INDEX('Form Calc'!$K:$K,T434),"")&amp;IF(INDEX('Form Calc'!$M:$M,T434)&lt;&gt;""," · “"&amp;INDEX('Form Calc'!$M:$M,T434)&amp;"”","")))</f>
        <v/>
      </c>
      <c r="R434" s="32">
        <f>SUBSTITUTE(SUBSTITUTE(SUBSTITUTE(SUBSTITUTE(SUBSTITUTE(SUBSTITUTE(SUBSTITUTE(SUBSTITUTE(D434&amp;""," ",""),"-",""),"(",""),")",""),".",""),"+",""),"/",""),CHAR(160),"")</f>
        <v/>
      </c>
      <c r="S434" s="32">
        <f>IF(LEN(R434)&gt;=10,RIGHT(R434,10),R434)</f>
        <v/>
      </c>
      <c r="T434" s="32">
        <f>IF(TRIM(A434&amp;"")="","",IF(S434&lt;&gt;"",IFERROR(MATCH(S434,'Form Calc'!$P:$P,0),IFERROR(MATCH(TRIM(A434&amp;""),'Form Calc'!$Q:$Q,0),"")),IFERROR(MATCH(TRIM(A434&amp;""),'Form Calc'!$Q:$Q,0),"")))</f>
        <v/>
      </c>
      <c r="U434" s="32">
        <f>IF(AND(T434&lt;&gt;"",TRIM(E434&amp;"")&lt;&gt;""),TRIM(E434&amp;""),"")</f>
        <v/>
      </c>
      <c r="V434" s="32">
        <f>IF(TRIM(A434&amp;"")="","",IF(T434&lt;&gt;"",T434,IF(TRIM(E434&amp;"")="","",IFERROR(INDEX($T$6:$T$505,MATCH(TRIM(E434&amp;""),$U$6:$U$505,0)),""))))</f>
        <v/>
      </c>
      <c r="W434" s="32">
        <f>IF(V434="","",INDEX('Form Calc'!$G:$G,V434))</f>
        <v/>
      </c>
      <c r="X434" s="32">
        <f>IF(TRIM(A434&amp;"")="","",IF(T434&lt;&gt;"",IF(INDEX('Form Calc'!$K:$K,T434)&lt;&gt;"",INDEX('Form Calc'!$K:$K,T434),J434&amp;""),J434&amp;""))</f>
        <v/>
      </c>
      <c r="Y434" s="32">
        <f>IF(TRIM(A434&amp;"")="","",IF(TRIM(D434&amp;"")&lt;&gt;"",TRIM(D434&amp;""),IF(T434&lt;&gt;"",INDEX('Form Calc'!$C:$C,T434)&amp;"","")))</f>
        <v/>
      </c>
      <c r="Z434" s="32">
        <f>SUBSTITUTE(SUBSTITUTE(SUBSTITUTE(SUBSTITUTE(SUBSTITUTE(SUBSTITUTE(SUBSTITUTE(SUBSTITUTE(Y434," ",""),"-",""),"(",""),")",""),".",""),"+",""),"/",""),CHAR(160),"")</f>
        <v/>
      </c>
      <c r="AA434" s="32">
        <f>IF(Z434="","",IF(LEN(Z434)=10,"+1"&amp;Z434,IF(AND(LEN(Z434)=11,LEFT(Z434,1)="1"),"+"&amp;Z434,IF(LEFT(Y434,1)="+","+"&amp;Z434,Z434))))</f>
        <v/>
      </c>
      <c r="AB434" s="32">
        <f>IF(TRIM(A434&amp;"")="","",IF(TRIM(M434&amp;"")&lt;&gt;"",TRIM(M434&amp;""),IFERROR(LEFT(TRIM(A434&amp;""),FIND(" ",TRIM(A434&amp;""))-1),TRIM(A434&amp;""))))</f>
        <v/>
      </c>
      <c r="AC434" s="32">
        <f>SUBSTITUTE(SUBSTITUTE(SUBSTITUTE(SUBSTITUTE(SUBSTITUTE(SUBSTITUTE(SUBSTITUTE(SUBSTITUTE(SUBSTITUTE(SUBSTITUTE(AB434,"%","%25"),"&amp;","%26"),"#","%23"),"+","%2B"),"=","%3D"),"?","%3F"),CHAR(34),"%22"),CHAR(10),"%0A"),CHAR(13),"")," ","+")</f>
        <v/>
      </c>
      <c r="AD434" s="32">
        <f>IF(OR(AA434="",AB434=""),"",'Start Here'!$B$20&amp;"#p="&amp;SUBSTITUTE(AA434,"+","%2B")&amp;"&amp;n="&amp;AC434&amp;"&amp;m="&amp;SUBSTITUTE('Start Here'!$B$24,"{name}",AC434))</f>
        <v/>
      </c>
      <c r="AE434" s="32">
        <f>LEN(AD434)</f>
        <v/>
      </c>
      <c r="AF434" s="32">
        <f>IF(AND(TRIM(A434&amp;"")&lt;&gt;"",OR(B434="Awaiting",B434="Not sure yet")),1,0)</f>
        <v/>
      </c>
      <c r="AG434" s="32">
        <f>N(AG433)+AF434</f>
        <v/>
      </c>
      <c r="AH434" s="32">
        <f>IF(AF434=1,AG434,"")</f>
        <v/>
      </c>
      <c r="AI434" s="32">
        <f>IF(AND(TRIM(A434&amp;"")&lt;&gt;"",L434&amp;""&lt;&gt;"",L434&amp;""=Seating!$I$3&amp;"",B434&lt;&gt;"Declined"),1,0)</f>
        <v/>
      </c>
      <c r="AJ434" s="32">
        <f>N(AJ433)+AI434</f>
        <v/>
      </c>
      <c r="AK434" s="32">
        <f>IF(AI434=1,AJ434,"")</f>
        <v/>
      </c>
    </row>
    <row r="435">
      <c r="A435" s="10" t="n"/>
      <c r="B435" s="47">
        <f>IF(TRIM(A435&amp;"")="","",IF(W435&lt;&gt;"",W435,IF(I435="","Awaiting",I435)))</f>
        <v/>
      </c>
      <c r="C435" s="60">
        <f>IF(OR(B435="Awaiting",B435="Not sure yet"),IF(AD435&lt;&gt;"",HYPERLINK(AD435,"💬 Remind"),"add mobile"),"")</f>
        <v/>
      </c>
      <c r="D435" s="58" t="n"/>
      <c r="E435" s="10" t="n"/>
      <c r="F435" s="10" t="n"/>
      <c r="G435" s="10" t="n"/>
      <c r="H435" s="10" t="n"/>
      <c r="I435" s="10" t="n"/>
      <c r="J435" s="10" t="n"/>
      <c r="K435" s="10" t="n"/>
      <c r="L435" s="56" t="n"/>
      <c r="M435" s="10" t="n"/>
      <c r="N435" s="12" t="n"/>
      <c r="O435" s="10" t="n"/>
      <c r="P435" s="10" t="n"/>
      <c r="Q435" s="61">
        <f>IF(V435="","",IF(T435="","Covered by "&amp;INDEX('Form Calc'!$B:$B,V435)&amp;"'s reply (same party)","Replied "&amp;TEXT(INDEX('Form Calc'!$A:$A,T435),"mm/dd")&amp;" · "&amp;INDEX('Form Calc'!$H:$H,T435)&amp;" adult(s), "&amp;INDEX('Form Calc'!$I:$I,T435)&amp;" child(ren)"&amp;IF(INDEX('Form Calc'!$K:$K,T435)&lt;&gt;""," · "&amp;INDEX('Form Calc'!$K:$K,T435),"")&amp;IF(INDEX('Form Calc'!$M:$M,T435)&lt;&gt;""," · “"&amp;INDEX('Form Calc'!$M:$M,T435)&amp;"”","")))</f>
        <v/>
      </c>
      <c r="R435" s="32">
        <f>SUBSTITUTE(SUBSTITUTE(SUBSTITUTE(SUBSTITUTE(SUBSTITUTE(SUBSTITUTE(SUBSTITUTE(SUBSTITUTE(D435&amp;""," ",""),"-",""),"(",""),")",""),".",""),"+",""),"/",""),CHAR(160),"")</f>
        <v/>
      </c>
      <c r="S435" s="32">
        <f>IF(LEN(R435)&gt;=10,RIGHT(R435,10),R435)</f>
        <v/>
      </c>
      <c r="T435" s="32">
        <f>IF(TRIM(A435&amp;"")="","",IF(S435&lt;&gt;"",IFERROR(MATCH(S435,'Form Calc'!$P:$P,0),IFERROR(MATCH(TRIM(A435&amp;""),'Form Calc'!$Q:$Q,0),"")),IFERROR(MATCH(TRIM(A435&amp;""),'Form Calc'!$Q:$Q,0),"")))</f>
        <v/>
      </c>
      <c r="U435" s="32">
        <f>IF(AND(T435&lt;&gt;"",TRIM(E435&amp;"")&lt;&gt;""),TRIM(E435&amp;""),"")</f>
        <v/>
      </c>
      <c r="V435" s="32">
        <f>IF(TRIM(A435&amp;"")="","",IF(T435&lt;&gt;"",T435,IF(TRIM(E435&amp;"")="","",IFERROR(INDEX($T$6:$T$505,MATCH(TRIM(E435&amp;""),$U$6:$U$505,0)),""))))</f>
        <v/>
      </c>
      <c r="W435" s="32">
        <f>IF(V435="","",INDEX('Form Calc'!$G:$G,V435))</f>
        <v/>
      </c>
      <c r="X435" s="32">
        <f>IF(TRIM(A435&amp;"")="","",IF(T435&lt;&gt;"",IF(INDEX('Form Calc'!$K:$K,T435)&lt;&gt;"",INDEX('Form Calc'!$K:$K,T435),J435&amp;""),J435&amp;""))</f>
        <v/>
      </c>
      <c r="Y435" s="32">
        <f>IF(TRIM(A435&amp;"")="","",IF(TRIM(D435&amp;"")&lt;&gt;"",TRIM(D435&amp;""),IF(T435&lt;&gt;"",INDEX('Form Calc'!$C:$C,T435)&amp;"","")))</f>
        <v/>
      </c>
      <c r="Z435" s="32">
        <f>SUBSTITUTE(SUBSTITUTE(SUBSTITUTE(SUBSTITUTE(SUBSTITUTE(SUBSTITUTE(SUBSTITUTE(SUBSTITUTE(Y435," ",""),"-",""),"(",""),")",""),".",""),"+",""),"/",""),CHAR(160),"")</f>
        <v/>
      </c>
      <c r="AA435" s="32">
        <f>IF(Z435="","",IF(LEN(Z435)=10,"+1"&amp;Z435,IF(AND(LEN(Z435)=11,LEFT(Z435,1)="1"),"+"&amp;Z435,IF(LEFT(Y435,1)="+","+"&amp;Z435,Z435))))</f>
        <v/>
      </c>
      <c r="AB435" s="32">
        <f>IF(TRIM(A435&amp;"")="","",IF(TRIM(M435&amp;"")&lt;&gt;"",TRIM(M435&amp;""),IFERROR(LEFT(TRIM(A435&amp;""),FIND(" ",TRIM(A435&amp;""))-1),TRIM(A435&amp;""))))</f>
        <v/>
      </c>
      <c r="AC435" s="32">
        <f>SUBSTITUTE(SUBSTITUTE(SUBSTITUTE(SUBSTITUTE(SUBSTITUTE(SUBSTITUTE(SUBSTITUTE(SUBSTITUTE(SUBSTITUTE(SUBSTITUTE(AB435,"%","%25"),"&amp;","%26"),"#","%23"),"+","%2B"),"=","%3D"),"?","%3F"),CHAR(34),"%22"),CHAR(10),"%0A"),CHAR(13),"")," ","+")</f>
        <v/>
      </c>
      <c r="AD435" s="32">
        <f>IF(OR(AA435="",AB435=""),"",'Start Here'!$B$20&amp;"#p="&amp;SUBSTITUTE(AA435,"+","%2B")&amp;"&amp;n="&amp;AC435&amp;"&amp;m="&amp;SUBSTITUTE('Start Here'!$B$24,"{name}",AC435))</f>
        <v/>
      </c>
      <c r="AE435" s="32">
        <f>LEN(AD435)</f>
        <v/>
      </c>
      <c r="AF435" s="32">
        <f>IF(AND(TRIM(A435&amp;"")&lt;&gt;"",OR(B435="Awaiting",B435="Not sure yet")),1,0)</f>
        <v/>
      </c>
      <c r="AG435" s="32">
        <f>N(AG434)+AF435</f>
        <v/>
      </c>
      <c r="AH435" s="32">
        <f>IF(AF435=1,AG435,"")</f>
        <v/>
      </c>
      <c r="AI435" s="32">
        <f>IF(AND(TRIM(A435&amp;"")&lt;&gt;"",L435&amp;""&lt;&gt;"",L435&amp;""=Seating!$I$3&amp;"",B435&lt;&gt;"Declined"),1,0)</f>
        <v/>
      </c>
      <c r="AJ435" s="32">
        <f>N(AJ434)+AI435</f>
        <v/>
      </c>
      <c r="AK435" s="32">
        <f>IF(AI435=1,AJ435,"")</f>
        <v/>
      </c>
    </row>
    <row r="436">
      <c r="A436" s="10" t="n"/>
      <c r="B436" s="47">
        <f>IF(TRIM(A436&amp;"")="","",IF(W436&lt;&gt;"",W436,IF(I436="","Awaiting",I436)))</f>
        <v/>
      </c>
      <c r="C436" s="60">
        <f>IF(OR(B436="Awaiting",B436="Not sure yet"),IF(AD436&lt;&gt;"",HYPERLINK(AD436,"💬 Remind"),"add mobile"),"")</f>
        <v/>
      </c>
      <c r="D436" s="58" t="n"/>
      <c r="E436" s="10" t="n"/>
      <c r="F436" s="10" t="n"/>
      <c r="G436" s="10" t="n"/>
      <c r="H436" s="10" t="n"/>
      <c r="I436" s="10" t="n"/>
      <c r="J436" s="10" t="n"/>
      <c r="K436" s="10" t="n"/>
      <c r="L436" s="56" t="n"/>
      <c r="M436" s="10" t="n"/>
      <c r="N436" s="12" t="n"/>
      <c r="O436" s="10" t="n"/>
      <c r="P436" s="10" t="n"/>
      <c r="Q436" s="61">
        <f>IF(V436="","",IF(T436="","Covered by "&amp;INDEX('Form Calc'!$B:$B,V436)&amp;"'s reply (same party)","Replied "&amp;TEXT(INDEX('Form Calc'!$A:$A,T436),"mm/dd")&amp;" · "&amp;INDEX('Form Calc'!$H:$H,T436)&amp;" adult(s), "&amp;INDEX('Form Calc'!$I:$I,T436)&amp;" child(ren)"&amp;IF(INDEX('Form Calc'!$K:$K,T436)&lt;&gt;""," · "&amp;INDEX('Form Calc'!$K:$K,T436),"")&amp;IF(INDEX('Form Calc'!$M:$M,T436)&lt;&gt;""," · “"&amp;INDEX('Form Calc'!$M:$M,T436)&amp;"”","")))</f>
        <v/>
      </c>
      <c r="R436" s="32">
        <f>SUBSTITUTE(SUBSTITUTE(SUBSTITUTE(SUBSTITUTE(SUBSTITUTE(SUBSTITUTE(SUBSTITUTE(SUBSTITUTE(D436&amp;""," ",""),"-",""),"(",""),")",""),".",""),"+",""),"/",""),CHAR(160),"")</f>
        <v/>
      </c>
      <c r="S436" s="32">
        <f>IF(LEN(R436)&gt;=10,RIGHT(R436,10),R436)</f>
        <v/>
      </c>
      <c r="T436" s="32">
        <f>IF(TRIM(A436&amp;"")="","",IF(S436&lt;&gt;"",IFERROR(MATCH(S436,'Form Calc'!$P:$P,0),IFERROR(MATCH(TRIM(A436&amp;""),'Form Calc'!$Q:$Q,0),"")),IFERROR(MATCH(TRIM(A436&amp;""),'Form Calc'!$Q:$Q,0),"")))</f>
        <v/>
      </c>
      <c r="U436" s="32">
        <f>IF(AND(T436&lt;&gt;"",TRIM(E436&amp;"")&lt;&gt;""),TRIM(E436&amp;""),"")</f>
        <v/>
      </c>
      <c r="V436" s="32">
        <f>IF(TRIM(A436&amp;"")="","",IF(T436&lt;&gt;"",T436,IF(TRIM(E436&amp;"")="","",IFERROR(INDEX($T$6:$T$505,MATCH(TRIM(E436&amp;""),$U$6:$U$505,0)),""))))</f>
        <v/>
      </c>
      <c r="W436" s="32">
        <f>IF(V436="","",INDEX('Form Calc'!$G:$G,V436))</f>
        <v/>
      </c>
      <c r="X436" s="32">
        <f>IF(TRIM(A436&amp;"")="","",IF(T436&lt;&gt;"",IF(INDEX('Form Calc'!$K:$K,T436)&lt;&gt;"",INDEX('Form Calc'!$K:$K,T436),J436&amp;""),J436&amp;""))</f>
        <v/>
      </c>
      <c r="Y436" s="32">
        <f>IF(TRIM(A436&amp;"")="","",IF(TRIM(D436&amp;"")&lt;&gt;"",TRIM(D436&amp;""),IF(T436&lt;&gt;"",INDEX('Form Calc'!$C:$C,T436)&amp;"","")))</f>
        <v/>
      </c>
      <c r="Z436" s="32">
        <f>SUBSTITUTE(SUBSTITUTE(SUBSTITUTE(SUBSTITUTE(SUBSTITUTE(SUBSTITUTE(SUBSTITUTE(SUBSTITUTE(Y436," ",""),"-",""),"(",""),")",""),".",""),"+",""),"/",""),CHAR(160),"")</f>
        <v/>
      </c>
      <c r="AA436" s="32">
        <f>IF(Z436="","",IF(LEN(Z436)=10,"+1"&amp;Z436,IF(AND(LEN(Z436)=11,LEFT(Z436,1)="1"),"+"&amp;Z436,IF(LEFT(Y436,1)="+","+"&amp;Z436,Z436))))</f>
        <v/>
      </c>
      <c r="AB436" s="32">
        <f>IF(TRIM(A436&amp;"")="","",IF(TRIM(M436&amp;"")&lt;&gt;"",TRIM(M436&amp;""),IFERROR(LEFT(TRIM(A436&amp;""),FIND(" ",TRIM(A436&amp;""))-1),TRIM(A436&amp;""))))</f>
        <v/>
      </c>
      <c r="AC436" s="32">
        <f>SUBSTITUTE(SUBSTITUTE(SUBSTITUTE(SUBSTITUTE(SUBSTITUTE(SUBSTITUTE(SUBSTITUTE(SUBSTITUTE(SUBSTITUTE(SUBSTITUTE(AB436,"%","%25"),"&amp;","%26"),"#","%23"),"+","%2B"),"=","%3D"),"?","%3F"),CHAR(34),"%22"),CHAR(10),"%0A"),CHAR(13),"")," ","+")</f>
        <v/>
      </c>
      <c r="AD436" s="32">
        <f>IF(OR(AA436="",AB436=""),"",'Start Here'!$B$20&amp;"#p="&amp;SUBSTITUTE(AA436,"+","%2B")&amp;"&amp;n="&amp;AC436&amp;"&amp;m="&amp;SUBSTITUTE('Start Here'!$B$24,"{name}",AC436))</f>
        <v/>
      </c>
      <c r="AE436" s="32">
        <f>LEN(AD436)</f>
        <v/>
      </c>
      <c r="AF436" s="32">
        <f>IF(AND(TRIM(A436&amp;"")&lt;&gt;"",OR(B436="Awaiting",B436="Not sure yet")),1,0)</f>
        <v/>
      </c>
      <c r="AG436" s="32">
        <f>N(AG435)+AF436</f>
        <v/>
      </c>
      <c r="AH436" s="32">
        <f>IF(AF436=1,AG436,"")</f>
        <v/>
      </c>
      <c r="AI436" s="32">
        <f>IF(AND(TRIM(A436&amp;"")&lt;&gt;"",L436&amp;""&lt;&gt;"",L436&amp;""=Seating!$I$3&amp;"",B436&lt;&gt;"Declined"),1,0)</f>
        <v/>
      </c>
      <c r="AJ436" s="32">
        <f>N(AJ435)+AI436</f>
        <v/>
      </c>
      <c r="AK436" s="32">
        <f>IF(AI436=1,AJ436,"")</f>
        <v/>
      </c>
    </row>
    <row r="437">
      <c r="A437" s="10" t="n"/>
      <c r="B437" s="47">
        <f>IF(TRIM(A437&amp;"")="","",IF(W437&lt;&gt;"",W437,IF(I437="","Awaiting",I437)))</f>
        <v/>
      </c>
      <c r="C437" s="60">
        <f>IF(OR(B437="Awaiting",B437="Not sure yet"),IF(AD437&lt;&gt;"",HYPERLINK(AD437,"💬 Remind"),"add mobile"),"")</f>
        <v/>
      </c>
      <c r="D437" s="58" t="n"/>
      <c r="E437" s="10" t="n"/>
      <c r="F437" s="10" t="n"/>
      <c r="G437" s="10" t="n"/>
      <c r="H437" s="10" t="n"/>
      <c r="I437" s="10" t="n"/>
      <c r="J437" s="10" t="n"/>
      <c r="K437" s="10" t="n"/>
      <c r="L437" s="56" t="n"/>
      <c r="M437" s="10" t="n"/>
      <c r="N437" s="12" t="n"/>
      <c r="O437" s="10" t="n"/>
      <c r="P437" s="10" t="n"/>
      <c r="Q437" s="61">
        <f>IF(V437="","",IF(T437="","Covered by "&amp;INDEX('Form Calc'!$B:$B,V437)&amp;"'s reply (same party)","Replied "&amp;TEXT(INDEX('Form Calc'!$A:$A,T437),"mm/dd")&amp;" · "&amp;INDEX('Form Calc'!$H:$H,T437)&amp;" adult(s), "&amp;INDEX('Form Calc'!$I:$I,T437)&amp;" child(ren)"&amp;IF(INDEX('Form Calc'!$K:$K,T437)&lt;&gt;""," · "&amp;INDEX('Form Calc'!$K:$K,T437),"")&amp;IF(INDEX('Form Calc'!$M:$M,T437)&lt;&gt;""," · “"&amp;INDEX('Form Calc'!$M:$M,T437)&amp;"”","")))</f>
        <v/>
      </c>
      <c r="R437" s="32">
        <f>SUBSTITUTE(SUBSTITUTE(SUBSTITUTE(SUBSTITUTE(SUBSTITUTE(SUBSTITUTE(SUBSTITUTE(SUBSTITUTE(D437&amp;""," ",""),"-",""),"(",""),")",""),".",""),"+",""),"/",""),CHAR(160),"")</f>
        <v/>
      </c>
      <c r="S437" s="32">
        <f>IF(LEN(R437)&gt;=10,RIGHT(R437,10),R437)</f>
        <v/>
      </c>
      <c r="T437" s="32">
        <f>IF(TRIM(A437&amp;"")="","",IF(S437&lt;&gt;"",IFERROR(MATCH(S437,'Form Calc'!$P:$P,0),IFERROR(MATCH(TRIM(A437&amp;""),'Form Calc'!$Q:$Q,0),"")),IFERROR(MATCH(TRIM(A437&amp;""),'Form Calc'!$Q:$Q,0),"")))</f>
        <v/>
      </c>
      <c r="U437" s="32">
        <f>IF(AND(T437&lt;&gt;"",TRIM(E437&amp;"")&lt;&gt;""),TRIM(E437&amp;""),"")</f>
        <v/>
      </c>
      <c r="V437" s="32">
        <f>IF(TRIM(A437&amp;"")="","",IF(T437&lt;&gt;"",T437,IF(TRIM(E437&amp;"")="","",IFERROR(INDEX($T$6:$T$505,MATCH(TRIM(E437&amp;""),$U$6:$U$505,0)),""))))</f>
        <v/>
      </c>
      <c r="W437" s="32">
        <f>IF(V437="","",INDEX('Form Calc'!$G:$G,V437))</f>
        <v/>
      </c>
      <c r="X437" s="32">
        <f>IF(TRIM(A437&amp;"")="","",IF(T437&lt;&gt;"",IF(INDEX('Form Calc'!$K:$K,T437)&lt;&gt;"",INDEX('Form Calc'!$K:$K,T437),J437&amp;""),J437&amp;""))</f>
        <v/>
      </c>
      <c r="Y437" s="32">
        <f>IF(TRIM(A437&amp;"")="","",IF(TRIM(D437&amp;"")&lt;&gt;"",TRIM(D437&amp;""),IF(T437&lt;&gt;"",INDEX('Form Calc'!$C:$C,T437)&amp;"","")))</f>
        <v/>
      </c>
      <c r="Z437" s="32">
        <f>SUBSTITUTE(SUBSTITUTE(SUBSTITUTE(SUBSTITUTE(SUBSTITUTE(SUBSTITUTE(SUBSTITUTE(SUBSTITUTE(Y437," ",""),"-",""),"(",""),")",""),".",""),"+",""),"/",""),CHAR(160),"")</f>
        <v/>
      </c>
      <c r="AA437" s="32">
        <f>IF(Z437="","",IF(LEN(Z437)=10,"+1"&amp;Z437,IF(AND(LEN(Z437)=11,LEFT(Z437,1)="1"),"+"&amp;Z437,IF(LEFT(Y437,1)="+","+"&amp;Z437,Z437))))</f>
        <v/>
      </c>
      <c r="AB437" s="32">
        <f>IF(TRIM(A437&amp;"")="","",IF(TRIM(M437&amp;"")&lt;&gt;"",TRIM(M437&amp;""),IFERROR(LEFT(TRIM(A437&amp;""),FIND(" ",TRIM(A437&amp;""))-1),TRIM(A437&amp;""))))</f>
        <v/>
      </c>
      <c r="AC437" s="32">
        <f>SUBSTITUTE(SUBSTITUTE(SUBSTITUTE(SUBSTITUTE(SUBSTITUTE(SUBSTITUTE(SUBSTITUTE(SUBSTITUTE(SUBSTITUTE(SUBSTITUTE(AB437,"%","%25"),"&amp;","%26"),"#","%23"),"+","%2B"),"=","%3D"),"?","%3F"),CHAR(34),"%22"),CHAR(10),"%0A"),CHAR(13),"")," ","+")</f>
        <v/>
      </c>
      <c r="AD437" s="32">
        <f>IF(OR(AA437="",AB437=""),"",'Start Here'!$B$20&amp;"#p="&amp;SUBSTITUTE(AA437,"+","%2B")&amp;"&amp;n="&amp;AC437&amp;"&amp;m="&amp;SUBSTITUTE('Start Here'!$B$24,"{name}",AC437))</f>
        <v/>
      </c>
      <c r="AE437" s="32">
        <f>LEN(AD437)</f>
        <v/>
      </c>
      <c r="AF437" s="32">
        <f>IF(AND(TRIM(A437&amp;"")&lt;&gt;"",OR(B437="Awaiting",B437="Not sure yet")),1,0)</f>
        <v/>
      </c>
      <c r="AG437" s="32">
        <f>N(AG436)+AF437</f>
        <v/>
      </c>
      <c r="AH437" s="32">
        <f>IF(AF437=1,AG437,"")</f>
        <v/>
      </c>
      <c r="AI437" s="32">
        <f>IF(AND(TRIM(A437&amp;"")&lt;&gt;"",L437&amp;""&lt;&gt;"",L437&amp;""=Seating!$I$3&amp;"",B437&lt;&gt;"Declined"),1,0)</f>
        <v/>
      </c>
      <c r="AJ437" s="32">
        <f>N(AJ436)+AI437</f>
        <v/>
      </c>
      <c r="AK437" s="32">
        <f>IF(AI437=1,AJ437,"")</f>
        <v/>
      </c>
    </row>
    <row r="438">
      <c r="A438" s="10" t="n"/>
      <c r="B438" s="47">
        <f>IF(TRIM(A438&amp;"")="","",IF(W438&lt;&gt;"",W438,IF(I438="","Awaiting",I438)))</f>
        <v/>
      </c>
      <c r="C438" s="60">
        <f>IF(OR(B438="Awaiting",B438="Not sure yet"),IF(AD438&lt;&gt;"",HYPERLINK(AD438,"💬 Remind"),"add mobile"),"")</f>
        <v/>
      </c>
      <c r="D438" s="58" t="n"/>
      <c r="E438" s="10" t="n"/>
      <c r="F438" s="10" t="n"/>
      <c r="G438" s="10" t="n"/>
      <c r="H438" s="10" t="n"/>
      <c r="I438" s="10" t="n"/>
      <c r="J438" s="10" t="n"/>
      <c r="K438" s="10" t="n"/>
      <c r="L438" s="56" t="n"/>
      <c r="M438" s="10" t="n"/>
      <c r="N438" s="12" t="n"/>
      <c r="O438" s="10" t="n"/>
      <c r="P438" s="10" t="n"/>
      <c r="Q438" s="61">
        <f>IF(V438="","",IF(T438="","Covered by "&amp;INDEX('Form Calc'!$B:$B,V438)&amp;"'s reply (same party)","Replied "&amp;TEXT(INDEX('Form Calc'!$A:$A,T438),"mm/dd")&amp;" · "&amp;INDEX('Form Calc'!$H:$H,T438)&amp;" adult(s), "&amp;INDEX('Form Calc'!$I:$I,T438)&amp;" child(ren)"&amp;IF(INDEX('Form Calc'!$K:$K,T438)&lt;&gt;""," · "&amp;INDEX('Form Calc'!$K:$K,T438),"")&amp;IF(INDEX('Form Calc'!$M:$M,T438)&lt;&gt;""," · “"&amp;INDEX('Form Calc'!$M:$M,T438)&amp;"”","")))</f>
        <v/>
      </c>
      <c r="R438" s="32">
        <f>SUBSTITUTE(SUBSTITUTE(SUBSTITUTE(SUBSTITUTE(SUBSTITUTE(SUBSTITUTE(SUBSTITUTE(SUBSTITUTE(D438&amp;""," ",""),"-",""),"(",""),")",""),".",""),"+",""),"/",""),CHAR(160),"")</f>
        <v/>
      </c>
      <c r="S438" s="32">
        <f>IF(LEN(R438)&gt;=10,RIGHT(R438,10),R438)</f>
        <v/>
      </c>
      <c r="T438" s="32">
        <f>IF(TRIM(A438&amp;"")="","",IF(S438&lt;&gt;"",IFERROR(MATCH(S438,'Form Calc'!$P:$P,0),IFERROR(MATCH(TRIM(A438&amp;""),'Form Calc'!$Q:$Q,0),"")),IFERROR(MATCH(TRIM(A438&amp;""),'Form Calc'!$Q:$Q,0),"")))</f>
        <v/>
      </c>
      <c r="U438" s="32">
        <f>IF(AND(T438&lt;&gt;"",TRIM(E438&amp;"")&lt;&gt;""),TRIM(E438&amp;""),"")</f>
        <v/>
      </c>
      <c r="V438" s="32">
        <f>IF(TRIM(A438&amp;"")="","",IF(T438&lt;&gt;"",T438,IF(TRIM(E438&amp;"")="","",IFERROR(INDEX($T$6:$T$505,MATCH(TRIM(E438&amp;""),$U$6:$U$505,0)),""))))</f>
        <v/>
      </c>
      <c r="W438" s="32">
        <f>IF(V438="","",INDEX('Form Calc'!$G:$G,V438))</f>
        <v/>
      </c>
      <c r="X438" s="32">
        <f>IF(TRIM(A438&amp;"")="","",IF(T438&lt;&gt;"",IF(INDEX('Form Calc'!$K:$K,T438)&lt;&gt;"",INDEX('Form Calc'!$K:$K,T438),J438&amp;""),J438&amp;""))</f>
        <v/>
      </c>
      <c r="Y438" s="32">
        <f>IF(TRIM(A438&amp;"")="","",IF(TRIM(D438&amp;"")&lt;&gt;"",TRIM(D438&amp;""),IF(T438&lt;&gt;"",INDEX('Form Calc'!$C:$C,T438)&amp;"","")))</f>
        <v/>
      </c>
      <c r="Z438" s="32">
        <f>SUBSTITUTE(SUBSTITUTE(SUBSTITUTE(SUBSTITUTE(SUBSTITUTE(SUBSTITUTE(SUBSTITUTE(SUBSTITUTE(Y438," ",""),"-",""),"(",""),")",""),".",""),"+",""),"/",""),CHAR(160),"")</f>
        <v/>
      </c>
      <c r="AA438" s="32">
        <f>IF(Z438="","",IF(LEN(Z438)=10,"+1"&amp;Z438,IF(AND(LEN(Z438)=11,LEFT(Z438,1)="1"),"+"&amp;Z438,IF(LEFT(Y438,1)="+","+"&amp;Z438,Z438))))</f>
        <v/>
      </c>
      <c r="AB438" s="32">
        <f>IF(TRIM(A438&amp;"")="","",IF(TRIM(M438&amp;"")&lt;&gt;"",TRIM(M438&amp;""),IFERROR(LEFT(TRIM(A438&amp;""),FIND(" ",TRIM(A438&amp;""))-1),TRIM(A438&amp;""))))</f>
        <v/>
      </c>
      <c r="AC438" s="32">
        <f>SUBSTITUTE(SUBSTITUTE(SUBSTITUTE(SUBSTITUTE(SUBSTITUTE(SUBSTITUTE(SUBSTITUTE(SUBSTITUTE(SUBSTITUTE(SUBSTITUTE(AB438,"%","%25"),"&amp;","%26"),"#","%23"),"+","%2B"),"=","%3D"),"?","%3F"),CHAR(34),"%22"),CHAR(10),"%0A"),CHAR(13),"")," ","+")</f>
        <v/>
      </c>
      <c r="AD438" s="32">
        <f>IF(OR(AA438="",AB438=""),"",'Start Here'!$B$20&amp;"#p="&amp;SUBSTITUTE(AA438,"+","%2B")&amp;"&amp;n="&amp;AC438&amp;"&amp;m="&amp;SUBSTITUTE('Start Here'!$B$24,"{name}",AC438))</f>
        <v/>
      </c>
      <c r="AE438" s="32">
        <f>LEN(AD438)</f>
        <v/>
      </c>
      <c r="AF438" s="32">
        <f>IF(AND(TRIM(A438&amp;"")&lt;&gt;"",OR(B438="Awaiting",B438="Not sure yet")),1,0)</f>
        <v/>
      </c>
      <c r="AG438" s="32">
        <f>N(AG437)+AF438</f>
        <v/>
      </c>
      <c r="AH438" s="32">
        <f>IF(AF438=1,AG438,"")</f>
        <v/>
      </c>
      <c r="AI438" s="32">
        <f>IF(AND(TRIM(A438&amp;"")&lt;&gt;"",L438&amp;""&lt;&gt;"",L438&amp;""=Seating!$I$3&amp;"",B438&lt;&gt;"Declined"),1,0)</f>
        <v/>
      </c>
      <c r="AJ438" s="32">
        <f>N(AJ437)+AI438</f>
        <v/>
      </c>
      <c r="AK438" s="32">
        <f>IF(AI438=1,AJ438,"")</f>
        <v/>
      </c>
    </row>
    <row r="439">
      <c r="A439" s="10" t="n"/>
      <c r="B439" s="47">
        <f>IF(TRIM(A439&amp;"")="","",IF(W439&lt;&gt;"",W439,IF(I439="","Awaiting",I439)))</f>
        <v/>
      </c>
      <c r="C439" s="60">
        <f>IF(OR(B439="Awaiting",B439="Not sure yet"),IF(AD439&lt;&gt;"",HYPERLINK(AD439,"💬 Remind"),"add mobile"),"")</f>
        <v/>
      </c>
      <c r="D439" s="58" t="n"/>
      <c r="E439" s="10" t="n"/>
      <c r="F439" s="10" t="n"/>
      <c r="G439" s="10" t="n"/>
      <c r="H439" s="10" t="n"/>
      <c r="I439" s="10" t="n"/>
      <c r="J439" s="10" t="n"/>
      <c r="K439" s="10" t="n"/>
      <c r="L439" s="56" t="n"/>
      <c r="M439" s="10" t="n"/>
      <c r="N439" s="12" t="n"/>
      <c r="O439" s="10" t="n"/>
      <c r="P439" s="10" t="n"/>
      <c r="Q439" s="61">
        <f>IF(V439="","",IF(T439="","Covered by "&amp;INDEX('Form Calc'!$B:$B,V439)&amp;"'s reply (same party)","Replied "&amp;TEXT(INDEX('Form Calc'!$A:$A,T439),"mm/dd")&amp;" · "&amp;INDEX('Form Calc'!$H:$H,T439)&amp;" adult(s), "&amp;INDEX('Form Calc'!$I:$I,T439)&amp;" child(ren)"&amp;IF(INDEX('Form Calc'!$K:$K,T439)&lt;&gt;""," · "&amp;INDEX('Form Calc'!$K:$K,T439),"")&amp;IF(INDEX('Form Calc'!$M:$M,T439)&lt;&gt;""," · “"&amp;INDEX('Form Calc'!$M:$M,T439)&amp;"”","")))</f>
        <v/>
      </c>
      <c r="R439" s="32">
        <f>SUBSTITUTE(SUBSTITUTE(SUBSTITUTE(SUBSTITUTE(SUBSTITUTE(SUBSTITUTE(SUBSTITUTE(SUBSTITUTE(D439&amp;""," ",""),"-",""),"(",""),")",""),".",""),"+",""),"/",""),CHAR(160),"")</f>
        <v/>
      </c>
      <c r="S439" s="32">
        <f>IF(LEN(R439)&gt;=10,RIGHT(R439,10),R439)</f>
        <v/>
      </c>
      <c r="T439" s="32">
        <f>IF(TRIM(A439&amp;"")="","",IF(S439&lt;&gt;"",IFERROR(MATCH(S439,'Form Calc'!$P:$P,0),IFERROR(MATCH(TRIM(A439&amp;""),'Form Calc'!$Q:$Q,0),"")),IFERROR(MATCH(TRIM(A439&amp;""),'Form Calc'!$Q:$Q,0),"")))</f>
        <v/>
      </c>
      <c r="U439" s="32">
        <f>IF(AND(T439&lt;&gt;"",TRIM(E439&amp;"")&lt;&gt;""),TRIM(E439&amp;""),"")</f>
        <v/>
      </c>
      <c r="V439" s="32">
        <f>IF(TRIM(A439&amp;"")="","",IF(T439&lt;&gt;"",T439,IF(TRIM(E439&amp;"")="","",IFERROR(INDEX($T$6:$T$505,MATCH(TRIM(E439&amp;""),$U$6:$U$505,0)),""))))</f>
        <v/>
      </c>
      <c r="W439" s="32">
        <f>IF(V439="","",INDEX('Form Calc'!$G:$G,V439))</f>
        <v/>
      </c>
      <c r="X439" s="32">
        <f>IF(TRIM(A439&amp;"")="","",IF(T439&lt;&gt;"",IF(INDEX('Form Calc'!$K:$K,T439)&lt;&gt;"",INDEX('Form Calc'!$K:$K,T439),J439&amp;""),J439&amp;""))</f>
        <v/>
      </c>
      <c r="Y439" s="32">
        <f>IF(TRIM(A439&amp;"")="","",IF(TRIM(D439&amp;"")&lt;&gt;"",TRIM(D439&amp;""),IF(T439&lt;&gt;"",INDEX('Form Calc'!$C:$C,T439)&amp;"","")))</f>
        <v/>
      </c>
      <c r="Z439" s="32">
        <f>SUBSTITUTE(SUBSTITUTE(SUBSTITUTE(SUBSTITUTE(SUBSTITUTE(SUBSTITUTE(SUBSTITUTE(SUBSTITUTE(Y439," ",""),"-",""),"(",""),")",""),".",""),"+",""),"/",""),CHAR(160),"")</f>
        <v/>
      </c>
      <c r="AA439" s="32">
        <f>IF(Z439="","",IF(LEN(Z439)=10,"+1"&amp;Z439,IF(AND(LEN(Z439)=11,LEFT(Z439,1)="1"),"+"&amp;Z439,IF(LEFT(Y439,1)="+","+"&amp;Z439,Z439))))</f>
        <v/>
      </c>
      <c r="AB439" s="32">
        <f>IF(TRIM(A439&amp;"")="","",IF(TRIM(M439&amp;"")&lt;&gt;"",TRIM(M439&amp;""),IFERROR(LEFT(TRIM(A439&amp;""),FIND(" ",TRIM(A439&amp;""))-1),TRIM(A439&amp;""))))</f>
        <v/>
      </c>
      <c r="AC439" s="32">
        <f>SUBSTITUTE(SUBSTITUTE(SUBSTITUTE(SUBSTITUTE(SUBSTITUTE(SUBSTITUTE(SUBSTITUTE(SUBSTITUTE(SUBSTITUTE(SUBSTITUTE(AB439,"%","%25"),"&amp;","%26"),"#","%23"),"+","%2B"),"=","%3D"),"?","%3F"),CHAR(34),"%22"),CHAR(10),"%0A"),CHAR(13),"")," ","+")</f>
        <v/>
      </c>
      <c r="AD439" s="32">
        <f>IF(OR(AA439="",AB439=""),"",'Start Here'!$B$20&amp;"#p="&amp;SUBSTITUTE(AA439,"+","%2B")&amp;"&amp;n="&amp;AC439&amp;"&amp;m="&amp;SUBSTITUTE('Start Here'!$B$24,"{name}",AC439))</f>
        <v/>
      </c>
      <c r="AE439" s="32">
        <f>LEN(AD439)</f>
        <v/>
      </c>
      <c r="AF439" s="32">
        <f>IF(AND(TRIM(A439&amp;"")&lt;&gt;"",OR(B439="Awaiting",B439="Not sure yet")),1,0)</f>
        <v/>
      </c>
      <c r="AG439" s="32">
        <f>N(AG438)+AF439</f>
        <v/>
      </c>
      <c r="AH439" s="32">
        <f>IF(AF439=1,AG439,"")</f>
        <v/>
      </c>
      <c r="AI439" s="32">
        <f>IF(AND(TRIM(A439&amp;"")&lt;&gt;"",L439&amp;""&lt;&gt;"",L439&amp;""=Seating!$I$3&amp;"",B439&lt;&gt;"Declined"),1,0)</f>
        <v/>
      </c>
      <c r="AJ439" s="32">
        <f>N(AJ438)+AI439</f>
        <v/>
      </c>
      <c r="AK439" s="32">
        <f>IF(AI439=1,AJ439,"")</f>
        <v/>
      </c>
    </row>
    <row r="440">
      <c r="A440" s="10" t="n"/>
      <c r="B440" s="47">
        <f>IF(TRIM(A440&amp;"")="","",IF(W440&lt;&gt;"",W440,IF(I440="","Awaiting",I440)))</f>
        <v/>
      </c>
      <c r="C440" s="60">
        <f>IF(OR(B440="Awaiting",B440="Not sure yet"),IF(AD440&lt;&gt;"",HYPERLINK(AD440,"💬 Remind"),"add mobile"),"")</f>
        <v/>
      </c>
      <c r="D440" s="58" t="n"/>
      <c r="E440" s="10" t="n"/>
      <c r="F440" s="10" t="n"/>
      <c r="G440" s="10" t="n"/>
      <c r="H440" s="10" t="n"/>
      <c r="I440" s="10" t="n"/>
      <c r="J440" s="10" t="n"/>
      <c r="K440" s="10" t="n"/>
      <c r="L440" s="56" t="n"/>
      <c r="M440" s="10" t="n"/>
      <c r="N440" s="12" t="n"/>
      <c r="O440" s="10" t="n"/>
      <c r="P440" s="10" t="n"/>
      <c r="Q440" s="61">
        <f>IF(V440="","",IF(T440="","Covered by "&amp;INDEX('Form Calc'!$B:$B,V440)&amp;"'s reply (same party)","Replied "&amp;TEXT(INDEX('Form Calc'!$A:$A,T440),"mm/dd")&amp;" · "&amp;INDEX('Form Calc'!$H:$H,T440)&amp;" adult(s), "&amp;INDEX('Form Calc'!$I:$I,T440)&amp;" child(ren)"&amp;IF(INDEX('Form Calc'!$K:$K,T440)&lt;&gt;""," · "&amp;INDEX('Form Calc'!$K:$K,T440),"")&amp;IF(INDEX('Form Calc'!$M:$M,T440)&lt;&gt;""," · “"&amp;INDEX('Form Calc'!$M:$M,T440)&amp;"”","")))</f>
        <v/>
      </c>
      <c r="R440" s="32">
        <f>SUBSTITUTE(SUBSTITUTE(SUBSTITUTE(SUBSTITUTE(SUBSTITUTE(SUBSTITUTE(SUBSTITUTE(SUBSTITUTE(D440&amp;""," ",""),"-",""),"(",""),")",""),".",""),"+",""),"/",""),CHAR(160),"")</f>
        <v/>
      </c>
      <c r="S440" s="32">
        <f>IF(LEN(R440)&gt;=10,RIGHT(R440,10),R440)</f>
        <v/>
      </c>
      <c r="T440" s="32">
        <f>IF(TRIM(A440&amp;"")="","",IF(S440&lt;&gt;"",IFERROR(MATCH(S440,'Form Calc'!$P:$P,0),IFERROR(MATCH(TRIM(A440&amp;""),'Form Calc'!$Q:$Q,0),"")),IFERROR(MATCH(TRIM(A440&amp;""),'Form Calc'!$Q:$Q,0),"")))</f>
        <v/>
      </c>
      <c r="U440" s="32">
        <f>IF(AND(T440&lt;&gt;"",TRIM(E440&amp;"")&lt;&gt;""),TRIM(E440&amp;""),"")</f>
        <v/>
      </c>
      <c r="V440" s="32">
        <f>IF(TRIM(A440&amp;"")="","",IF(T440&lt;&gt;"",T440,IF(TRIM(E440&amp;"")="","",IFERROR(INDEX($T$6:$T$505,MATCH(TRIM(E440&amp;""),$U$6:$U$505,0)),""))))</f>
        <v/>
      </c>
      <c r="W440" s="32">
        <f>IF(V440="","",INDEX('Form Calc'!$G:$G,V440))</f>
        <v/>
      </c>
      <c r="X440" s="32">
        <f>IF(TRIM(A440&amp;"")="","",IF(T440&lt;&gt;"",IF(INDEX('Form Calc'!$K:$K,T440)&lt;&gt;"",INDEX('Form Calc'!$K:$K,T440),J440&amp;""),J440&amp;""))</f>
        <v/>
      </c>
      <c r="Y440" s="32">
        <f>IF(TRIM(A440&amp;"")="","",IF(TRIM(D440&amp;"")&lt;&gt;"",TRIM(D440&amp;""),IF(T440&lt;&gt;"",INDEX('Form Calc'!$C:$C,T440)&amp;"","")))</f>
        <v/>
      </c>
      <c r="Z440" s="32">
        <f>SUBSTITUTE(SUBSTITUTE(SUBSTITUTE(SUBSTITUTE(SUBSTITUTE(SUBSTITUTE(SUBSTITUTE(SUBSTITUTE(Y440," ",""),"-",""),"(",""),")",""),".",""),"+",""),"/",""),CHAR(160),"")</f>
        <v/>
      </c>
      <c r="AA440" s="32">
        <f>IF(Z440="","",IF(LEN(Z440)=10,"+1"&amp;Z440,IF(AND(LEN(Z440)=11,LEFT(Z440,1)="1"),"+"&amp;Z440,IF(LEFT(Y440,1)="+","+"&amp;Z440,Z440))))</f>
        <v/>
      </c>
      <c r="AB440" s="32">
        <f>IF(TRIM(A440&amp;"")="","",IF(TRIM(M440&amp;"")&lt;&gt;"",TRIM(M440&amp;""),IFERROR(LEFT(TRIM(A440&amp;""),FIND(" ",TRIM(A440&amp;""))-1),TRIM(A440&amp;""))))</f>
        <v/>
      </c>
      <c r="AC440" s="32">
        <f>SUBSTITUTE(SUBSTITUTE(SUBSTITUTE(SUBSTITUTE(SUBSTITUTE(SUBSTITUTE(SUBSTITUTE(SUBSTITUTE(SUBSTITUTE(SUBSTITUTE(AB440,"%","%25"),"&amp;","%26"),"#","%23"),"+","%2B"),"=","%3D"),"?","%3F"),CHAR(34),"%22"),CHAR(10),"%0A"),CHAR(13),"")," ","+")</f>
        <v/>
      </c>
      <c r="AD440" s="32">
        <f>IF(OR(AA440="",AB440=""),"",'Start Here'!$B$20&amp;"#p="&amp;SUBSTITUTE(AA440,"+","%2B")&amp;"&amp;n="&amp;AC440&amp;"&amp;m="&amp;SUBSTITUTE('Start Here'!$B$24,"{name}",AC440))</f>
        <v/>
      </c>
      <c r="AE440" s="32">
        <f>LEN(AD440)</f>
        <v/>
      </c>
      <c r="AF440" s="32">
        <f>IF(AND(TRIM(A440&amp;"")&lt;&gt;"",OR(B440="Awaiting",B440="Not sure yet")),1,0)</f>
        <v/>
      </c>
      <c r="AG440" s="32">
        <f>N(AG439)+AF440</f>
        <v/>
      </c>
      <c r="AH440" s="32">
        <f>IF(AF440=1,AG440,"")</f>
        <v/>
      </c>
      <c r="AI440" s="32">
        <f>IF(AND(TRIM(A440&amp;"")&lt;&gt;"",L440&amp;""&lt;&gt;"",L440&amp;""=Seating!$I$3&amp;"",B440&lt;&gt;"Declined"),1,0)</f>
        <v/>
      </c>
      <c r="AJ440" s="32">
        <f>N(AJ439)+AI440</f>
        <v/>
      </c>
      <c r="AK440" s="32">
        <f>IF(AI440=1,AJ440,"")</f>
        <v/>
      </c>
    </row>
    <row r="441">
      <c r="A441" s="10" t="n"/>
      <c r="B441" s="47">
        <f>IF(TRIM(A441&amp;"")="","",IF(W441&lt;&gt;"",W441,IF(I441="","Awaiting",I441)))</f>
        <v/>
      </c>
      <c r="C441" s="60">
        <f>IF(OR(B441="Awaiting",B441="Not sure yet"),IF(AD441&lt;&gt;"",HYPERLINK(AD441,"💬 Remind"),"add mobile"),"")</f>
        <v/>
      </c>
      <c r="D441" s="58" t="n"/>
      <c r="E441" s="10" t="n"/>
      <c r="F441" s="10" t="n"/>
      <c r="G441" s="10" t="n"/>
      <c r="H441" s="10" t="n"/>
      <c r="I441" s="10" t="n"/>
      <c r="J441" s="10" t="n"/>
      <c r="K441" s="10" t="n"/>
      <c r="L441" s="56" t="n"/>
      <c r="M441" s="10" t="n"/>
      <c r="N441" s="12" t="n"/>
      <c r="O441" s="10" t="n"/>
      <c r="P441" s="10" t="n"/>
      <c r="Q441" s="61">
        <f>IF(V441="","",IF(T441="","Covered by "&amp;INDEX('Form Calc'!$B:$B,V441)&amp;"'s reply (same party)","Replied "&amp;TEXT(INDEX('Form Calc'!$A:$A,T441),"mm/dd")&amp;" · "&amp;INDEX('Form Calc'!$H:$H,T441)&amp;" adult(s), "&amp;INDEX('Form Calc'!$I:$I,T441)&amp;" child(ren)"&amp;IF(INDEX('Form Calc'!$K:$K,T441)&lt;&gt;""," · "&amp;INDEX('Form Calc'!$K:$K,T441),"")&amp;IF(INDEX('Form Calc'!$M:$M,T441)&lt;&gt;""," · “"&amp;INDEX('Form Calc'!$M:$M,T441)&amp;"”","")))</f>
        <v/>
      </c>
      <c r="R441" s="32">
        <f>SUBSTITUTE(SUBSTITUTE(SUBSTITUTE(SUBSTITUTE(SUBSTITUTE(SUBSTITUTE(SUBSTITUTE(SUBSTITUTE(D441&amp;""," ",""),"-",""),"(",""),")",""),".",""),"+",""),"/",""),CHAR(160),"")</f>
        <v/>
      </c>
      <c r="S441" s="32">
        <f>IF(LEN(R441)&gt;=10,RIGHT(R441,10),R441)</f>
        <v/>
      </c>
      <c r="T441" s="32">
        <f>IF(TRIM(A441&amp;"")="","",IF(S441&lt;&gt;"",IFERROR(MATCH(S441,'Form Calc'!$P:$P,0),IFERROR(MATCH(TRIM(A441&amp;""),'Form Calc'!$Q:$Q,0),"")),IFERROR(MATCH(TRIM(A441&amp;""),'Form Calc'!$Q:$Q,0),"")))</f>
        <v/>
      </c>
      <c r="U441" s="32">
        <f>IF(AND(T441&lt;&gt;"",TRIM(E441&amp;"")&lt;&gt;""),TRIM(E441&amp;""),"")</f>
        <v/>
      </c>
      <c r="V441" s="32">
        <f>IF(TRIM(A441&amp;"")="","",IF(T441&lt;&gt;"",T441,IF(TRIM(E441&amp;"")="","",IFERROR(INDEX($T$6:$T$505,MATCH(TRIM(E441&amp;""),$U$6:$U$505,0)),""))))</f>
        <v/>
      </c>
      <c r="W441" s="32">
        <f>IF(V441="","",INDEX('Form Calc'!$G:$G,V441))</f>
        <v/>
      </c>
      <c r="X441" s="32">
        <f>IF(TRIM(A441&amp;"")="","",IF(T441&lt;&gt;"",IF(INDEX('Form Calc'!$K:$K,T441)&lt;&gt;"",INDEX('Form Calc'!$K:$K,T441),J441&amp;""),J441&amp;""))</f>
        <v/>
      </c>
      <c r="Y441" s="32">
        <f>IF(TRIM(A441&amp;"")="","",IF(TRIM(D441&amp;"")&lt;&gt;"",TRIM(D441&amp;""),IF(T441&lt;&gt;"",INDEX('Form Calc'!$C:$C,T441)&amp;"","")))</f>
        <v/>
      </c>
      <c r="Z441" s="32">
        <f>SUBSTITUTE(SUBSTITUTE(SUBSTITUTE(SUBSTITUTE(SUBSTITUTE(SUBSTITUTE(SUBSTITUTE(SUBSTITUTE(Y441," ",""),"-",""),"(",""),")",""),".",""),"+",""),"/",""),CHAR(160),"")</f>
        <v/>
      </c>
      <c r="AA441" s="32">
        <f>IF(Z441="","",IF(LEN(Z441)=10,"+1"&amp;Z441,IF(AND(LEN(Z441)=11,LEFT(Z441,1)="1"),"+"&amp;Z441,IF(LEFT(Y441,1)="+","+"&amp;Z441,Z441))))</f>
        <v/>
      </c>
      <c r="AB441" s="32">
        <f>IF(TRIM(A441&amp;"")="","",IF(TRIM(M441&amp;"")&lt;&gt;"",TRIM(M441&amp;""),IFERROR(LEFT(TRIM(A441&amp;""),FIND(" ",TRIM(A441&amp;""))-1),TRIM(A441&amp;""))))</f>
        <v/>
      </c>
      <c r="AC441" s="32">
        <f>SUBSTITUTE(SUBSTITUTE(SUBSTITUTE(SUBSTITUTE(SUBSTITUTE(SUBSTITUTE(SUBSTITUTE(SUBSTITUTE(SUBSTITUTE(SUBSTITUTE(AB441,"%","%25"),"&amp;","%26"),"#","%23"),"+","%2B"),"=","%3D"),"?","%3F"),CHAR(34),"%22"),CHAR(10),"%0A"),CHAR(13),"")," ","+")</f>
        <v/>
      </c>
      <c r="AD441" s="32">
        <f>IF(OR(AA441="",AB441=""),"",'Start Here'!$B$20&amp;"#p="&amp;SUBSTITUTE(AA441,"+","%2B")&amp;"&amp;n="&amp;AC441&amp;"&amp;m="&amp;SUBSTITUTE('Start Here'!$B$24,"{name}",AC441))</f>
        <v/>
      </c>
      <c r="AE441" s="32">
        <f>LEN(AD441)</f>
        <v/>
      </c>
      <c r="AF441" s="32">
        <f>IF(AND(TRIM(A441&amp;"")&lt;&gt;"",OR(B441="Awaiting",B441="Not sure yet")),1,0)</f>
        <v/>
      </c>
      <c r="AG441" s="32">
        <f>N(AG440)+AF441</f>
        <v/>
      </c>
      <c r="AH441" s="32">
        <f>IF(AF441=1,AG441,"")</f>
        <v/>
      </c>
      <c r="AI441" s="32">
        <f>IF(AND(TRIM(A441&amp;"")&lt;&gt;"",L441&amp;""&lt;&gt;"",L441&amp;""=Seating!$I$3&amp;"",B441&lt;&gt;"Declined"),1,0)</f>
        <v/>
      </c>
      <c r="AJ441" s="32">
        <f>N(AJ440)+AI441</f>
        <v/>
      </c>
      <c r="AK441" s="32">
        <f>IF(AI441=1,AJ441,"")</f>
        <v/>
      </c>
    </row>
    <row r="442">
      <c r="A442" s="10" t="n"/>
      <c r="B442" s="47">
        <f>IF(TRIM(A442&amp;"")="","",IF(W442&lt;&gt;"",W442,IF(I442="","Awaiting",I442)))</f>
        <v/>
      </c>
      <c r="C442" s="60">
        <f>IF(OR(B442="Awaiting",B442="Not sure yet"),IF(AD442&lt;&gt;"",HYPERLINK(AD442,"💬 Remind"),"add mobile"),"")</f>
        <v/>
      </c>
      <c r="D442" s="58" t="n"/>
      <c r="E442" s="10" t="n"/>
      <c r="F442" s="10" t="n"/>
      <c r="G442" s="10" t="n"/>
      <c r="H442" s="10" t="n"/>
      <c r="I442" s="10" t="n"/>
      <c r="J442" s="10" t="n"/>
      <c r="K442" s="10" t="n"/>
      <c r="L442" s="56" t="n"/>
      <c r="M442" s="10" t="n"/>
      <c r="N442" s="12" t="n"/>
      <c r="O442" s="10" t="n"/>
      <c r="P442" s="10" t="n"/>
      <c r="Q442" s="61">
        <f>IF(V442="","",IF(T442="","Covered by "&amp;INDEX('Form Calc'!$B:$B,V442)&amp;"'s reply (same party)","Replied "&amp;TEXT(INDEX('Form Calc'!$A:$A,T442),"mm/dd")&amp;" · "&amp;INDEX('Form Calc'!$H:$H,T442)&amp;" adult(s), "&amp;INDEX('Form Calc'!$I:$I,T442)&amp;" child(ren)"&amp;IF(INDEX('Form Calc'!$K:$K,T442)&lt;&gt;""," · "&amp;INDEX('Form Calc'!$K:$K,T442),"")&amp;IF(INDEX('Form Calc'!$M:$M,T442)&lt;&gt;""," · “"&amp;INDEX('Form Calc'!$M:$M,T442)&amp;"”","")))</f>
        <v/>
      </c>
      <c r="R442" s="32">
        <f>SUBSTITUTE(SUBSTITUTE(SUBSTITUTE(SUBSTITUTE(SUBSTITUTE(SUBSTITUTE(SUBSTITUTE(SUBSTITUTE(D442&amp;""," ",""),"-",""),"(",""),")",""),".",""),"+",""),"/",""),CHAR(160),"")</f>
        <v/>
      </c>
      <c r="S442" s="32">
        <f>IF(LEN(R442)&gt;=10,RIGHT(R442,10),R442)</f>
        <v/>
      </c>
      <c r="T442" s="32">
        <f>IF(TRIM(A442&amp;"")="","",IF(S442&lt;&gt;"",IFERROR(MATCH(S442,'Form Calc'!$P:$P,0),IFERROR(MATCH(TRIM(A442&amp;""),'Form Calc'!$Q:$Q,0),"")),IFERROR(MATCH(TRIM(A442&amp;""),'Form Calc'!$Q:$Q,0),"")))</f>
        <v/>
      </c>
      <c r="U442" s="32">
        <f>IF(AND(T442&lt;&gt;"",TRIM(E442&amp;"")&lt;&gt;""),TRIM(E442&amp;""),"")</f>
        <v/>
      </c>
      <c r="V442" s="32">
        <f>IF(TRIM(A442&amp;"")="","",IF(T442&lt;&gt;"",T442,IF(TRIM(E442&amp;"")="","",IFERROR(INDEX($T$6:$T$505,MATCH(TRIM(E442&amp;""),$U$6:$U$505,0)),""))))</f>
        <v/>
      </c>
      <c r="W442" s="32">
        <f>IF(V442="","",INDEX('Form Calc'!$G:$G,V442))</f>
        <v/>
      </c>
      <c r="X442" s="32">
        <f>IF(TRIM(A442&amp;"")="","",IF(T442&lt;&gt;"",IF(INDEX('Form Calc'!$K:$K,T442)&lt;&gt;"",INDEX('Form Calc'!$K:$K,T442),J442&amp;""),J442&amp;""))</f>
        <v/>
      </c>
      <c r="Y442" s="32">
        <f>IF(TRIM(A442&amp;"")="","",IF(TRIM(D442&amp;"")&lt;&gt;"",TRIM(D442&amp;""),IF(T442&lt;&gt;"",INDEX('Form Calc'!$C:$C,T442)&amp;"","")))</f>
        <v/>
      </c>
      <c r="Z442" s="32">
        <f>SUBSTITUTE(SUBSTITUTE(SUBSTITUTE(SUBSTITUTE(SUBSTITUTE(SUBSTITUTE(SUBSTITUTE(SUBSTITUTE(Y442," ",""),"-",""),"(",""),")",""),".",""),"+",""),"/",""),CHAR(160),"")</f>
        <v/>
      </c>
      <c r="AA442" s="32">
        <f>IF(Z442="","",IF(LEN(Z442)=10,"+1"&amp;Z442,IF(AND(LEN(Z442)=11,LEFT(Z442,1)="1"),"+"&amp;Z442,IF(LEFT(Y442,1)="+","+"&amp;Z442,Z442))))</f>
        <v/>
      </c>
      <c r="AB442" s="32">
        <f>IF(TRIM(A442&amp;"")="","",IF(TRIM(M442&amp;"")&lt;&gt;"",TRIM(M442&amp;""),IFERROR(LEFT(TRIM(A442&amp;""),FIND(" ",TRIM(A442&amp;""))-1),TRIM(A442&amp;""))))</f>
        <v/>
      </c>
      <c r="AC442" s="32">
        <f>SUBSTITUTE(SUBSTITUTE(SUBSTITUTE(SUBSTITUTE(SUBSTITUTE(SUBSTITUTE(SUBSTITUTE(SUBSTITUTE(SUBSTITUTE(SUBSTITUTE(AB442,"%","%25"),"&amp;","%26"),"#","%23"),"+","%2B"),"=","%3D"),"?","%3F"),CHAR(34),"%22"),CHAR(10),"%0A"),CHAR(13),"")," ","+")</f>
        <v/>
      </c>
      <c r="AD442" s="32">
        <f>IF(OR(AA442="",AB442=""),"",'Start Here'!$B$20&amp;"#p="&amp;SUBSTITUTE(AA442,"+","%2B")&amp;"&amp;n="&amp;AC442&amp;"&amp;m="&amp;SUBSTITUTE('Start Here'!$B$24,"{name}",AC442))</f>
        <v/>
      </c>
      <c r="AE442" s="32">
        <f>LEN(AD442)</f>
        <v/>
      </c>
      <c r="AF442" s="32">
        <f>IF(AND(TRIM(A442&amp;"")&lt;&gt;"",OR(B442="Awaiting",B442="Not sure yet")),1,0)</f>
        <v/>
      </c>
      <c r="AG442" s="32">
        <f>N(AG441)+AF442</f>
        <v/>
      </c>
      <c r="AH442" s="32">
        <f>IF(AF442=1,AG442,"")</f>
        <v/>
      </c>
      <c r="AI442" s="32">
        <f>IF(AND(TRIM(A442&amp;"")&lt;&gt;"",L442&amp;""&lt;&gt;"",L442&amp;""=Seating!$I$3&amp;"",B442&lt;&gt;"Declined"),1,0)</f>
        <v/>
      </c>
      <c r="AJ442" s="32">
        <f>N(AJ441)+AI442</f>
        <v/>
      </c>
      <c r="AK442" s="32">
        <f>IF(AI442=1,AJ442,"")</f>
        <v/>
      </c>
    </row>
    <row r="443">
      <c r="A443" s="10" t="n"/>
      <c r="B443" s="47">
        <f>IF(TRIM(A443&amp;"")="","",IF(W443&lt;&gt;"",W443,IF(I443="","Awaiting",I443)))</f>
        <v/>
      </c>
      <c r="C443" s="60">
        <f>IF(OR(B443="Awaiting",B443="Not sure yet"),IF(AD443&lt;&gt;"",HYPERLINK(AD443,"💬 Remind"),"add mobile"),"")</f>
        <v/>
      </c>
      <c r="D443" s="58" t="n"/>
      <c r="E443" s="10" t="n"/>
      <c r="F443" s="10" t="n"/>
      <c r="G443" s="10" t="n"/>
      <c r="H443" s="10" t="n"/>
      <c r="I443" s="10" t="n"/>
      <c r="J443" s="10" t="n"/>
      <c r="K443" s="10" t="n"/>
      <c r="L443" s="56" t="n"/>
      <c r="M443" s="10" t="n"/>
      <c r="N443" s="12" t="n"/>
      <c r="O443" s="10" t="n"/>
      <c r="P443" s="10" t="n"/>
      <c r="Q443" s="61">
        <f>IF(V443="","",IF(T443="","Covered by "&amp;INDEX('Form Calc'!$B:$B,V443)&amp;"'s reply (same party)","Replied "&amp;TEXT(INDEX('Form Calc'!$A:$A,T443),"mm/dd")&amp;" · "&amp;INDEX('Form Calc'!$H:$H,T443)&amp;" adult(s), "&amp;INDEX('Form Calc'!$I:$I,T443)&amp;" child(ren)"&amp;IF(INDEX('Form Calc'!$K:$K,T443)&lt;&gt;""," · "&amp;INDEX('Form Calc'!$K:$K,T443),"")&amp;IF(INDEX('Form Calc'!$M:$M,T443)&lt;&gt;""," · “"&amp;INDEX('Form Calc'!$M:$M,T443)&amp;"”","")))</f>
        <v/>
      </c>
      <c r="R443" s="32">
        <f>SUBSTITUTE(SUBSTITUTE(SUBSTITUTE(SUBSTITUTE(SUBSTITUTE(SUBSTITUTE(SUBSTITUTE(SUBSTITUTE(D443&amp;""," ",""),"-",""),"(",""),")",""),".",""),"+",""),"/",""),CHAR(160),"")</f>
        <v/>
      </c>
      <c r="S443" s="32">
        <f>IF(LEN(R443)&gt;=10,RIGHT(R443,10),R443)</f>
        <v/>
      </c>
      <c r="T443" s="32">
        <f>IF(TRIM(A443&amp;"")="","",IF(S443&lt;&gt;"",IFERROR(MATCH(S443,'Form Calc'!$P:$P,0),IFERROR(MATCH(TRIM(A443&amp;""),'Form Calc'!$Q:$Q,0),"")),IFERROR(MATCH(TRIM(A443&amp;""),'Form Calc'!$Q:$Q,0),"")))</f>
        <v/>
      </c>
      <c r="U443" s="32">
        <f>IF(AND(T443&lt;&gt;"",TRIM(E443&amp;"")&lt;&gt;""),TRIM(E443&amp;""),"")</f>
        <v/>
      </c>
      <c r="V443" s="32">
        <f>IF(TRIM(A443&amp;"")="","",IF(T443&lt;&gt;"",T443,IF(TRIM(E443&amp;"")="","",IFERROR(INDEX($T$6:$T$505,MATCH(TRIM(E443&amp;""),$U$6:$U$505,0)),""))))</f>
        <v/>
      </c>
      <c r="W443" s="32">
        <f>IF(V443="","",INDEX('Form Calc'!$G:$G,V443))</f>
        <v/>
      </c>
      <c r="X443" s="32">
        <f>IF(TRIM(A443&amp;"")="","",IF(T443&lt;&gt;"",IF(INDEX('Form Calc'!$K:$K,T443)&lt;&gt;"",INDEX('Form Calc'!$K:$K,T443),J443&amp;""),J443&amp;""))</f>
        <v/>
      </c>
      <c r="Y443" s="32">
        <f>IF(TRIM(A443&amp;"")="","",IF(TRIM(D443&amp;"")&lt;&gt;"",TRIM(D443&amp;""),IF(T443&lt;&gt;"",INDEX('Form Calc'!$C:$C,T443)&amp;"","")))</f>
        <v/>
      </c>
      <c r="Z443" s="32">
        <f>SUBSTITUTE(SUBSTITUTE(SUBSTITUTE(SUBSTITUTE(SUBSTITUTE(SUBSTITUTE(SUBSTITUTE(SUBSTITUTE(Y443," ",""),"-",""),"(",""),")",""),".",""),"+",""),"/",""),CHAR(160),"")</f>
        <v/>
      </c>
      <c r="AA443" s="32">
        <f>IF(Z443="","",IF(LEN(Z443)=10,"+1"&amp;Z443,IF(AND(LEN(Z443)=11,LEFT(Z443,1)="1"),"+"&amp;Z443,IF(LEFT(Y443,1)="+","+"&amp;Z443,Z443))))</f>
        <v/>
      </c>
      <c r="AB443" s="32">
        <f>IF(TRIM(A443&amp;"")="","",IF(TRIM(M443&amp;"")&lt;&gt;"",TRIM(M443&amp;""),IFERROR(LEFT(TRIM(A443&amp;""),FIND(" ",TRIM(A443&amp;""))-1),TRIM(A443&amp;""))))</f>
        <v/>
      </c>
      <c r="AC443" s="32">
        <f>SUBSTITUTE(SUBSTITUTE(SUBSTITUTE(SUBSTITUTE(SUBSTITUTE(SUBSTITUTE(SUBSTITUTE(SUBSTITUTE(SUBSTITUTE(SUBSTITUTE(AB443,"%","%25"),"&amp;","%26"),"#","%23"),"+","%2B"),"=","%3D"),"?","%3F"),CHAR(34),"%22"),CHAR(10),"%0A"),CHAR(13),"")," ","+")</f>
        <v/>
      </c>
      <c r="AD443" s="32">
        <f>IF(OR(AA443="",AB443=""),"",'Start Here'!$B$20&amp;"#p="&amp;SUBSTITUTE(AA443,"+","%2B")&amp;"&amp;n="&amp;AC443&amp;"&amp;m="&amp;SUBSTITUTE('Start Here'!$B$24,"{name}",AC443))</f>
        <v/>
      </c>
      <c r="AE443" s="32">
        <f>LEN(AD443)</f>
        <v/>
      </c>
      <c r="AF443" s="32">
        <f>IF(AND(TRIM(A443&amp;"")&lt;&gt;"",OR(B443="Awaiting",B443="Not sure yet")),1,0)</f>
        <v/>
      </c>
      <c r="AG443" s="32">
        <f>N(AG442)+AF443</f>
        <v/>
      </c>
      <c r="AH443" s="32">
        <f>IF(AF443=1,AG443,"")</f>
        <v/>
      </c>
      <c r="AI443" s="32">
        <f>IF(AND(TRIM(A443&amp;"")&lt;&gt;"",L443&amp;""&lt;&gt;"",L443&amp;""=Seating!$I$3&amp;"",B443&lt;&gt;"Declined"),1,0)</f>
        <v/>
      </c>
      <c r="AJ443" s="32">
        <f>N(AJ442)+AI443</f>
        <v/>
      </c>
      <c r="AK443" s="32">
        <f>IF(AI443=1,AJ443,"")</f>
        <v/>
      </c>
    </row>
    <row r="444">
      <c r="A444" s="10" t="n"/>
      <c r="B444" s="47">
        <f>IF(TRIM(A444&amp;"")="","",IF(W444&lt;&gt;"",W444,IF(I444="","Awaiting",I444)))</f>
        <v/>
      </c>
      <c r="C444" s="60">
        <f>IF(OR(B444="Awaiting",B444="Not sure yet"),IF(AD444&lt;&gt;"",HYPERLINK(AD444,"💬 Remind"),"add mobile"),"")</f>
        <v/>
      </c>
      <c r="D444" s="58" t="n"/>
      <c r="E444" s="10" t="n"/>
      <c r="F444" s="10" t="n"/>
      <c r="G444" s="10" t="n"/>
      <c r="H444" s="10" t="n"/>
      <c r="I444" s="10" t="n"/>
      <c r="J444" s="10" t="n"/>
      <c r="K444" s="10" t="n"/>
      <c r="L444" s="56" t="n"/>
      <c r="M444" s="10" t="n"/>
      <c r="N444" s="12" t="n"/>
      <c r="O444" s="10" t="n"/>
      <c r="P444" s="10" t="n"/>
      <c r="Q444" s="61">
        <f>IF(V444="","",IF(T444="","Covered by "&amp;INDEX('Form Calc'!$B:$B,V444)&amp;"'s reply (same party)","Replied "&amp;TEXT(INDEX('Form Calc'!$A:$A,T444),"mm/dd")&amp;" · "&amp;INDEX('Form Calc'!$H:$H,T444)&amp;" adult(s), "&amp;INDEX('Form Calc'!$I:$I,T444)&amp;" child(ren)"&amp;IF(INDEX('Form Calc'!$K:$K,T444)&lt;&gt;""," · "&amp;INDEX('Form Calc'!$K:$K,T444),"")&amp;IF(INDEX('Form Calc'!$M:$M,T444)&lt;&gt;""," · “"&amp;INDEX('Form Calc'!$M:$M,T444)&amp;"”","")))</f>
        <v/>
      </c>
      <c r="R444" s="32">
        <f>SUBSTITUTE(SUBSTITUTE(SUBSTITUTE(SUBSTITUTE(SUBSTITUTE(SUBSTITUTE(SUBSTITUTE(SUBSTITUTE(D444&amp;""," ",""),"-",""),"(",""),")",""),".",""),"+",""),"/",""),CHAR(160),"")</f>
        <v/>
      </c>
      <c r="S444" s="32">
        <f>IF(LEN(R444)&gt;=10,RIGHT(R444,10),R444)</f>
        <v/>
      </c>
      <c r="T444" s="32">
        <f>IF(TRIM(A444&amp;"")="","",IF(S444&lt;&gt;"",IFERROR(MATCH(S444,'Form Calc'!$P:$P,0),IFERROR(MATCH(TRIM(A444&amp;""),'Form Calc'!$Q:$Q,0),"")),IFERROR(MATCH(TRIM(A444&amp;""),'Form Calc'!$Q:$Q,0),"")))</f>
        <v/>
      </c>
      <c r="U444" s="32">
        <f>IF(AND(T444&lt;&gt;"",TRIM(E444&amp;"")&lt;&gt;""),TRIM(E444&amp;""),"")</f>
        <v/>
      </c>
      <c r="V444" s="32">
        <f>IF(TRIM(A444&amp;"")="","",IF(T444&lt;&gt;"",T444,IF(TRIM(E444&amp;"")="","",IFERROR(INDEX($T$6:$T$505,MATCH(TRIM(E444&amp;""),$U$6:$U$505,0)),""))))</f>
        <v/>
      </c>
      <c r="W444" s="32">
        <f>IF(V444="","",INDEX('Form Calc'!$G:$G,V444))</f>
        <v/>
      </c>
      <c r="X444" s="32">
        <f>IF(TRIM(A444&amp;"")="","",IF(T444&lt;&gt;"",IF(INDEX('Form Calc'!$K:$K,T444)&lt;&gt;"",INDEX('Form Calc'!$K:$K,T444),J444&amp;""),J444&amp;""))</f>
        <v/>
      </c>
      <c r="Y444" s="32">
        <f>IF(TRIM(A444&amp;"")="","",IF(TRIM(D444&amp;"")&lt;&gt;"",TRIM(D444&amp;""),IF(T444&lt;&gt;"",INDEX('Form Calc'!$C:$C,T444)&amp;"","")))</f>
        <v/>
      </c>
      <c r="Z444" s="32">
        <f>SUBSTITUTE(SUBSTITUTE(SUBSTITUTE(SUBSTITUTE(SUBSTITUTE(SUBSTITUTE(SUBSTITUTE(SUBSTITUTE(Y444," ",""),"-",""),"(",""),")",""),".",""),"+",""),"/",""),CHAR(160),"")</f>
        <v/>
      </c>
      <c r="AA444" s="32">
        <f>IF(Z444="","",IF(LEN(Z444)=10,"+1"&amp;Z444,IF(AND(LEN(Z444)=11,LEFT(Z444,1)="1"),"+"&amp;Z444,IF(LEFT(Y444,1)="+","+"&amp;Z444,Z444))))</f>
        <v/>
      </c>
      <c r="AB444" s="32">
        <f>IF(TRIM(A444&amp;"")="","",IF(TRIM(M444&amp;"")&lt;&gt;"",TRIM(M444&amp;""),IFERROR(LEFT(TRIM(A444&amp;""),FIND(" ",TRIM(A444&amp;""))-1),TRIM(A444&amp;""))))</f>
        <v/>
      </c>
      <c r="AC444" s="32">
        <f>SUBSTITUTE(SUBSTITUTE(SUBSTITUTE(SUBSTITUTE(SUBSTITUTE(SUBSTITUTE(SUBSTITUTE(SUBSTITUTE(SUBSTITUTE(SUBSTITUTE(AB444,"%","%25"),"&amp;","%26"),"#","%23"),"+","%2B"),"=","%3D"),"?","%3F"),CHAR(34),"%22"),CHAR(10),"%0A"),CHAR(13),"")," ","+")</f>
        <v/>
      </c>
      <c r="AD444" s="32">
        <f>IF(OR(AA444="",AB444=""),"",'Start Here'!$B$20&amp;"#p="&amp;SUBSTITUTE(AA444,"+","%2B")&amp;"&amp;n="&amp;AC444&amp;"&amp;m="&amp;SUBSTITUTE('Start Here'!$B$24,"{name}",AC444))</f>
        <v/>
      </c>
      <c r="AE444" s="32">
        <f>LEN(AD444)</f>
        <v/>
      </c>
      <c r="AF444" s="32">
        <f>IF(AND(TRIM(A444&amp;"")&lt;&gt;"",OR(B444="Awaiting",B444="Not sure yet")),1,0)</f>
        <v/>
      </c>
      <c r="AG444" s="32">
        <f>N(AG443)+AF444</f>
        <v/>
      </c>
      <c r="AH444" s="32">
        <f>IF(AF444=1,AG444,"")</f>
        <v/>
      </c>
      <c r="AI444" s="32">
        <f>IF(AND(TRIM(A444&amp;"")&lt;&gt;"",L444&amp;""&lt;&gt;"",L444&amp;""=Seating!$I$3&amp;"",B444&lt;&gt;"Declined"),1,0)</f>
        <v/>
      </c>
      <c r="AJ444" s="32">
        <f>N(AJ443)+AI444</f>
        <v/>
      </c>
      <c r="AK444" s="32">
        <f>IF(AI444=1,AJ444,"")</f>
        <v/>
      </c>
    </row>
    <row r="445">
      <c r="A445" s="10" t="n"/>
      <c r="B445" s="47">
        <f>IF(TRIM(A445&amp;"")="","",IF(W445&lt;&gt;"",W445,IF(I445="","Awaiting",I445)))</f>
        <v/>
      </c>
      <c r="C445" s="60">
        <f>IF(OR(B445="Awaiting",B445="Not sure yet"),IF(AD445&lt;&gt;"",HYPERLINK(AD445,"💬 Remind"),"add mobile"),"")</f>
        <v/>
      </c>
      <c r="D445" s="58" t="n"/>
      <c r="E445" s="10" t="n"/>
      <c r="F445" s="10" t="n"/>
      <c r="G445" s="10" t="n"/>
      <c r="H445" s="10" t="n"/>
      <c r="I445" s="10" t="n"/>
      <c r="J445" s="10" t="n"/>
      <c r="K445" s="10" t="n"/>
      <c r="L445" s="56" t="n"/>
      <c r="M445" s="10" t="n"/>
      <c r="N445" s="12" t="n"/>
      <c r="O445" s="10" t="n"/>
      <c r="P445" s="10" t="n"/>
      <c r="Q445" s="61">
        <f>IF(V445="","",IF(T445="","Covered by "&amp;INDEX('Form Calc'!$B:$B,V445)&amp;"'s reply (same party)","Replied "&amp;TEXT(INDEX('Form Calc'!$A:$A,T445),"mm/dd")&amp;" · "&amp;INDEX('Form Calc'!$H:$H,T445)&amp;" adult(s), "&amp;INDEX('Form Calc'!$I:$I,T445)&amp;" child(ren)"&amp;IF(INDEX('Form Calc'!$K:$K,T445)&lt;&gt;""," · "&amp;INDEX('Form Calc'!$K:$K,T445),"")&amp;IF(INDEX('Form Calc'!$M:$M,T445)&lt;&gt;""," · “"&amp;INDEX('Form Calc'!$M:$M,T445)&amp;"”","")))</f>
        <v/>
      </c>
      <c r="R445" s="32">
        <f>SUBSTITUTE(SUBSTITUTE(SUBSTITUTE(SUBSTITUTE(SUBSTITUTE(SUBSTITUTE(SUBSTITUTE(SUBSTITUTE(D445&amp;""," ",""),"-",""),"(",""),")",""),".",""),"+",""),"/",""),CHAR(160),"")</f>
        <v/>
      </c>
      <c r="S445" s="32">
        <f>IF(LEN(R445)&gt;=10,RIGHT(R445,10),R445)</f>
        <v/>
      </c>
      <c r="T445" s="32">
        <f>IF(TRIM(A445&amp;"")="","",IF(S445&lt;&gt;"",IFERROR(MATCH(S445,'Form Calc'!$P:$P,0),IFERROR(MATCH(TRIM(A445&amp;""),'Form Calc'!$Q:$Q,0),"")),IFERROR(MATCH(TRIM(A445&amp;""),'Form Calc'!$Q:$Q,0),"")))</f>
        <v/>
      </c>
      <c r="U445" s="32">
        <f>IF(AND(T445&lt;&gt;"",TRIM(E445&amp;"")&lt;&gt;""),TRIM(E445&amp;""),"")</f>
        <v/>
      </c>
      <c r="V445" s="32">
        <f>IF(TRIM(A445&amp;"")="","",IF(T445&lt;&gt;"",T445,IF(TRIM(E445&amp;"")="","",IFERROR(INDEX($T$6:$T$505,MATCH(TRIM(E445&amp;""),$U$6:$U$505,0)),""))))</f>
        <v/>
      </c>
      <c r="W445" s="32">
        <f>IF(V445="","",INDEX('Form Calc'!$G:$G,V445))</f>
        <v/>
      </c>
      <c r="X445" s="32">
        <f>IF(TRIM(A445&amp;"")="","",IF(T445&lt;&gt;"",IF(INDEX('Form Calc'!$K:$K,T445)&lt;&gt;"",INDEX('Form Calc'!$K:$K,T445),J445&amp;""),J445&amp;""))</f>
        <v/>
      </c>
      <c r="Y445" s="32">
        <f>IF(TRIM(A445&amp;"")="","",IF(TRIM(D445&amp;"")&lt;&gt;"",TRIM(D445&amp;""),IF(T445&lt;&gt;"",INDEX('Form Calc'!$C:$C,T445)&amp;"","")))</f>
        <v/>
      </c>
      <c r="Z445" s="32">
        <f>SUBSTITUTE(SUBSTITUTE(SUBSTITUTE(SUBSTITUTE(SUBSTITUTE(SUBSTITUTE(SUBSTITUTE(SUBSTITUTE(Y445," ",""),"-",""),"(",""),")",""),".",""),"+",""),"/",""),CHAR(160),"")</f>
        <v/>
      </c>
      <c r="AA445" s="32">
        <f>IF(Z445="","",IF(LEN(Z445)=10,"+1"&amp;Z445,IF(AND(LEN(Z445)=11,LEFT(Z445,1)="1"),"+"&amp;Z445,IF(LEFT(Y445,1)="+","+"&amp;Z445,Z445))))</f>
        <v/>
      </c>
      <c r="AB445" s="32">
        <f>IF(TRIM(A445&amp;"")="","",IF(TRIM(M445&amp;"")&lt;&gt;"",TRIM(M445&amp;""),IFERROR(LEFT(TRIM(A445&amp;""),FIND(" ",TRIM(A445&amp;""))-1),TRIM(A445&amp;""))))</f>
        <v/>
      </c>
      <c r="AC445" s="32">
        <f>SUBSTITUTE(SUBSTITUTE(SUBSTITUTE(SUBSTITUTE(SUBSTITUTE(SUBSTITUTE(SUBSTITUTE(SUBSTITUTE(SUBSTITUTE(SUBSTITUTE(AB445,"%","%25"),"&amp;","%26"),"#","%23"),"+","%2B"),"=","%3D"),"?","%3F"),CHAR(34),"%22"),CHAR(10),"%0A"),CHAR(13),"")," ","+")</f>
        <v/>
      </c>
      <c r="AD445" s="32">
        <f>IF(OR(AA445="",AB445=""),"",'Start Here'!$B$20&amp;"#p="&amp;SUBSTITUTE(AA445,"+","%2B")&amp;"&amp;n="&amp;AC445&amp;"&amp;m="&amp;SUBSTITUTE('Start Here'!$B$24,"{name}",AC445))</f>
        <v/>
      </c>
      <c r="AE445" s="32">
        <f>LEN(AD445)</f>
        <v/>
      </c>
      <c r="AF445" s="32">
        <f>IF(AND(TRIM(A445&amp;"")&lt;&gt;"",OR(B445="Awaiting",B445="Not sure yet")),1,0)</f>
        <v/>
      </c>
      <c r="AG445" s="32">
        <f>N(AG444)+AF445</f>
        <v/>
      </c>
      <c r="AH445" s="32">
        <f>IF(AF445=1,AG445,"")</f>
        <v/>
      </c>
      <c r="AI445" s="32">
        <f>IF(AND(TRIM(A445&amp;"")&lt;&gt;"",L445&amp;""&lt;&gt;"",L445&amp;""=Seating!$I$3&amp;"",B445&lt;&gt;"Declined"),1,0)</f>
        <v/>
      </c>
      <c r="AJ445" s="32">
        <f>N(AJ444)+AI445</f>
        <v/>
      </c>
      <c r="AK445" s="32">
        <f>IF(AI445=1,AJ445,"")</f>
        <v/>
      </c>
    </row>
    <row r="446">
      <c r="A446" s="10" t="n"/>
      <c r="B446" s="47">
        <f>IF(TRIM(A446&amp;"")="","",IF(W446&lt;&gt;"",W446,IF(I446="","Awaiting",I446)))</f>
        <v/>
      </c>
      <c r="C446" s="60">
        <f>IF(OR(B446="Awaiting",B446="Not sure yet"),IF(AD446&lt;&gt;"",HYPERLINK(AD446,"💬 Remind"),"add mobile"),"")</f>
        <v/>
      </c>
      <c r="D446" s="58" t="n"/>
      <c r="E446" s="10" t="n"/>
      <c r="F446" s="10" t="n"/>
      <c r="G446" s="10" t="n"/>
      <c r="H446" s="10" t="n"/>
      <c r="I446" s="10" t="n"/>
      <c r="J446" s="10" t="n"/>
      <c r="K446" s="10" t="n"/>
      <c r="L446" s="56" t="n"/>
      <c r="M446" s="10" t="n"/>
      <c r="N446" s="12" t="n"/>
      <c r="O446" s="10" t="n"/>
      <c r="P446" s="10" t="n"/>
      <c r="Q446" s="61">
        <f>IF(V446="","",IF(T446="","Covered by "&amp;INDEX('Form Calc'!$B:$B,V446)&amp;"'s reply (same party)","Replied "&amp;TEXT(INDEX('Form Calc'!$A:$A,T446),"mm/dd")&amp;" · "&amp;INDEX('Form Calc'!$H:$H,T446)&amp;" adult(s), "&amp;INDEX('Form Calc'!$I:$I,T446)&amp;" child(ren)"&amp;IF(INDEX('Form Calc'!$K:$K,T446)&lt;&gt;""," · "&amp;INDEX('Form Calc'!$K:$K,T446),"")&amp;IF(INDEX('Form Calc'!$M:$M,T446)&lt;&gt;""," · “"&amp;INDEX('Form Calc'!$M:$M,T446)&amp;"”","")))</f>
        <v/>
      </c>
      <c r="R446" s="32">
        <f>SUBSTITUTE(SUBSTITUTE(SUBSTITUTE(SUBSTITUTE(SUBSTITUTE(SUBSTITUTE(SUBSTITUTE(SUBSTITUTE(D446&amp;""," ",""),"-",""),"(",""),")",""),".",""),"+",""),"/",""),CHAR(160),"")</f>
        <v/>
      </c>
      <c r="S446" s="32">
        <f>IF(LEN(R446)&gt;=10,RIGHT(R446,10),R446)</f>
        <v/>
      </c>
      <c r="T446" s="32">
        <f>IF(TRIM(A446&amp;"")="","",IF(S446&lt;&gt;"",IFERROR(MATCH(S446,'Form Calc'!$P:$P,0),IFERROR(MATCH(TRIM(A446&amp;""),'Form Calc'!$Q:$Q,0),"")),IFERROR(MATCH(TRIM(A446&amp;""),'Form Calc'!$Q:$Q,0),"")))</f>
        <v/>
      </c>
      <c r="U446" s="32">
        <f>IF(AND(T446&lt;&gt;"",TRIM(E446&amp;"")&lt;&gt;""),TRIM(E446&amp;""),"")</f>
        <v/>
      </c>
      <c r="V446" s="32">
        <f>IF(TRIM(A446&amp;"")="","",IF(T446&lt;&gt;"",T446,IF(TRIM(E446&amp;"")="","",IFERROR(INDEX($T$6:$T$505,MATCH(TRIM(E446&amp;""),$U$6:$U$505,0)),""))))</f>
        <v/>
      </c>
      <c r="W446" s="32">
        <f>IF(V446="","",INDEX('Form Calc'!$G:$G,V446))</f>
        <v/>
      </c>
      <c r="X446" s="32">
        <f>IF(TRIM(A446&amp;"")="","",IF(T446&lt;&gt;"",IF(INDEX('Form Calc'!$K:$K,T446)&lt;&gt;"",INDEX('Form Calc'!$K:$K,T446),J446&amp;""),J446&amp;""))</f>
        <v/>
      </c>
      <c r="Y446" s="32">
        <f>IF(TRIM(A446&amp;"")="","",IF(TRIM(D446&amp;"")&lt;&gt;"",TRIM(D446&amp;""),IF(T446&lt;&gt;"",INDEX('Form Calc'!$C:$C,T446)&amp;"","")))</f>
        <v/>
      </c>
      <c r="Z446" s="32">
        <f>SUBSTITUTE(SUBSTITUTE(SUBSTITUTE(SUBSTITUTE(SUBSTITUTE(SUBSTITUTE(SUBSTITUTE(SUBSTITUTE(Y446," ",""),"-",""),"(",""),")",""),".",""),"+",""),"/",""),CHAR(160),"")</f>
        <v/>
      </c>
      <c r="AA446" s="32">
        <f>IF(Z446="","",IF(LEN(Z446)=10,"+1"&amp;Z446,IF(AND(LEN(Z446)=11,LEFT(Z446,1)="1"),"+"&amp;Z446,IF(LEFT(Y446,1)="+","+"&amp;Z446,Z446))))</f>
        <v/>
      </c>
      <c r="AB446" s="32">
        <f>IF(TRIM(A446&amp;"")="","",IF(TRIM(M446&amp;"")&lt;&gt;"",TRIM(M446&amp;""),IFERROR(LEFT(TRIM(A446&amp;""),FIND(" ",TRIM(A446&amp;""))-1),TRIM(A446&amp;""))))</f>
        <v/>
      </c>
      <c r="AC446" s="32">
        <f>SUBSTITUTE(SUBSTITUTE(SUBSTITUTE(SUBSTITUTE(SUBSTITUTE(SUBSTITUTE(SUBSTITUTE(SUBSTITUTE(SUBSTITUTE(SUBSTITUTE(AB446,"%","%25"),"&amp;","%26"),"#","%23"),"+","%2B"),"=","%3D"),"?","%3F"),CHAR(34),"%22"),CHAR(10),"%0A"),CHAR(13),"")," ","+")</f>
        <v/>
      </c>
      <c r="AD446" s="32">
        <f>IF(OR(AA446="",AB446=""),"",'Start Here'!$B$20&amp;"#p="&amp;SUBSTITUTE(AA446,"+","%2B")&amp;"&amp;n="&amp;AC446&amp;"&amp;m="&amp;SUBSTITUTE('Start Here'!$B$24,"{name}",AC446))</f>
        <v/>
      </c>
      <c r="AE446" s="32">
        <f>LEN(AD446)</f>
        <v/>
      </c>
      <c r="AF446" s="32">
        <f>IF(AND(TRIM(A446&amp;"")&lt;&gt;"",OR(B446="Awaiting",B446="Not sure yet")),1,0)</f>
        <v/>
      </c>
      <c r="AG446" s="32">
        <f>N(AG445)+AF446</f>
        <v/>
      </c>
      <c r="AH446" s="32">
        <f>IF(AF446=1,AG446,"")</f>
        <v/>
      </c>
      <c r="AI446" s="32">
        <f>IF(AND(TRIM(A446&amp;"")&lt;&gt;"",L446&amp;""&lt;&gt;"",L446&amp;""=Seating!$I$3&amp;"",B446&lt;&gt;"Declined"),1,0)</f>
        <v/>
      </c>
      <c r="AJ446" s="32">
        <f>N(AJ445)+AI446</f>
        <v/>
      </c>
      <c r="AK446" s="32">
        <f>IF(AI446=1,AJ446,"")</f>
        <v/>
      </c>
    </row>
    <row r="447">
      <c r="A447" s="10" t="n"/>
      <c r="B447" s="47">
        <f>IF(TRIM(A447&amp;"")="","",IF(W447&lt;&gt;"",W447,IF(I447="","Awaiting",I447)))</f>
        <v/>
      </c>
      <c r="C447" s="60">
        <f>IF(OR(B447="Awaiting",B447="Not sure yet"),IF(AD447&lt;&gt;"",HYPERLINK(AD447,"💬 Remind"),"add mobile"),"")</f>
        <v/>
      </c>
      <c r="D447" s="58" t="n"/>
      <c r="E447" s="10" t="n"/>
      <c r="F447" s="10" t="n"/>
      <c r="G447" s="10" t="n"/>
      <c r="H447" s="10" t="n"/>
      <c r="I447" s="10" t="n"/>
      <c r="J447" s="10" t="n"/>
      <c r="K447" s="10" t="n"/>
      <c r="L447" s="56" t="n"/>
      <c r="M447" s="10" t="n"/>
      <c r="N447" s="12" t="n"/>
      <c r="O447" s="10" t="n"/>
      <c r="P447" s="10" t="n"/>
      <c r="Q447" s="61">
        <f>IF(V447="","",IF(T447="","Covered by "&amp;INDEX('Form Calc'!$B:$B,V447)&amp;"'s reply (same party)","Replied "&amp;TEXT(INDEX('Form Calc'!$A:$A,T447),"mm/dd")&amp;" · "&amp;INDEX('Form Calc'!$H:$H,T447)&amp;" adult(s), "&amp;INDEX('Form Calc'!$I:$I,T447)&amp;" child(ren)"&amp;IF(INDEX('Form Calc'!$K:$K,T447)&lt;&gt;""," · "&amp;INDEX('Form Calc'!$K:$K,T447),"")&amp;IF(INDEX('Form Calc'!$M:$M,T447)&lt;&gt;""," · “"&amp;INDEX('Form Calc'!$M:$M,T447)&amp;"”","")))</f>
        <v/>
      </c>
      <c r="R447" s="32">
        <f>SUBSTITUTE(SUBSTITUTE(SUBSTITUTE(SUBSTITUTE(SUBSTITUTE(SUBSTITUTE(SUBSTITUTE(SUBSTITUTE(D447&amp;""," ",""),"-",""),"(",""),")",""),".",""),"+",""),"/",""),CHAR(160),"")</f>
        <v/>
      </c>
      <c r="S447" s="32">
        <f>IF(LEN(R447)&gt;=10,RIGHT(R447,10),R447)</f>
        <v/>
      </c>
      <c r="T447" s="32">
        <f>IF(TRIM(A447&amp;"")="","",IF(S447&lt;&gt;"",IFERROR(MATCH(S447,'Form Calc'!$P:$P,0),IFERROR(MATCH(TRIM(A447&amp;""),'Form Calc'!$Q:$Q,0),"")),IFERROR(MATCH(TRIM(A447&amp;""),'Form Calc'!$Q:$Q,0),"")))</f>
        <v/>
      </c>
      <c r="U447" s="32">
        <f>IF(AND(T447&lt;&gt;"",TRIM(E447&amp;"")&lt;&gt;""),TRIM(E447&amp;""),"")</f>
        <v/>
      </c>
      <c r="V447" s="32">
        <f>IF(TRIM(A447&amp;"")="","",IF(T447&lt;&gt;"",T447,IF(TRIM(E447&amp;"")="","",IFERROR(INDEX($T$6:$T$505,MATCH(TRIM(E447&amp;""),$U$6:$U$505,0)),""))))</f>
        <v/>
      </c>
      <c r="W447" s="32">
        <f>IF(V447="","",INDEX('Form Calc'!$G:$G,V447))</f>
        <v/>
      </c>
      <c r="X447" s="32">
        <f>IF(TRIM(A447&amp;"")="","",IF(T447&lt;&gt;"",IF(INDEX('Form Calc'!$K:$K,T447)&lt;&gt;"",INDEX('Form Calc'!$K:$K,T447),J447&amp;""),J447&amp;""))</f>
        <v/>
      </c>
      <c r="Y447" s="32">
        <f>IF(TRIM(A447&amp;"")="","",IF(TRIM(D447&amp;"")&lt;&gt;"",TRIM(D447&amp;""),IF(T447&lt;&gt;"",INDEX('Form Calc'!$C:$C,T447)&amp;"","")))</f>
        <v/>
      </c>
      <c r="Z447" s="32">
        <f>SUBSTITUTE(SUBSTITUTE(SUBSTITUTE(SUBSTITUTE(SUBSTITUTE(SUBSTITUTE(SUBSTITUTE(SUBSTITUTE(Y447," ",""),"-",""),"(",""),")",""),".",""),"+",""),"/",""),CHAR(160),"")</f>
        <v/>
      </c>
      <c r="AA447" s="32">
        <f>IF(Z447="","",IF(LEN(Z447)=10,"+1"&amp;Z447,IF(AND(LEN(Z447)=11,LEFT(Z447,1)="1"),"+"&amp;Z447,IF(LEFT(Y447,1)="+","+"&amp;Z447,Z447))))</f>
        <v/>
      </c>
      <c r="AB447" s="32">
        <f>IF(TRIM(A447&amp;"")="","",IF(TRIM(M447&amp;"")&lt;&gt;"",TRIM(M447&amp;""),IFERROR(LEFT(TRIM(A447&amp;""),FIND(" ",TRIM(A447&amp;""))-1),TRIM(A447&amp;""))))</f>
        <v/>
      </c>
      <c r="AC447" s="32">
        <f>SUBSTITUTE(SUBSTITUTE(SUBSTITUTE(SUBSTITUTE(SUBSTITUTE(SUBSTITUTE(SUBSTITUTE(SUBSTITUTE(SUBSTITUTE(SUBSTITUTE(AB447,"%","%25"),"&amp;","%26"),"#","%23"),"+","%2B"),"=","%3D"),"?","%3F"),CHAR(34),"%22"),CHAR(10),"%0A"),CHAR(13),"")," ","+")</f>
        <v/>
      </c>
      <c r="AD447" s="32">
        <f>IF(OR(AA447="",AB447=""),"",'Start Here'!$B$20&amp;"#p="&amp;SUBSTITUTE(AA447,"+","%2B")&amp;"&amp;n="&amp;AC447&amp;"&amp;m="&amp;SUBSTITUTE('Start Here'!$B$24,"{name}",AC447))</f>
        <v/>
      </c>
      <c r="AE447" s="32">
        <f>LEN(AD447)</f>
        <v/>
      </c>
      <c r="AF447" s="32">
        <f>IF(AND(TRIM(A447&amp;"")&lt;&gt;"",OR(B447="Awaiting",B447="Not sure yet")),1,0)</f>
        <v/>
      </c>
      <c r="AG447" s="32">
        <f>N(AG446)+AF447</f>
        <v/>
      </c>
      <c r="AH447" s="32">
        <f>IF(AF447=1,AG447,"")</f>
        <v/>
      </c>
      <c r="AI447" s="32">
        <f>IF(AND(TRIM(A447&amp;"")&lt;&gt;"",L447&amp;""&lt;&gt;"",L447&amp;""=Seating!$I$3&amp;"",B447&lt;&gt;"Declined"),1,0)</f>
        <v/>
      </c>
      <c r="AJ447" s="32">
        <f>N(AJ446)+AI447</f>
        <v/>
      </c>
      <c r="AK447" s="32">
        <f>IF(AI447=1,AJ447,"")</f>
        <v/>
      </c>
    </row>
    <row r="448">
      <c r="A448" s="10" t="n"/>
      <c r="B448" s="47">
        <f>IF(TRIM(A448&amp;"")="","",IF(W448&lt;&gt;"",W448,IF(I448="","Awaiting",I448)))</f>
        <v/>
      </c>
      <c r="C448" s="60">
        <f>IF(OR(B448="Awaiting",B448="Not sure yet"),IF(AD448&lt;&gt;"",HYPERLINK(AD448,"💬 Remind"),"add mobile"),"")</f>
        <v/>
      </c>
      <c r="D448" s="58" t="n"/>
      <c r="E448" s="10" t="n"/>
      <c r="F448" s="10" t="n"/>
      <c r="G448" s="10" t="n"/>
      <c r="H448" s="10" t="n"/>
      <c r="I448" s="10" t="n"/>
      <c r="J448" s="10" t="n"/>
      <c r="K448" s="10" t="n"/>
      <c r="L448" s="56" t="n"/>
      <c r="M448" s="10" t="n"/>
      <c r="N448" s="12" t="n"/>
      <c r="O448" s="10" t="n"/>
      <c r="P448" s="10" t="n"/>
      <c r="Q448" s="61">
        <f>IF(V448="","",IF(T448="","Covered by "&amp;INDEX('Form Calc'!$B:$B,V448)&amp;"'s reply (same party)","Replied "&amp;TEXT(INDEX('Form Calc'!$A:$A,T448),"mm/dd")&amp;" · "&amp;INDEX('Form Calc'!$H:$H,T448)&amp;" adult(s), "&amp;INDEX('Form Calc'!$I:$I,T448)&amp;" child(ren)"&amp;IF(INDEX('Form Calc'!$K:$K,T448)&lt;&gt;""," · "&amp;INDEX('Form Calc'!$K:$K,T448),"")&amp;IF(INDEX('Form Calc'!$M:$M,T448)&lt;&gt;""," · “"&amp;INDEX('Form Calc'!$M:$M,T448)&amp;"”","")))</f>
        <v/>
      </c>
      <c r="R448" s="32">
        <f>SUBSTITUTE(SUBSTITUTE(SUBSTITUTE(SUBSTITUTE(SUBSTITUTE(SUBSTITUTE(SUBSTITUTE(SUBSTITUTE(D448&amp;""," ",""),"-",""),"(",""),")",""),".",""),"+",""),"/",""),CHAR(160),"")</f>
        <v/>
      </c>
      <c r="S448" s="32">
        <f>IF(LEN(R448)&gt;=10,RIGHT(R448,10),R448)</f>
        <v/>
      </c>
      <c r="T448" s="32">
        <f>IF(TRIM(A448&amp;"")="","",IF(S448&lt;&gt;"",IFERROR(MATCH(S448,'Form Calc'!$P:$P,0),IFERROR(MATCH(TRIM(A448&amp;""),'Form Calc'!$Q:$Q,0),"")),IFERROR(MATCH(TRIM(A448&amp;""),'Form Calc'!$Q:$Q,0),"")))</f>
        <v/>
      </c>
      <c r="U448" s="32">
        <f>IF(AND(T448&lt;&gt;"",TRIM(E448&amp;"")&lt;&gt;""),TRIM(E448&amp;""),"")</f>
        <v/>
      </c>
      <c r="V448" s="32">
        <f>IF(TRIM(A448&amp;"")="","",IF(T448&lt;&gt;"",T448,IF(TRIM(E448&amp;"")="","",IFERROR(INDEX($T$6:$T$505,MATCH(TRIM(E448&amp;""),$U$6:$U$505,0)),""))))</f>
        <v/>
      </c>
      <c r="W448" s="32">
        <f>IF(V448="","",INDEX('Form Calc'!$G:$G,V448))</f>
        <v/>
      </c>
      <c r="X448" s="32">
        <f>IF(TRIM(A448&amp;"")="","",IF(T448&lt;&gt;"",IF(INDEX('Form Calc'!$K:$K,T448)&lt;&gt;"",INDEX('Form Calc'!$K:$K,T448),J448&amp;""),J448&amp;""))</f>
        <v/>
      </c>
      <c r="Y448" s="32">
        <f>IF(TRIM(A448&amp;"")="","",IF(TRIM(D448&amp;"")&lt;&gt;"",TRIM(D448&amp;""),IF(T448&lt;&gt;"",INDEX('Form Calc'!$C:$C,T448)&amp;"","")))</f>
        <v/>
      </c>
      <c r="Z448" s="32">
        <f>SUBSTITUTE(SUBSTITUTE(SUBSTITUTE(SUBSTITUTE(SUBSTITUTE(SUBSTITUTE(SUBSTITUTE(SUBSTITUTE(Y448," ",""),"-",""),"(",""),")",""),".",""),"+",""),"/",""),CHAR(160),"")</f>
        <v/>
      </c>
      <c r="AA448" s="32">
        <f>IF(Z448="","",IF(LEN(Z448)=10,"+1"&amp;Z448,IF(AND(LEN(Z448)=11,LEFT(Z448,1)="1"),"+"&amp;Z448,IF(LEFT(Y448,1)="+","+"&amp;Z448,Z448))))</f>
        <v/>
      </c>
      <c r="AB448" s="32">
        <f>IF(TRIM(A448&amp;"")="","",IF(TRIM(M448&amp;"")&lt;&gt;"",TRIM(M448&amp;""),IFERROR(LEFT(TRIM(A448&amp;""),FIND(" ",TRIM(A448&amp;""))-1),TRIM(A448&amp;""))))</f>
        <v/>
      </c>
      <c r="AC448" s="32">
        <f>SUBSTITUTE(SUBSTITUTE(SUBSTITUTE(SUBSTITUTE(SUBSTITUTE(SUBSTITUTE(SUBSTITUTE(SUBSTITUTE(SUBSTITUTE(SUBSTITUTE(AB448,"%","%25"),"&amp;","%26"),"#","%23"),"+","%2B"),"=","%3D"),"?","%3F"),CHAR(34),"%22"),CHAR(10),"%0A"),CHAR(13),"")," ","+")</f>
        <v/>
      </c>
      <c r="AD448" s="32">
        <f>IF(OR(AA448="",AB448=""),"",'Start Here'!$B$20&amp;"#p="&amp;SUBSTITUTE(AA448,"+","%2B")&amp;"&amp;n="&amp;AC448&amp;"&amp;m="&amp;SUBSTITUTE('Start Here'!$B$24,"{name}",AC448))</f>
        <v/>
      </c>
      <c r="AE448" s="32">
        <f>LEN(AD448)</f>
        <v/>
      </c>
      <c r="AF448" s="32">
        <f>IF(AND(TRIM(A448&amp;"")&lt;&gt;"",OR(B448="Awaiting",B448="Not sure yet")),1,0)</f>
        <v/>
      </c>
      <c r="AG448" s="32">
        <f>N(AG447)+AF448</f>
        <v/>
      </c>
      <c r="AH448" s="32">
        <f>IF(AF448=1,AG448,"")</f>
        <v/>
      </c>
      <c r="AI448" s="32">
        <f>IF(AND(TRIM(A448&amp;"")&lt;&gt;"",L448&amp;""&lt;&gt;"",L448&amp;""=Seating!$I$3&amp;"",B448&lt;&gt;"Declined"),1,0)</f>
        <v/>
      </c>
      <c r="AJ448" s="32">
        <f>N(AJ447)+AI448</f>
        <v/>
      </c>
      <c r="AK448" s="32">
        <f>IF(AI448=1,AJ448,"")</f>
        <v/>
      </c>
    </row>
    <row r="449">
      <c r="A449" s="10" t="n"/>
      <c r="B449" s="47">
        <f>IF(TRIM(A449&amp;"")="","",IF(W449&lt;&gt;"",W449,IF(I449="","Awaiting",I449)))</f>
        <v/>
      </c>
      <c r="C449" s="60">
        <f>IF(OR(B449="Awaiting",B449="Not sure yet"),IF(AD449&lt;&gt;"",HYPERLINK(AD449,"💬 Remind"),"add mobile"),"")</f>
        <v/>
      </c>
      <c r="D449" s="58" t="n"/>
      <c r="E449" s="10" t="n"/>
      <c r="F449" s="10" t="n"/>
      <c r="G449" s="10" t="n"/>
      <c r="H449" s="10" t="n"/>
      <c r="I449" s="10" t="n"/>
      <c r="J449" s="10" t="n"/>
      <c r="K449" s="10" t="n"/>
      <c r="L449" s="56" t="n"/>
      <c r="M449" s="10" t="n"/>
      <c r="N449" s="12" t="n"/>
      <c r="O449" s="10" t="n"/>
      <c r="P449" s="10" t="n"/>
      <c r="Q449" s="61">
        <f>IF(V449="","",IF(T449="","Covered by "&amp;INDEX('Form Calc'!$B:$B,V449)&amp;"'s reply (same party)","Replied "&amp;TEXT(INDEX('Form Calc'!$A:$A,T449),"mm/dd")&amp;" · "&amp;INDEX('Form Calc'!$H:$H,T449)&amp;" adult(s), "&amp;INDEX('Form Calc'!$I:$I,T449)&amp;" child(ren)"&amp;IF(INDEX('Form Calc'!$K:$K,T449)&lt;&gt;""," · "&amp;INDEX('Form Calc'!$K:$K,T449),"")&amp;IF(INDEX('Form Calc'!$M:$M,T449)&lt;&gt;""," · “"&amp;INDEX('Form Calc'!$M:$M,T449)&amp;"”","")))</f>
        <v/>
      </c>
      <c r="R449" s="32">
        <f>SUBSTITUTE(SUBSTITUTE(SUBSTITUTE(SUBSTITUTE(SUBSTITUTE(SUBSTITUTE(SUBSTITUTE(SUBSTITUTE(D449&amp;""," ",""),"-",""),"(",""),")",""),".",""),"+",""),"/",""),CHAR(160),"")</f>
        <v/>
      </c>
      <c r="S449" s="32">
        <f>IF(LEN(R449)&gt;=10,RIGHT(R449,10),R449)</f>
        <v/>
      </c>
      <c r="T449" s="32">
        <f>IF(TRIM(A449&amp;"")="","",IF(S449&lt;&gt;"",IFERROR(MATCH(S449,'Form Calc'!$P:$P,0),IFERROR(MATCH(TRIM(A449&amp;""),'Form Calc'!$Q:$Q,0),"")),IFERROR(MATCH(TRIM(A449&amp;""),'Form Calc'!$Q:$Q,0),"")))</f>
        <v/>
      </c>
      <c r="U449" s="32">
        <f>IF(AND(T449&lt;&gt;"",TRIM(E449&amp;"")&lt;&gt;""),TRIM(E449&amp;""),"")</f>
        <v/>
      </c>
      <c r="V449" s="32">
        <f>IF(TRIM(A449&amp;"")="","",IF(T449&lt;&gt;"",T449,IF(TRIM(E449&amp;"")="","",IFERROR(INDEX($T$6:$T$505,MATCH(TRIM(E449&amp;""),$U$6:$U$505,0)),""))))</f>
        <v/>
      </c>
      <c r="W449" s="32">
        <f>IF(V449="","",INDEX('Form Calc'!$G:$G,V449))</f>
        <v/>
      </c>
      <c r="X449" s="32">
        <f>IF(TRIM(A449&amp;"")="","",IF(T449&lt;&gt;"",IF(INDEX('Form Calc'!$K:$K,T449)&lt;&gt;"",INDEX('Form Calc'!$K:$K,T449),J449&amp;""),J449&amp;""))</f>
        <v/>
      </c>
      <c r="Y449" s="32">
        <f>IF(TRIM(A449&amp;"")="","",IF(TRIM(D449&amp;"")&lt;&gt;"",TRIM(D449&amp;""),IF(T449&lt;&gt;"",INDEX('Form Calc'!$C:$C,T449)&amp;"","")))</f>
        <v/>
      </c>
      <c r="Z449" s="32">
        <f>SUBSTITUTE(SUBSTITUTE(SUBSTITUTE(SUBSTITUTE(SUBSTITUTE(SUBSTITUTE(SUBSTITUTE(SUBSTITUTE(Y449," ",""),"-",""),"(",""),")",""),".",""),"+",""),"/",""),CHAR(160),"")</f>
        <v/>
      </c>
      <c r="AA449" s="32">
        <f>IF(Z449="","",IF(LEN(Z449)=10,"+1"&amp;Z449,IF(AND(LEN(Z449)=11,LEFT(Z449,1)="1"),"+"&amp;Z449,IF(LEFT(Y449,1)="+","+"&amp;Z449,Z449))))</f>
        <v/>
      </c>
      <c r="AB449" s="32">
        <f>IF(TRIM(A449&amp;"")="","",IF(TRIM(M449&amp;"")&lt;&gt;"",TRIM(M449&amp;""),IFERROR(LEFT(TRIM(A449&amp;""),FIND(" ",TRIM(A449&amp;""))-1),TRIM(A449&amp;""))))</f>
        <v/>
      </c>
      <c r="AC449" s="32">
        <f>SUBSTITUTE(SUBSTITUTE(SUBSTITUTE(SUBSTITUTE(SUBSTITUTE(SUBSTITUTE(SUBSTITUTE(SUBSTITUTE(SUBSTITUTE(SUBSTITUTE(AB449,"%","%25"),"&amp;","%26"),"#","%23"),"+","%2B"),"=","%3D"),"?","%3F"),CHAR(34),"%22"),CHAR(10),"%0A"),CHAR(13),"")," ","+")</f>
        <v/>
      </c>
      <c r="AD449" s="32">
        <f>IF(OR(AA449="",AB449=""),"",'Start Here'!$B$20&amp;"#p="&amp;SUBSTITUTE(AA449,"+","%2B")&amp;"&amp;n="&amp;AC449&amp;"&amp;m="&amp;SUBSTITUTE('Start Here'!$B$24,"{name}",AC449))</f>
        <v/>
      </c>
      <c r="AE449" s="32">
        <f>LEN(AD449)</f>
        <v/>
      </c>
      <c r="AF449" s="32">
        <f>IF(AND(TRIM(A449&amp;"")&lt;&gt;"",OR(B449="Awaiting",B449="Not sure yet")),1,0)</f>
        <v/>
      </c>
      <c r="AG449" s="32">
        <f>N(AG448)+AF449</f>
        <v/>
      </c>
      <c r="AH449" s="32">
        <f>IF(AF449=1,AG449,"")</f>
        <v/>
      </c>
      <c r="AI449" s="32">
        <f>IF(AND(TRIM(A449&amp;"")&lt;&gt;"",L449&amp;""&lt;&gt;"",L449&amp;""=Seating!$I$3&amp;"",B449&lt;&gt;"Declined"),1,0)</f>
        <v/>
      </c>
      <c r="AJ449" s="32">
        <f>N(AJ448)+AI449</f>
        <v/>
      </c>
      <c r="AK449" s="32">
        <f>IF(AI449=1,AJ449,"")</f>
        <v/>
      </c>
    </row>
    <row r="450">
      <c r="A450" s="10" t="n"/>
      <c r="B450" s="47">
        <f>IF(TRIM(A450&amp;"")="","",IF(W450&lt;&gt;"",W450,IF(I450="","Awaiting",I450)))</f>
        <v/>
      </c>
      <c r="C450" s="60">
        <f>IF(OR(B450="Awaiting",B450="Not sure yet"),IF(AD450&lt;&gt;"",HYPERLINK(AD450,"💬 Remind"),"add mobile"),"")</f>
        <v/>
      </c>
      <c r="D450" s="58" t="n"/>
      <c r="E450" s="10" t="n"/>
      <c r="F450" s="10" t="n"/>
      <c r="G450" s="10" t="n"/>
      <c r="H450" s="10" t="n"/>
      <c r="I450" s="10" t="n"/>
      <c r="J450" s="10" t="n"/>
      <c r="K450" s="10" t="n"/>
      <c r="L450" s="56" t="n"/>
      <c r="M450" s="10" t="n"/>
      <c r="N450" s="12" t="n"/>
      <c r="O450" s="10" t="n"/>
      <c r="P450" s="10" t="n"/>
      <c r="Q450" s="61">
        <f>IF(V450="","",IF(T450="","Covered by "&amp;INDEX('Form Calc'!$B:$B,V450)&amp;"'s reply (same party)","Replied "&amp;TEXT(INDEX('Form Calc'!$A:$A,T450),"mm/dd")&amp;" · "&amp;INDEX('Form Calc'!$H:$H,T450)&amp;" adult(s), "&amp;INDEX('Form Calc'!$I:$I,T450)&amp;" child(ren)"&amp;IF(INDEX('Form Calc'!$K:$K,T450)&lt;&gt;""," · "&amp;INDEX('Form Calc'!$K:$K,T450),"")&amp;IF(INDEX('Form Calc'!$M:$M,T450)&lt;&gt;""," · “"&amp;INDEX('Form Calc'!$M:$M,T450)&amp;"”","")))</f>
        <v/>
      </c>
      <c r="R450" s="32">
        <f>SUBSTITUTE(SUBSTITUTE(SUBSTITUTE(SUBSTITUTE(SUBSTITUTE(SUBSTITUTE(SUBSTITUTE(SUBSTITUTE(D450&amp;""," ",""),"-",""),"(",""),")",""),".",""),"+",""),"/",""),CHAR(160),"")</f>
        <v/>
      </c>
      <c r="S450" s="32">
        <f>IF(LEN(R450)&gt;=10,RIGHT(R450,10),R450)</f>
        <v/>
      </c>
      <c r="T450" s="32">
        <f>IF(TRIM(A450&amp;"")="","",IF(S450&lt;&gt;"",IFERROR(MATCH(S450,'Form Calc'!$P:$P,0),IFERROR(MATCH(TRIM(A450&amp;""),'Form Calc'!$Q:$Q,0),"")),IFERROR(MATCH(TRIM(A450&amp;""),'Form Calc'!$Q:$Q,0),"")))</f>
        <v/>
      </c>
      <c r="U450" s="32">
        <f>IF(AND(T450&lt;&gt;"",TRIM(E450&amp;"")&lt;&gt;""),TRIM(E450&amp;""),"")</f>
        <v/>
      </c>
      <c r="V450" s="32">
        <f>IF(TRIM(A450&amp;"")="","",IF(T450&lt;&gt;"",T450,IF(TRIM(E450&amp;"")="","",IFERROR(INDEX($T$6:$T$505,MATCH(TRIM(E450&amp;""),$U$6:$U$505,0)),""))))</f>
        <v/>
      </c>
      <c r="W450" s="32">
        <f>IF(V450="","",INDEX('Form Calc'!$G:$G,V450))</f>
        <v/>
      </c>
      <c r="X450" s="32">
        <f>IF(TRIM(A450&amp;"")="","",IF(T450&lt;&gt;"",IF(INDEX('Form Calc'!$K:$K,T450)&lt;&gt;"",INDEX('Form Calc'!$K:$K,T450),J450&amp;""),J450&amp;""))</f>
        <v/>
      </c>
      <c r="Y450" s="32">
        <f>IF(TRIM(A450&amp;"")="","",IF(TRIM(D450&amp;"")&lt;&gt;"",TRIM(D450&amp;""),IF(T450&lt;&gt;"",INDEX('Form Calc'!$C:$C,T450)&amp;"","")))</f>
        <v/>
      </c>
      <c r="Z450" s="32">
        <f>SUBSTITUTE(SUBSTITUTE(SUBSTITUTE(SUBSTITUTE(SUBSTITUTE(SUBSTITUTE(SUBSTITUTE(SUBSTITUTE(Y450," ",""),"-",""),"(",""),")",""),".",""),"+",""),"/",""),CHAR(160),"")</f>
        <v/>
      </c>
      <c r="AA450" s="32">
        <f>IF(Z450="","",IF(LEN(Z450)=10,"+1"&amp;Z450,IF(AND(LEN(Z450)=11,LEFT(Z450,1)="1"),"+"&amp;Z450,IF(LEFT(Y450,1)="+","+"&amp;Z450,Z450))))</f>
        <v/>
      </c>
      <c r="AB450" s="32">
        <f>IF(TRIM(A450&amp;"")="","",IF(TRIM(M450&amp;"")&lt;&gt;"",TRIM(M450&amp;""),IFERROR(LEFT(TRIM(A450&amp;""),FIND(" ",TRIM(A450&amp;""))-1),TRIM(A450&amp;""))))</f>
        <v/>
      </c>
      <c r="AC450" s="32">
        <f>SUBSTITUTE(SUBSTITUTE(SUBSTITUTE(SUBSTITUTE(SUBSTITUTE(SUBSTITUTE(SUBSTITUTE(SUBSTITUTE(SUBSTITUTE(SUBSTITUTE(AB450,"%","%25"),"&amp;","%26"),"#","%23"),"+","%2B"),"=","%3D"),"?","%3F"),CHAR(34),"%22"),CHAR(10),"%0A"),CHAR(13),"")," ","+")</f>
        <v/>
      </c>
      <c r="AD450" s="32">
        <f>IF(OR(AA450="",AB450=""),"",'Start Here'!$B$20&amp;"#p="&amp;SUBSTITUTE(AA450,"+","%2B")&amp;"&amp;n="&amp;AC450&amp;"&amp;m="&amp;SUBSTITUTE('Start Here'!$B$24,"{name}",AC450))</f>
        <v/>
      </c>
      <c r="AE450" s="32">
        <f>LEN(AD450)</f>
        <v/>
      </c>
      <c r="AF450" s="32">
        <f>IF(AND(TRIM(A450&amp;"")&lt;&gt;"",OR(B450="Awaiting",B450="Not sure yet")),1,0)</f>
        <v/>
      </c>
      <c r="AG450" s="32">
        <f>N(AG449)+AF450</f>
        <v/>
      </c>
      <c r="AH450" s="32">
        <f>IF(AF450=1,AG450,"")</f>
        <v/>
      </c>
      <c r="AI450" s="32">
        <f>IF(AND(TRIM(A450&amp;"")&lt;&gt;"",L450&amp;""&lt;&gt;"",L450&amp;""=Seating!$I$3&amp;"",B450&lt;&gt;"Declined"),1,0)</f>
        <v/>
      </c>
      <c r="AJ450" s="32">
        <f>N(AJ449)+AI450</f>
        <v/>
      </c>
      <c r="AK450" s="32">
        <f>IF(AI450=1,AJ450,"")</f>
        <v/>
      </c>
    </row>
    <row r="451">
      <c r="A451" s="10" t="n"/>
      <c r="B451" s="47">
        <f>IF(TRIM(A451&amp;"")="","",IF(W451&lt;&gt;"",W451,IF(I451="","Awaiting",I451)))</f>
        <v/>
      </c>
      <c r="C451" s="60">
        <f>IF(OR(B451="Awaiting",B451="Not sure yet"),IF(AD451&lt;&gt;"",HYPERLINK(AD451,"💬 Remind"),"add mobile"),"")</f>
        <v/>
      </c>
      <c r="D451" s="58" t="n"/>
      <c r="E451" s="10" t="n"/>
      <c r="F451" s="10" t="n"/>
      <c r="G451" s="10" t="n"/>
      <c r="H451" s="10" t="n"/>
      <c r="I451" s="10" t="n"/>
      <c r="J451" s="10" t="n"/>
      <c r="K451" s="10" t="n"/>
      <c r="L451" s="56" t="n"/>
      <c r="M451" s="10" t="n"/>
      <c r="N451" s="12" t="n"/>
      <c r="O451" s="10" t="n"/>
      <c r="P451" s="10" t="n"/>
      <c r="Q451" s="61">
        <f>IF(V451="","",IF(T451="","Covered by "&amp;INDEX('Form Calc'!$B:$B,V451)&amp;"'s reply (same party)","Replied "&amp;TEXT(INDEX('Form Calc'!$A:$A,T451),"mm/dd")&amp;" · "&amp;INDEX('Form Calc'!$H:$H,T451)&amp;" adult(s), "&amp;INDEX('Form Calc'!$I:$I,T451)&amp;" child(ren)"&amp;IF(INDEX('Form Calc'!$K:$K,T451)&lt;&gt;""," · "&amp;INDEX('Form Calc'!$K:$K,T451),"")&amp;IF(INDEX('Form Calc'!$M:$M,T451)&lt;&gt;""," · “"&amp;INDEX('Form Calc'!$M:$M,T451)&amp;"”","")))</f>
        <v/>
      </c>
      <c r="R451" s="32">
        <f>SUBSTITUTE(SUBSTITUTE(SUBSTITUTE(SUBSTITUTE(SUBSTITUTE(SUBSTITUTE(SUBSTITUTE(SUBSTITUTE(D451&amp;""," ",""),"-",""),"(",""),")",""),".",""),"+",""),"/",""),CHAR(160),"")</f>
        <v/>
      </c>
      <c r="S451" s="32">
        <f>IF(LEN(R451)&gt;=10,RIGHT(R451,10),R451)</f>
        <v/>
      </c>
      <c r="T451" s="32">
        <f>IF(TRIM(A451&amp;"")="","",IF(S451&lt;&gt;"",IFERROR(MATCH(S451,'Form Calc'!$P:$P,0),IFERROR(MATCH(TRIM(A451&amp;""),'Form Calc'!$Q:$Q,0),"")),IFERROR(MATCH(TRIM(A451&amp;""),'Form Calc'!$Q:$Q,0),"")))</f>
        <v/>
      </c>
      <c r="U451" s="32">
        <f>IF(AND(T451&lt;&gt;"",TRIM(E451&amp;"")&lt;&gt;""),TRIM(E451&amp;""),"")</f>
        <v/>
      </c>
      <c r="V451" s="32">
        <f>IF(TRIM(A451&amp;"")="","",IF(T451&lt;&gt;"",T451,IF(TRIM(E451&amp;"")="","",IFERROR(INDEX($T$6:$T$505,MATCH(TRIM(E451&amp;""),$U$6:$U$505,0)),""))))</f>
        <v/>
      </c>
      <c r="W451" s="32">
        <f>IF(V451="","",INDEX('Form Calc'!$G:$G,V451))</f>
        <v/>
      </c>
      <c r="X451" s="32">
        <f>IF(TRIM(A451&amp;"")="","",IF(T451&lt;&gt;"",IF(INDEX('Form Calc'!$K:$K,T451)&lt;&gt;"",INDEX('Form Calc'!$K:$K,T451),J451&amp;""),J451&amp;""))</f>
        <v/>
      </c>
      <c r="Y451" s="32">
        <f>IF(TRIM(A451&amp;"")="","",IF(TRIM(D451&amp;"")&lt;&gt;"",TRIM(D451&amp;""),IF(T451&lt;&gt;"",INDEX('Form Calc'!$C:$C,T451)&amp;"","")))</f>
        <v/>
      </c>
      <c r="Z451" s="32">
        <f>SUBSTITUTE(SUBSTITUTE(SUBSTITUTE(SUBSTITUTE(SUBSTITUTE(SUBSTITUTE(SUBSTITUTE(SUBSTITUTE(Y451," ",""),"-",""),"(",""),")",""),".",""),"+",""),"/",""),CHAR(160),"")</f>
        <v/>
      </c>
      <c r="AA451" s="32">
        <f>IF(Z451="","",IF(LEN(Z451)=10,"+1"&amp;Z451,IF(AND(LEN(Z451)=11,LEFT(Z451,1)="1"),"+"&amp;Z451,IF(LEFT(Y451,1)="+","+"&amp;Z451,Z451))))</f>
        <v/>
      </c>
      <c r="AB451" s="32">
        <f>IF(TRIM(A451&amp;"")="","",IF(TRIM(M451&amp;"")&lt;&gt;"",TRIM(M451&amp;""),IFERROR(LEFT(TRIM(A451&amp;""),FIND(" ",TRIM(A451&amp;""))-1),TRIM(A451&amp;""))))</f>
        <v/>
      </c>
      <c r="AC451" s="32">
        <f>SUBSTITUTE(SUBSTITUTE(SUBSTITUTE(SUBSTITUTE(SUBSTITUTE(SUBSTITUTE(SUBSTITUTE(SUBSTITUTE(SUBSTITUTE(SUBSTITUTE(AB451,"%","%25"),"&amp;","%26"),"#","%23"),"+","%2B"),"=","%3D"),"?","%3F"),CHAR(34),"%22"),CHAR(10),"%0A"),CHAR(13),"")," ","+")</f>
        <v/>
      </c>
      <c r="AD451" s="32">
        <f>IF(OR(AA451="",AB451=""),"",'Start Here'!$B$20&amp;"#p="&amp;SUBSTITUTE(AA451,"+","%2B")&amp;"&amp;n="&amp;AC451&amp;"&amp;m="&amp;SUBSTITUTE('Start Here'!$B$24,"{name}",AC451))</f>
        <v/>
      </c>
      <c r="AE451" s="32">
        <f>LEN(AD451)</f>
        <v/>
      </c>
      <c r="AF451" s="32">
        <f>IF(AND(TRIM(A451&amp;"")&lt;&gt;"",OR(B451="Awaiting",B451="Not sure yet")),1,0)</f>
        <v/>
      </c>
      <c r="AG451" s="32">
        <f>N(AG450)+AF451</f>
        <v/>
      </c>
      <c r="AH451" s="32">
        <f>IF(AF451=1,AG451,"")</f>
        <v/>
      </c>
      <c r="AI451" s="32">
        <f>IF(AND(TRIM(A451&amp;"")&lt;&gt;"",L451&amp;""&lt;&gt;"",L451&amp;""=Seating!$I$3&amp;"",B451&lt;&gt;"Declined"),1,0)</f>
        <v/>
      </c>
      <c r="AJ451" s="32">
        <f>N(AJ450)+AI451</f>
        <v/>
      </c>
      <c r="AK451" s="32">
        <f>IF(AI451=1,AJ451,"")</f>
        <v/>
      </c>
    </row>
    <row r="452">
      <c r="A452" s="10" t="n"/>
      <c r="B452" s="47">
        <f>IF(TRIM(A452&amp;"")="","",IF(W452&lt;&gt;"",W452,IF(I452="","Awaiting",I452)))</f>
        <v/>
      </c>
      <c r="C452" s="60">
        <f>IF(OR(B452="Awaiting",B452="Not sure yet"),IF(AD452&lt;&gt;"",HYPERLINK(AD452,"💬 Remind"),"add mobile"),"")</f>
        <v/>
      </c>
      <c r="D452" s="58" t="n"/>
      <c r="E452" s="10" t="n"/>
      <c r="F452" s="10" t="n"/>
      <c r="G452" s="10" t="n"/>
      <c r="H452" s="10" t="n"/>
      <c r="I452" s="10" t="n"/>
      <c r="J452" s="10" t="n"/>
      <c r="K452" s="10" t="n"/>
      <c r="L452" s="56" t="n"/>
      <c r="M452" s="10" t="n"/>
      <c r="N452" s="12" t="n"/>
      <c r="O452" s="10" t="n"/>
      <c r="P452" s="10" t="n"/>
      <c r="Q452" s="61">
        <f>IF(V452="","",IF(T452="","Covered by "&amp;INDEX('Form Calc'!$B:$B,V452)&amp;"'s reply (same party)","Replied "&amp;TEXT(INDEX('Form Calc'!$A:$A,T452),"mm/dd")&amp;" · "&amp;INDEX('Form Calc'!$H:$H,T452)&amp;" adult(s), "&amp;INDEX('Form Calc'!$I:$I,T452)&amp;" child(ren)"&amp;IF(INDEX('Form Calc'!$K:$K,T452)&lt;&gt;""," · "&amp;INDEX('Form Calc'!$K:$K,T452),"")&amp;IF(INDEX('Form Calc'!$M:$M,T452)&lt;&gt;""," · “"&amp;INDEX('Form Calc'!$M:$M,T452)&amp;"”","")))</f>
        <v/>
      </c>
      <c r="R452" s="32">
        <f>SUBSTITUTE(SUBSTITUTE(SUBSTITUTE(SUBSTITUTE(SUBSTITUTE(SUBSTITUTE(SUBSTITUTE(SUBSTITUTE(D452&amp;""," ",""),"-",""),"(",""),")",""),".",""),"+",""),"/",""),CHAR(160),"")</f>
        <v/>
      </c>
      <c r="S452" s="32">
        <f>IF(LEN(R452)&gt;=10,RIGHT(R452,10),R452)</f>
        <v/>
      </c>
      <c r="T452" s="32">
        <f>IF(TRIM(A452&amp;"")="","",IF(S452&lt;&gt;"",IFERROR(MATCH(S452,'Form Calc'!$P:$P,0),IFERROR(MATCH(TRIM(A452&amp;""),'Form Calc'!$Q:$Q,0),"")),IFERROR(MATCH(TRIM(A452&amp;""),'Form Calc'!$Q:$Q,0),"")))</f>
        <v/>
      </c>
      <c r="U452" s="32">
        <f>IF(AND(T452&lt;&gt;"",TRIM(E452&amp;"")&lt;&gt;""),TRIM(E452&amp;""),"")</f>
        <v/>
      </c>
      <c r="V452" s="32">
        <f>IF(TRIM(A452&amp;"")="","",IF(T452&lt;&gt;"",T452,IF(TRIM(E452&amp;"")="","",IFERROR(INDEX($T$6:$T$505,MATCH(TRIM(E452&amp;""),$U$6:$U$505,0)),""))))</f>
        <v/>
      </c>
      <c r="W452" s="32">
        <f>IF(V452="","",INDEX('Form Calc'!$G:$G,V452))</f>
        <v/>
      </c>
      <c r="X452" s="32">
        <f>IF(TRIM(A452&amp;"")="","",IF(T452&lt;&gt;"",IF(INDEX('Form Calc'!$K:$K,T452)&lt;&gt;"",INDEX('Form Calc'!$K:$K,T452),J452&amp;""),J452&amp;""))</f>
        <v/>
      </c>
      <c r="Y452" s="32">
        <f>IF(TRIM(A452&amp;"")="","",IF(TRIM(D452&amp;"")&lt;&gt;"",TRIM(D452&amp;""),IF(T452&lt;&gt;"",INDEX('Form Calc'!$C:$C,T452)&amp;"","")))</f>
        <v/>
      </c>
      <c r="Z452" s="32">
        <f>SUBSTITUTE(SUBSTITUTE(SUBSTITUTE(SUBSTITUTE(SUBSTITUTE(SUBSTITUTE(SUBSTITUTE(SUBSTITUTE(Y452," ",""),"-",""),"(",""),")",""),".",""),"+",""),"/",""),CHAR(160),"")</f>
        <v/>
      </c>
      <c r="AA452" s="32">
        <f>IF(Z452="","",IF(LEN(Z452)=10,"+1"&amp;Z452,IF(AND(LEN(Z452)=11,LEFT(Z452,1)="1"),"+"&amp;Z452,IF(LEFT(Y452,1)="+","+"&amp;Z452,Z452))))</f>
        <v/>
      </c>
      <c r="AB452" s="32">
        <f>IF(TRIM(A452&amp;"")="","",IF(TRIM(M452&amp;"")&lt;&gt;"",TRIM(M452&amp;""),IFERROR(LEFT(TRIM(A452&amp;""),FIND(" ",TRIM(A452&amp;""))-1),TRIM(A452&amp;""))))</f>
        <v/>
      </c>
      <c r="AC452" s="32">
        <f>SUBSTITUTE(SUBSTITUTE(SUBSTITUTE(SUBSTITUTE(SUBSTITUTE(SUBSTITUTE(SUBSTITUTE(SUBSTITUTE(SUBSTITUTE(SUBSTITUTE(AB452,"%","%25"),"&amp;","%26"),"#","%23"),"+","%2B"),"=","%3D"),"?","%3F"),CHAR(34),"%22"),CHAR(10),"%0A"),CHAR(13),"")," ","+")</f>
        <v/>
      </c>
      <c r="AD452" s="32">
        <f>IF(OR(AA452="",AB452=""),"",'Start Here'!$B$20&amp;"#p="&amp;SUBSTITUTE(AA452,"+","%2B")&amp;"&amp;n="&amp;AC452&amp;"&amp;m="&amp;SUBSTITUTE('Start Here'!$B$24,"{name}",AC452))</f>
        <v/>
      </c>
      <c r="AE452" s="32">
        <f>LEN(AD452)</f>
        <v/>
      </c>
      <c r="AF452" s="32">
        <f>IF(AND(TRIM(A452&amp;"")&lt;&gt;"",OR(B452="Awaiting",B452="Not sure yet")),1,0)</f>
        <v/>
      </c>
      <c r="AG452" s="32">
        <f>N(AG451)+AF452</f>
        <v/>
      </c>
      <c r="AH452" s="32">
        <f>IF(AF452=1,AG452,"")</f>
        <v/>
      </c>
      <c r="AI452" s="32">
        <f>IF(AND(TRIM(A452&amp;"")&lt;&gt;"",L452&amp;""&lt;&gt;"",L452&amp;""=Seating!$I$3&amp;"",B452&lt;&gt;"Declined"),1,0)</f>
        <v/>
      </c>
      <c r="AJ452" s="32">
        <f>N(AJ451)+AI452</f>
        <v/>
      </c>
      <c r="AK452" s="32">
        <f>IF(AI452=1,AJ452,"")</f>
        <v/>
      </c>
    </row>
    <row r="453">
      <c r="A453" s="10" t="n"/>
      <c r="B453" s="47">
        <f>IF(TRIM(A453&amp;"")="","",IF(W453&lt;&gt;"",W453,IF(I453="","Awaiting",I453)))</f>
        <v/>
      </c>
      <c r="C453" s="60">
        <f>IF(OR(B453="Awaiting",B453="Not sure yet"),IF(AD453&lt;&gt;"",HYPERLINK(AD453,"💬 Remind"),"add mobile"),"")</f>
        <v/>
      </c>
      <c r="D453" s="58" t="n"/>
      <c r="E453" s="10" t="n"/>
      <c r="F453" s="10" t="n"/>
      <c r="G453" s="10" t="n"/>
      <c r="H453" s="10" t="n"/>
      <c r="I453" s="10" t="n"/>
      <c r="J453" s="10" t="n"/>
      <c r="K453" s="10" t="n"/>
      <c r="L453" s="56" t="n"/>
      <c r="M453" s="10" t="n"/>
      <c r="N453" s="12" t="n"/>
      <c r="O453" s="10" t="n"/>
      <c r="P453" s="10" t="n"/>
      <c r="Q453" s="61">
        <f>IF(V453="","",IF(T453="","Covered by "&amp;INDEX('Form Calc'!$B:$B,V453)&amp;"'s reply (same party)","Replied "&amp;TEXT(INDEX('Form Calc'!$A:$A,T453),"mm/dd")&amp;" · "&amp;INDEX('Form Calc'!$H:$H,T453)&amp;" adult(s), "&amp;INDEX('Form Calc'!$I:$I,T453)&amp;" child(ren)"&amp;IF(INDEX('Form Calc'!$K:$K,T453)&lt;&gt;""," · "&amp;INDEX('Form Calc'!$K:$K,T453),"")&amp;IF(INDEX('Form Calc'!$M:$M,T453)&lt;&gt;""," · “"&amp;INDEX('Form Calc'!$M:$M,T453)&amp;"”","")))</f>
        <v/>
      </c>
      <c r="R453" s="32">
        <f>SUBSTITUTE(SUBSTITUTE(SUBSTITUTE(SUBSTITUTE(SUBSTITUTE(SUBSTITUTE(SUBSTITUTE(SUBSTITUTE(D453&amp;""," ",""),"-",""),"(",""),")",""),".",""),"+",""),"/",""),CHAR(160),"")</f>
        <v/>
      </c>
      <c r="S453" s="32">
        <f>IF(LEN(R453)&gt;=10,RIGHT(R453,10),R453)</f>
        <v/>
      </c>
      <c r="T453" s="32">
        <f>IF(TRIM(A453&amp;"")="","",IF(S453&lt;&gt;"",IFERROR(MATCH(S453,'Form Calc'!$P:$P,0),IFERROR(MATCH(TRIM(A453&amp;""),'Form Calc'!$Q:$Q,0),"")),IFERROR(MATCH(TRIM(A453&amp;""),'Form Calc'!$Q:$Q,0),"")))</f>
        <v/>
      </c>
      <c r="U453" s="32">
        <f>IF(AND(T453&lt;&gt;"",TRIM(E453&amp;"")&lt;&gt;""),TRIM(E453&amp;""),"")</f>
        <v/>
      </c>
      <c r="V453" s="32">
        <f>IF(TRIM(A453&amp;"")="","",IF(T453&lt;&gt;"",T453,IF(TRIM(E453&amp;"")="","",IFERROR(INDEX($T$6:$T$505,MATCH(TRIM(E453&amp;""),$U$6:$U$505,0)),""))))</f>
        <v/>
      </c>
      <c r="W453" s="32">
        <f>IF(V453="","",INDEX('Form Calc'!$G:$G,V453))</f>
        <v/>
      </c>
      <c r="X453" s="32">
        <f>IF(TRIM(A453&amp;"")="","",IF(T453&lt;&gt;"",IF(INDEX('Form Calc'!$K:$K,T453)&lt;&gt;"",INDEX('Form Calc'!$K:$K,T453),J453&amp;""),J453&amp;""))</f>
        <v/>
      </c>
      <c r="Y453" s="32">
        <f>IF(TRIM(A453&amp;"")="","",IF(TRIM(D453&amp;"")&lt;&gt;"",TRIM(D453&amp;""),IF(T453&lt;&gt;"",INDEX('Form Calc'!$C:$C,T453)&amp;"","")))</f>
        <v/>
      </c>
      <c r="Z453" s="32">
        <f>SUBSTITUTE(SUBSTITUTE(SUBSTITUTE(SUBSTITUTE(SUBSTITUTE(SUBSTITUTE(SUBSTITUTE(SUBSTITUTE(Y453," ",""),"-",""),"(",""),")",""),".",""),"+",""),"/",""),CHAR(160),"")</f>
        <v/>
      </c>
      <c r="AA453" s="32">
        <f>IF(Z453="","",IF(LEN(Z453)=10,"+1"&amp;Z453,IF(AND(LEN(Z453)=11,LEFT(Z453,1)="1"),"+"&amp;Z453,IF(LEFT(Y453,1)="+","+"&amp;Z453,Z453))))</f>
        <v/>
      </c>
      <c r="AB453" s="32">
        <f>IF(TRIM(A453&amp;"")="","",IF(TRIM(M453&amp;"")&lt;&gt;"",TRIM(M453&amp;""),IFERROR(LEFT(TRIM(A453&amp;""),FIND(" ",TRIM(A453&amp;""))-1),TRIM(A453&amp;""))))</f>
        <v/>
      </c>
      <c r="AC453" s="32">
        <f>SUBSTITUTE(SUBSTITUTE(SUBSTITUTE(SUBSTITUTE(SUBSTITUTE(SUBSTITUTE(SUBSTITUTE(SUBSTITUTE(SUBSTITUTE(SUBSTITUTE(AB453,"%","%25"),"&amp;","%26"),"#","%23"),"+","%2B"),"=","%3D"),"?","%3F"),CHAR(34),"%22"),CHAR(10),"%0A"),CHAR(13),"")," ","+")</f>
        <v/>
      </c>
      <c r="AD453" s="32">
        <f>IF(OR(AA453="",AB453=""),"",'Start Here'!$B$20&amp;"#p="&amp;SUBSTITUTE(AA453,"+","%2B")&amp;"&amp;n="&amp;AC453&amp;"&amp;m="&amp;SUBSTITUTE('Start Here'!$B$24,"{name}",AC453))</f>
        <v/>
      </c>
      <c r="AE453" s="32">
        <f>LEN(AD453)</f>
        <v/>
      </c>
      <c r="AF453" s="32">
        <f>IF(AND(TRIM(A453&amp;"")&lt;&gt;"",OR(B453="Awaiting",B453="Not sure yet")),1,0)</f>
        <v/>
      </c>
      <c r="AG453" s="32">
        <f>N(AG452)+AF453</f>
        <v/>
      </c>
      <c r="AH453" s="32">
        <f>IF(AF453=1,AG453,"")</f>
        <v/>
      </c>
      <c r="AI453" s="32">
        <f>IF(AND(TRIM(A453&amp;"")&lt;&gt;"",L453&amp;""&lt;&gt;"",L453&amp;""=Seating!$I$3&amp;"",B453&lt;&gt;"Declined"),1,0)</f>
        <v/>
      </c>
      <c r="AJ453" s="32">
        <f>N(AJ452)+AI453</f>
        <v/>
      </c>
      <c r="AK453" s="32">
        <f>IF(AI453=1,AJ453,"")</f>
        <v/>
      </c>
    </row>
    <row r="454">
      <c r="A454" s="10" t="n"/>
      <c r="B454" s="47">
        <f>IF(TRIM(A454&amp;"")="","",IF(W454&lt;&gt;"",W454,IF(I454="","Awaiting",I454)))</f>
        <v/>
      </c>
      <c r="C454" s="60">
        <f>IF(OR(B454="Awaiting",B454="Not sure yet"),IF(AD454&lt;&gt;"",HYPERLINK(AD454,"💬 Remind"),"add mobile"),"")</f>
        <v/>
      </c>
      <c r="D454" s="58" t="n"/>
      <c r="E454" s="10" t="n"/>
      <c r="F454" s="10" t="n"/>
      <c r="G454" s="10" t="n"/>
      <c r="H454" s="10" t="n"/>
      <c r="I454" s="10" t="n"/>
      <c r="J454" s="10" t="n"/>
      <c r="K454" s="10" t="n"/>
      <c r="L454" s="56" t="n"/>
      <c r="M454" s="10" t="n"/>
      <c r="N454" s="12" t="n"/>
      <c r="O454" s="10" t="n"/>
      <c r="P454" s="10" t="n"/>
      <c r="Q454" s="61">
        <f>IF(V454="","",IF(T454="","Covered by "&amp;INDEX('Form Calc'!$B:$B,V454)&amp;"'s reply (same party)","Replied "&amp;TEXT(INDEX('Form Calc'!$A:$A,T454),"mm/dd")&amp;" · "&amp;INDEX('Form Calc'!$H:$H,T454)&amp;" adult(s), "&amp;INDEX('Form Calc'!$I:$I,T454)&amp;" child(ren)"&amp;IF(INDEX('Form Calc'!$K:$K,T454)&lt;&gt;""," · "&amp;INDEX('Form Calc'!$K:$K,T454),"")&amp;IF(INDEX('Form Calc'!$M:$M,T454)&lt;&gt;""," · “"&amp;INDEX('Form Calc'!$M:$M,T454)&amp;"”","")))</f>
        <v/>
      </c>
      <c r="R454" s="32">
        <f>SUBSTITUTE(SUBSTITUTE(SUBSTITUTE(SUBSTITUTE(SUBSTITUTE(SUBSTITUTE(SUBSTITUTE(SUBSTITUTE(D454&amp;""," ",""),"-",""),"(",""),")",""),".",""),"+",""),"/",""),CHAR(160),"")</f>
        <v/>
      </c>
      <c r="S454" s="32">
        <f>IF(LEN(R454)&gt;=10,RIGHT(R454,10),R454)</f>
        <v/>
      </c>
      <c r="T454" s="32">
        <f>IF(TRIM(A454&amp;"")="","",IF(S454&lt;&gt;"",IFERROR(MATCH(S454,'Form Calc'!$P:$P,0),IFERROR(MATCH(TRIM(A454&amp;""),'Form Calc'!$Q:$Q,0),"")),IFERROR(MATCH(TRIM(A454&amp;""),'Form Calc'!$Q:$Q,0),"")))</f>
        <v/>
      </c>
      <c r="U454" s="32">
        <f>IF(AND(T454&lt;&gt;"",TRIM(E454&amp;"")&lt;&gt;""),TRIM(E454&amp;""),"")</f>
        <v/>
      </c>
      <c r="V454" s="32">
        <f>IF(TRIM(A454&amp;"")="","",IF(T454&lt;&gt;"",T454,IF(TRIM(E454&amp;"")="","",IFERROR(INDEX($T$6:$T$505,MATCH(TRIM(E454&amp;""),$U$6:$U$505,0)),""))))</f>
        <v/>
      </c>
      <c r="W454" s="32">
        <f>IF(V454="","",INDEX('Form Calc'!$G:$G,V454))</f>
        <v/>
      </c>
      <c r="X454" s="32">
        <f>IF(TRIM(A454&amp;"")="","",IF(T454&lt;&gt;"",IF(INDEX('Form Calc'!$K:$K,T454)&lt;&gt;"",INDEX('Form Calc'!$K:$K,T454),J454&amp;""),J454&amp;""))</f>
        <v/>
      </c>
      <c r="Y454" s="32">
        <f>IF(TRIM(A454&amp;"")="","",IF(TRIM(D454&amp;"")&lt;&gt;"",TRIM(D454&amp;""),IF(T454&lt;&gt;"",INDEX('Form Calc'!$C:$C,T454)&amp;"","")))</f>
        <v/>
      </c>
      <c r="Z454" s="32">
        <f>SUBSTITUTE(SUBSTITUTE(SUBSTITUTE(SUBSTITUTE(SUBSTITUTE(SUBSTITUTE(SUBSTITUTE(SUBSTITUTE(Y454," ",""),"-",""),"(",""),")",""),".",""),"+",""),"/",""),CHAR(160),"")</f>
        <v/>
      </c>
      <c r="AA454" s="32">
        <f>IF(Z454="","",IF(LEN(Z454)=10,"+1"&amp;Z454,IF(AND(LEN(Z454)=11,LEFT(Z454,1)="1"),"+"&amp;Z454,IF(LEFT(Y454,1)="+","+"&amp;Z454,Z454))))</f>
        <v/>
      </c>
      <c r="AB454" s="32">
        <f>IF(TRIM(A454&amp;"")="","",IF(TRIM(M454&amp;"")&lt;&gt;"",TRIM(M454&amp;""),IFERROR(LEFT(TRIM(A454&amp;""),FIND(" ",TRIM(A454&amp;""))-1),TRIM(A454&amp;""))))</f>
        <v/>
      </c>
      <c r="AC454" s="32">
        <f>SUBSTITUTE(SUBSTITUTE(SUBSTITUTE(SUBSTITUTE(SUBSTITUTE(SUBSTITUTE(SUBSTITUTE(SUBSTITUTE(SUBSTITUTE(SUBSTITUTE(AB454,"%","%25"),"&amp;","%26"),"#","%23"),"+","%2B"),"=","%3D"),"?","%3F"),CHAR(34),"%22"),CHAR(10),"%0A"),CHAR(13),"")," ","+")</f>
        <v/>
      </c>
      <c r="AD454" s="32">
        <f>IF(OR(AA454="",AB454=""),"",'Start Here'!$B$20&amp;"#p="&amp;SUBSTITUTE(AA454,"+","%2B")&amp;"&amp;n="&amp;AC454&amp;"&amp;m="&amp;SUBSTITUTE('Start Here'!$B$24,"{name}",AC454))</f>
        <v/>
      </c>
      <c r="AE454" s="32">
        <f>LEN(AD454)</f>
        <v/>
      </c>
      <c r="AF454" s="32">
        <f>IF(AND(TRIM(A454&amp;"")&lt;&gt;"",OR(B454="Awaiting",B454="Not sure yet")),1,0)</f>
        <v/>
      </c>
      <c r="AG454" s="32">
        <f>N(AG453)+AF454</f>
        <v/>
      </c>
      <c r="AH454" s="32">
        <f>IF(AF454=1,AG454,"")</f>
        <v/>
      </c>
      <c r="AI454" s="32">
        <f>IF(AND(TRIM(A454&amp;"")&lt;&gt;"",L454&amp;""&lt;&gt;"",L454&amp;""=Seating!$I$3&amp;"",B454&lt;&gt;"Declined"),1,0)</f>
        <v/>
      </c>
      <c r="AJ454" s="32">
        <f>N(AJ453)+AI454</f>
        <v/>
      </c>
      <c r="AK454" s="32">
        <f>IF(AI454=1,AJ454,"")</f>
        <v/>
      </c>
    </row>
    <row r="455">
      <c r="A455" s="10" t="n"/>
      <c r="B455" s="47">
        <f>IF(TRIM(A455&amp;"")="","",IF(W455&lt;&gt;"",W455,IF(I455="","Awaiting",I455)))</f>
        <v/>
      </c>
      <c r="C455" s="60">
        <f>IF(OR(B455="Awaiting",B455="Not sure yet"),IF(AD455&lt;&gt;"",HYPERLINK(AD455,"💬 Remind"),"add mobile"),"")</f>
        <v/>
      </c>
      <c r="D455" s="58" t="n"/>
      <c r="E455" s="10" t="n"/>
      <c r="F455" s="10" t="n"/>
      <c r="G455" s="10" t="n"/>
      <c r="H455" s="10" t="n"/>
      <c r="I455" s="10" t="n"/>
      <c r="J455" s="10" t="n"/>
      <c r="K455" s="10" t="n"/>
      <c r="L455" s="56" t="n"/>
      <c r="M455" s="10" t="n"/>
      <c r="N455" s="12" t="n"/>
      <c r="O455" s="10" t="n"/>
      <c r="P455" s="10" t="n"/>
      <c r="Q455" s="61">
        <f>IF(V455="","",IF(T455="","Covered by "&amp;INDEX('Form Calc'!$B:$B,V455)&amp;"'s reply (same party)","Replied "&amp;TEXT(INDEX('Form Calc'!$A:$A,T455),"mm/dd")&amp;" · "&amp;INDEX('Form Calc'!$H:$H,T455)&amp;" adult(s), "&amp;INDEX('Form Calc'!$I:$I,T455)&amp;" child(ren)"&amp;IF(INDEX('Form Calc'!$K:$K,T455)&lt;&gt;""," · "&amp;INDEX('Form Calc'!$K:$K,T455),"")&amp;IF(INDEX('Form Calc'!$M:$M,T455)&lt;&gt;""," · “"&amp;INDEX('Form Calc'!$M:$M,T455)&amp;"”","")))</f>
        <v/>
      </c>
      <c r="R455" s="32">
        <f>SUBSTITUTE(SUBSTITUTE(SUBSTITUTE(SUBSTITUTE(SUBSTITUTE(SUBSTITUTE(SUBSTITUTE(SUBSTITUTE(D455&amp;""," ",""),"-",""),"(",""),")",""),".",""),"+",""),"/",""),CHAR(160),"")</f>
        <v/>
      </c>
      <c r="S455" s="32">
        <f>IF(LEN(R455)&gt;=10,RIGHT(R455,10),R455)</f>
        <v/>
      </c>
      <c r="T455" s="32">
        <f>IF(TRIM(A455&amp;"")="","",IF(S455&lt;&gt;"",IFERROR(MATCH(S455,'Form Calc'!$P:$P,0),IFERROR(MATCH(TRIM(A455&amp;""),'Form Calc'!$Q:$Q,0),"")),IFERROR(MATCH(TRIM(A455&amp;""),'Form Calc'!$Q:$Q,0),"")))</f>
        <v/>
      </c>
      <c r="U455" s="32">
        <f>IF(AND(T455&lt;&gt;"",TRIM(E455&amp;"")&lt;&gt;""),TRIM(E455&amp;""),"")</f>
        <v/>
      </c>
      <c r="V455" s="32">
        <f>IF(TRIM(A455&amp;"")="","",IF(T455&lt;&gt;"",T455,IF(TRIM(E455&amp;"")="","",IFERROR(INDEX($T$6:$T$505,MATCH(TRIM(E455&amp;""),$U$6:$U$505,0)),""))))</f>
        <v/>
      </c>
      <c r="W455" s="32">
        <f>IF(V455="","",INDEX('Form Calc'!$G:$G,V455))</f>
        <v/>
      </c>
      <c r="X455" s="32">
        <f>IF(TRIM(A455&amp;"")="","",IF(T455&lt;&gt;"",IF(INDEX('Form Calc'!$K:$K,T455)&lt;&gt;"",INDEX('Form Calc'!$K:$K,T455),J455&amp;""),J455&amp;""))</f>
        <v/>
      </c>
      <c r="Y455" s="32">
        <f>IF(TRIM(A455&amp;"")="","",IF(TRIM(D455&amp;"")&lt;&gt;"",TRIM(D455&amp;""),IF(T455&lt;&gt;"",INDEX('Form Calc'!$C:$C,T455)&amp;"","")))</f>
        <v/>
      </c>
      <c r="Z455" s="32">
        <f>SUBSTITUTE(SUBSTITUTE(SUBSTITUTE(SUBSTITUTE(SUBSTITUTE(SUBSTITUTE(SUBSTITUTE(SUBSTITUTE(Y455," ",""),"-",""),"(",""),")",""),".",""),"+",""),"/",""),CHAR(160),"")</f>
        <v/>
      </c>
      <c r="AA455" s="32">
        <f>IF(Z455="","",IF(LEN(Z455)=10,"+1"&amp;Z455,IF(AND(LEN(Z455)=11,LEFT(Z455,1)="1"),"+"&amp;Z455,IF(LEFT(Y455,1)="+","+"&amp;Z455,Z455))))</f>
        <v/>
      </c>
      <c r="AB455" s="32">
        <f>IF(TRIM(A455&amp;"")="","",IF(TRIM(M455&amp;"")&lt;&gt;"",TRIM(M455&amp;""),IFERROR(LEFT(TRIM(A455&amp;""),FIND(" ",TRIM(A455&amp;""))-1),TRIM(A455&amp;""))))</f>
        <v/>
      </c>
      <c r="AC455" s="32">
        <f>SUBSTITUTE(SUBSTITUTE(SUBSTITUTE(SUBSTITUTE(SUBSTITUTE(SUBSTITUTE(SUBSTITUTE(SUBSTITUTE(SUBSTITUTE(SUBSTITUTE(AB455,"%","%25"),"&amp;","%26"),"#","%23"),"+","%2B"),"=","%3D"),"?","%3F"),CHAR(34),"%22"),CHAR(10),"%0A"),CHAR(13),"")," ","+")</f>
        <v/>
      </c>
      <c r="AD455" s="32">
        <f>IF(OR(AA455="",AB455=""),"",'Start Here'!$B$20&amp;"#p="&amp;SUBSTITUTE(AA455,"+","%2B")&amp;"&amp;n="&amp;AC455&amp;"&amp;m="&amp;SUBSTITUTE('Start Here'!$B$24,"{name}",AC455))</f>
        <v/>
      </c>
      <c r="AE455" s="32">
        <f>LEN(AD455)</f>
        <v/>
      </c>
      <c r="AF455" s="32">
        <f>IF(AND(TRIM(A455&amp;"")&lt;&gt;"",OR(B455="Awaiting",B455="Not sure yet")),1,0)</f>
        <v/>
      </c>
      <c r="AG455" s="32">
        <f>N(AG454)+AF455</f>
        <v/>
      </c>
      <c r="AH455" s="32">
        <f>IF(AF455=1,AG455,"")</f>
        <v/>
      </c>
      <c r="AI455" s="32">
        <f>IF(AND(TRIM(A455&amp;"")&lt;&gt;"",L455&amp;""&lt;&gt;"",L455&amp;""=Seating!$I$3&amp;"",B455&lt;&gt;"Declined"),1,0)</f>
        <v/>
      </c>
      <c r="AJ455" s="32">
        <f>N(AJ454)+AI455</f>
        <v/>
      </c>
      <c r="AK455" s="32">
        <f>IF(AI455=1,AJ455,"")</f>
        <v/>
      </c>
    </row>
    <row r="456">
      <c r="A456" s="10" t="n"/>
      <c r="B456" s="47">
        <f>IF(TRIM(A456&amp;"")="","",IF(W456&lt;&gt;"",W456,IF(I456="","Awaiting",I456)))</f>
        <v/>
      </c>
      <c r="C456" s="60">
        <f>IF(OR(B456="Awaiting",B456="Not sure yet"),IF(AD456&lt;&gt;"",HYPERLINK(AD456,"💬 Remind"),"add mobile"),"")</f>
        <v/>
      </c>
      <c r="D456" s="58" t="n"/>
      <c r="E456" s="10" t="n"/>
      <c r="F456" s="10" t="n"/>
      <c r="G456" s="10" t="n"/>
      <c r="H456" s="10" t="n"/>
      <c r="I456" s="10" t="n"/>
      <c r="J456" s="10" t="n"/>
      <c r="K456" s="10" t="n"/>
      <c r="L456" s="56" t="n"/>
      <c r="M456" s="10" t="n"/>
      <c r="N456" s="12" t="n"/>
      <c r="O456" s="10" t="n"/>
      <c r="P456" s="10" t="n"/>
      <c r="Q456" s="61">
        <f>IF(V456="","",IF(T456="","Covered by "&amp;INDEX('Form Calc'!$B:$B,V456)&amp;"'s reply (same party)","Replied "&amp;TEXT(INDEX('Form Calc'!$A:$A,T456),"mm/dd")&amp;" · "&amp;INDEX('Form Calc'!$H:$H,T456)&amp;" adult(s), "&amp;INDEX('Form Calc'!$I:$I,T456)&amp;" child(ren)"&amp;IF(INDEX('Form Calc'!$K:$K,T456)&lt;&gt;""," · "&amp;INDEX('Form Calc'!$K:$K,T456),"")&amp;IF(INDEX('Form Calc'!$M:$M,T456)&lt;&gt;""," · “"&amp;INDEX('Form Calc'!$M:$M,T456)&amp;"”","")))</f>
        <v/>
      </c>
      <c r="R456" s="32">
        <f>SUBSTITUTE(SUBSTITUTE(SUBSTITUTE(SUBSTITUTE(SUBSTITUTE(SUBSTITUTE(SUBSTITUTE(SUBSTITUTE(D456&amp;""," ",""),"-",""),"(",""),")",""),".",""),"+",""),"/",""),CHAR(160),"")</f>
        <v/>
      </c>
      <c r="S456" s="32">
        <f>IF(LEN(R456)&gt;=10,RIGHT(R456,10),R456)</f>
        <v/>
      </c>
      <c r="T456" s="32">
        <f>IF(TRIM(A456&amp;"")="","",IF(S456&lt;&gt;"",IFERROR(MATCH(S456,'Form Calc'!$P:$P,0),IFERROR(MATCH(TRIM(A456&amp;""),'Form Calc'!$Q:$Q,0),"")),IFERROR(MATCH(TRIM(A456&amp;""),'Form Calc'!$Q:$Q,0),"")))</f>
        <v/>
      </c>
      <c r="U456" s="32">
        <f>IF(AND(T456&lt;&gt;"",TRIM(E456&amp;"")&lt;&gt;""),TRIM(E456&amp;""),"")</f>
        <v/>
      </c>
      <c r="V456" s="32">
        <f>IF(TRIM(A456&amp;"")="","",IF(T456&lt;&gt;"",T456,IF(TRIM(E456&amp;"")="","",IFERROR(INDEX($T$6:$T$505,MATCH(TRIM(E456&amp;""),$U$6:$U$505,0)),""))))</f>
        <v/>
      </c>
      <c r="W456" s="32">
        <f>IF(V456="","",INDEX('Form Calc'!$G:$G,V456))</f>
        <v/>
      </c>
      <c r="X456" s="32">
        <f>IF(TRIM(A456&amp;"")="","",IF(T456&lt;&gt;"",IF(INDEX('Form Calc'!$K:$K,T456)&lt;&gt;"",INDEX('Form Calc'!$K:$K,T456),J456&amp;""),J456&amp;""))</f>
        <v/>
      </c>
      <c r="Y456" s="32">
        <f>IF(TRIM(A456&amp;"")="","",IF(TRIM(D456&amp;"")&lt;&gt;"",TRIM(D456&amp;""),IF(T456&lt;&gt;"",INDEX('Form Calc'!$C:$C,T456)&amp;"","")))</f>
        <v/>
      </c>
      <c r="Z456" s="32">
        <f>SUBSTITUTE(SUBSTITUTE(SUBSTITUTE(SUBSTITUTE(SUBSTITUTE(SUBSTITUTE(SUBSTITUTE(SUBSTITUTE(Y456," ",""),"-",""),"(",""),")",""),".",""),"+",""),"/",""),CHAR(160),"")</f>
        <v/>
      </c>
      <c r="AA456" s="32">
        <f>IF(Z456="","",IF(LEN(Z456)=10,"+1"&amp;Z456,IF(AND(LEN(Z456)=11,LEFT(Z456,1)="1"),"+"&amp;Z456,IF(LEFT(Y456,1)="+","+"&amp;Z456,Z456))))</f>
        <v/>
      </c>
      <c r="AB456" s="32">
        <f>IF(TRIM(A456&amp;"")="","",IF(TRIM(M456&amp;"")&lt;&gt;"",TRIM(M456&amp;""),IFERROR(LEFT(TRIM(A456&amp;""),FIND(" ",TRIM(A456&amp;""))-1),TRIM(A456&amp;""))))</f>
        <v/>
      </c>
      <c r="AC456" s="32">
        <f>SUBSTITUTE(SUBSTITUTE(SUBSTITUTE(SUBSTITUTE(SUBSTITUTE(SUBSTITUTE(SUBSTITUTE(SUBSTITUTE(SUBSTITUTE(SUBSTITUTE(AB456,"%","%25"),"&amp;","%26"),"#","%23"),"+","%2B"),"=","%3D"),"?","%3F"),CHAR(34),"%22"),CHAR(10),"%0A"),CHAR(13),"")," ","+")</f>
        <v/>
      </c>
      <c r="AD456" s="32">
        <f>IF(OR(AA456="",AB456=""),"",'Start Here'!$B$20&amp;"#p="&amp;SUBSTITUTE(AA456,"+","%2B")&amp;"&amp;n="&amp;AC456&amp;"&amp;m="&amp;SUBSTITUTE('Start Here'!$B$24,"{name}",AC456))</f>
        <v/>
      </c>
      <c r="AE456" s="32">
        <f>LEN(AD456)</f>
        <v/>
      </c>
      <c r="AF456" s="32">
        <f>IF(AND(TRIM(A456&amp;"")&lt;&gt;"",OR(B456="Awaiting",B456="Not sure yet")),1,0)</f>
        <v/>
      </c>
      <c r="AG456" s="32">
        <f>N(AG455)+AF456</f>
        <v/>
      </c>
      <c r="AH456" s="32">
        <f>IF(AF456=1,AG456,"")</f>
        <v/>
      </c>
      <c r="AI456" s="32">
        <f>IF(AND(TRIM(A456&amp;"")&lt;&gt;"",L456&amp;""&lt;&gt;"",L456&amp;""=Seating!$I$3&amp;"",B456&lt;&gt;"Declined"),1,0)</f>
        <v/>
      </c>
      <c r="AJ456" s="32">
        <f>N(AJ455)+AI456</f>
        <v/>
      </c>
      <c r="AK456" s="32">
        <f>IF(AI456=1,AJ456,"")</f>
        <v/>
      </c>
    </row>
    <row r="457">
      <c r="A457" s="10" t="n"/>
      <c r="B457" s="47">
        <f>IF(TRIM(A457&amp;"")="","",IF(W457&lt;&gt;"",W457,IF(I457="","Awaiting",I457)))</f>
        <v/>
      </c>
      <c r="C457" s="60">
        <f>IF(OR(B457="Awaiting",B457="Not sure yet"),IF(AD457&lt;&gt;"",HYPERLINK(AD457,"💬 Remind"),"add mobile"),"")</f>
        <v/>
      </c>
      <c r="D457" s="58" t="n"/>
      <c r="E457" s="10" t="n"/>
      <c r="F457" s="10" t="n"/>
      <c r="G457" s="10" t="n"/>
      <c r="H457" s="10" t="n"/>
      <c r="I457" s="10" t="n"/>
      <c r="J457" s="10" t="n"/>
      <c r="K457" s="10" t="n"/>
      <c r="L457" s="56" t="n"/>
      <c r="M457" s="10" t="n"/>
      <c r="N457" s="12" t="n"/>
      <c r="O457" s="10" t="n"/>
      <c r="P457" s="10" t="n"/>
      <c r="Q457" s="61">
        <f>IF(V457="","",IF(T457="","Covered by "&amp;INDEX('Form Calc'!$B:$B,V457)&amp;"'s reply (same party)","Replied "&amp;TEXT(INDEX('Form Calc'!$A:$A,T457),"mm/dd")&amp;" · "&amp;INDEX('Form Calc'!$H:$H,T457)&amp;" adult(s), "&amp;INDEX('Form Calc'!$I:$I,T457)&amp;" child(ren)"&amp;IF(INDEX('Form Calc'!$K:$K,T457)&lt;&gt;""," · "&amp;INDEX('Form Calc'!$K:$K,T457),"")&amp;IF(INDEX('Form Calc'!$M:$M,T457)&lt;&gt;""," · “"&amp;INDEX('Form Calc'!$M:$M,T457)&amp;"”","")))</f>
        <v/>
      </c>
      <c r="R457" s="32">
        <f>SUBSTITUTE(SUBSTITUTE(SUBSTITUTE(SUBSTITUTE(SUBSTITUTE(SUBSTITUTE(SUBSTITUTE(SUBSTITUTE(D457&amp;""," ",""),"-",""),"(",""),")",""),".",""),"+",""),"/",""),CHAR(160),"")</f>
        <v/>
      </c>
      <c r="S457" s="32">
        <f>IF(LEN(R457)&gt;=10,RIGHT(R457,10),R457)</f>
        <v/>
      </c>
      <c r="T457" s="32">
        <f>IF(TRIM(A457&amp;"")="","",IF(S457&lt;&gt;"",IFERROR(MATCH(S457,'Form Calc'!$P:$P,0),IFERROR(MATCH(TRIM(A457&amp;""),'Form Calc'!$Q:$Q,0),"")),IFERROR(MATCH(TRIM(A457&amp;""),'Form Calc'!$Q:$Q,0),"")))</f>
        <v/>
      </c>
      <c r="U457" s="32">
        <f>IF(AND(T457&lt;&gt;"",TRIM(E457&amp;"")&lt;&gt;""),TRIM(E457&amp;""),"")</f>
        <v/>
      </c>
      <c r="V457" s="32">
        <f>IF(TRIM(A457&amp;"")="","",IF(T457&lt;&gt;"",T457,IF(TRIM(E457&amp;"")="","",IFERROR(INDEX($T$6:$T$505,MATCH(TRIM(E457&amp;""),$U$6:$U$505,0)),""))))</f>
        <v/>
      </c>
      <c r="W457" s="32">
        <f>IF(V457="","",INDEX('Form Calc'!$G:$G,V457))</f>
        <v/>
      </c>
      <c r="X457" s="32">
        <f>IF(TRIM(A457&amp;"")="","",IF(T457&lt;&gt;"",IF(INDEX('Form Calc'!$K:$K,T457)&lt;&gt;"",INDEX('Form Calc'!$K:$K,T457),J457&amp;""),J457&amp;""))</f>
        <v/>
      </c>
      <c r="Y457" s="32">
        <f>IF(TRIM(A457&amp;"")="","",IF(TRIM(D457&amp;"")&lt;&gt;"",TRIM(D457&amp;""),IF(T457&lt;&gt;"",INDEX('Form Calc'!$C:$C,T457)&amp;"","")))</f>
        <v/>
      </c>
      <c r="Z457" s="32">
        <f>SUBSTITUTE(SUBSTITUTE(SUBSTITUTE(SUBSTITUTE(SUBSTITUTE(SUBSTITUTE(SUBSTITUTE(SUBSTITUTE(Y457," ",""),"-",""),"(",""),")",""),".",""),"+",""),"/",""),CHAR(160),"")</f>
        <v/>
      </c>
      <c r="AA457" s="32">
        <f>IF(Z457="","",IF(LEN(Z457)=10,"+1"&amp;Z457,IF(AND(LEN(Z457)=11,LEFT(Z457,1)="1"),"+"&amp;Z457,IF(LEFT(Y457,1)="+","+"&amp;Z457,Z457))))</f>
        <v/>
      </c>
      <c r="AB457" s="32">
        <f>IF(TRIM(A457&amp;"")="","",IF(TRIM(M457&amp;"")&lt;&gt;"",TRIM(M457&amp;""),IFERROR(LEFT(TRIM(A457&amp;""),FIND(" ",TRIM(A457&amp;""))-1),TRIM(A457&amp;""))))</f>
        <v/>
      </c>
      <c r="AC457" s="32">
        <f>SUBSTITUTE(SUBSTITUTE(SUBSTITUTE(SUBSTITUTE(SUBSTITUTE(SUBSTITUTE(SUBSTITUTE(SUBSTITUTE(SUBSTITUTE(SUBSTITUTE(AB457,"%","%25"),"&amp;","%26"),"#","%23"),"+","%2B"),"=","%3D"),"?","%3F"),CHAR(34),"%22"),CHAR(10),"%0A"),CHAR(13),"")," ","+")</f>
        <v/>
      </c>
      <c r="AD457" s="32">
        <f>IF(OR(AA457="",AB457=""),"",'Start Here'!$B$20&amp;"#p="&amp;SUBSTITUTE(AA457,"+","%2B")&amp;"&amp;n="&amp;AC457&amp;"&amp;m="&amp;SUBSTITUTE('Start Here'!$B$24,"{name}",AC457))</f>
        <v/>
      </c>
      <c r="AE457" s="32">
        <f>LEN(AD457)</f>
        <v/>
      </c>
      <c r="AF457" s="32">
        <f>IF(AND(TRIM(A457&amp;"")&lt;&gt;"",OR(B457="Awaiting",B457="Not sure yet")),1,0)</f>
        <v/>
      </c>
      <c r="AG457" s="32">
        <f>N(AG456)+AF457</f>
        <v/>
      </c>
      <c r="AH457" s="32">
        <f>IF(AF457=1,AG457,"")</f>
        <v/>
      </c>
      <c r="AI457" s="32">
        <f>IF(AND(TRIM(A457&amp;"")&lt;&gt;"",L457&amp;""&lt;&gt;"",L457&amp;""=Seating!$I$3&amp;"",B457&lt;&gt;"Declined"),1,0)</f>
        <v/>
      </c>
      <c r="AJ457" s="32">
        <f>N(AJ456)+AI457</f>
        <v/>
      </c>
      <c r="AK457" s="32">
        <f>IF(AI457=1,AJ457,"")</f>
        <v/>
      </c>
    </row>
    <row r="458">
      <c r="A458" s="10" t="n"/>
      <c r="B458" s="47">
        <f>IF(TRIM(A458&amp;"")="","",IF(W458&lt;&gt;"",W458,IF(I458="","Awaiting",I458)))</f>
        <v/>
      </c>
      <c r="C458" s="60">
        <f>IF(OR(B458="Awaiting",B458="Not sure yet"),IF(AD458&lt;&gt;"",HYPERLINK(AD458,"💬 Remind"),"add mobile"),"")</f>
        <v/>
      </c>
      <c r="D458" s="58" t="n"/>
      <c r="E458" s="10" t="n"/>
      <c r="F458" s="10" t="n"/>
      <c r="G458" s="10" t="n"/>
      <c r="H458" s="10" t="n"/>
      <c r="I458" s="10" t="n"/>
      <c r="J458" s="10" t="n"/>
      <c r="K458" s="10" t="n"/>
      <c r="L458" s="56" t="n"/>
      <c r="M458" s="10" t="n"/>
      <c r="N458" s="12" t="n"/>
      <c r="O458" s="10" t="n"/>
      <c r="P458" s="10" t="n"/>
      <c r="Q458" s="61">
        <f>IF(V458="","",IF(T458="","Covered by "&amp;INDEX('Form Calc'!$B:$B,V458)&amp;"'s reply (same party)","Replied "&amp;TEXT(INDEX('Form Calc'!$A:$A,T458),"mm/dd")&amp;" · "&amp;INDEX('Form Calc'!$H:$H,T458)&amp;" adult(s), "&amp;INDEX('Form Calc'!$I:$I,T458)&amp;" child(ren)"&amp;IF(INDEX('Form Calc'!$K:$K,T458)&lt;&gt;""," · "&amp;INDEX('Form Calc'!$K:$K,T458),"")&amp;IF(INDEX('Form Calc'!$M:$M,T458)&lt;&gt;""," · “"&amp;INDEX('Form Calc'!$M:$M,T458)&amp;"”","")))</f>
        <v/>
      </c>
      <c r="R458" s="32">
        <f>SUBSTITUTE(SUBSTITUTE(SUBSTITUTE(SUBSTITUTE(SUBSTITUTE(SUBSTITUTE(SUBSTITUTE(SUBSTITUTE(D458&amp;""," ",""),"-",""),"(",""),")",""),".",""),"+",""),"/",""),CHAR(160),"")</f>
        <v/>
      </c>
      <c r="S458" s="32">
        <f>IF(LEN(R458)&gt;=10,RIGHT(R458,10),R458)</f>
        <v/>
      </c>
      <c r="T458" s="32">
        <f>IF(TRIM(A458&amp;"")="","",IF(S458&lt;&gt;"",IFERROR(MATCH(S458,'Form Calc'!$P:$P,0),IFERROR(MATCH(TRIM(A458&amp;""),'Form Calc'!$Q:$Q,0),"")),IFERROR(MATCH(TRIM(A458&amp;""),'Form Calc'!$Q:$Q,0),"")))</f>
        <v/>
      </c>
      <c r="U458" s="32">
        <f>IF(AND(T458&lt;&gt;"",TRIM(E458&amp;"")&lt;&gt;""),TRIM(E458&amp;""),"")</f>
        <v/>
      </c>
      <c r="V458" s="32">
        <f>IF(TRIM(A458&amp;"")="","",IF(T458&lt;&gt;"",T458,IF(TRIM(E458&amp;"")="","",IFERROR(INDEX($T$6:$T$505,MATCH(TRIM(E458&amp;""),$U$6:$U$505,0)),""))))</f>
        <v/>
      </c>
      <c r="W458" s="32">
        <f>IF(V458="","",INDEX('Form Calc'!$G:$G,V458))</f>
        <v/>
      </c>
      <c r="X458" s="32">
        <f>IF(TRIM(A458&amp;"")="","",IF(T458&lt;&gt;"",IF(INDEX('Form Calc'!$K:$K,T458)&lt;&gt;"",INDEX('Form Calc'!$K:$K,T458),J458&amp;""),J458&amp;""))</f>
        <v/>
      </c>
      <c r="Y458" s="32">
        <f>IF(TRIM(A458&amp;"")="","",IF(TRIM(D458&amp;"")&lt;&gt;"",TRIM(D458&amp;""),IF(T458&lt;&gt;"",INDEX('Form Calc'!$C:$C,T458)&amp;"","")))</f>
        <v/>
      </c>
      <c r="Z458" s="32">
        <f>SUBSTITUTE(SUBSTITUTE(SUBSTITUTE(SUBSTITUTE(SUBSTITUTE(SUBSTITUTE(SUBSTITUTE(SUBSTITUTE(Y458," ",""),"-",""),"(",""),")",""),".",""),"+",""),"/",""),CHAR(160),"")</f>
        <v/>
      </c>
      <c r="AA458" s="32">
        <f>IF(Z458="","",IF(LEN(Z458)=10,"+1"&amp;Z458,IF(AND(LEN(Z458)=11,LEFT(Z458,1)="1"),"+"&amp;Z458,IF(LEFT(Y458,1)="+","+"&amp;Z458,Z458))))</f>
        <v/>
      </c>
      <c r="AB458" s="32">
        <f>IF(TRIM(A458&amp;"")="","",IF(TRIM(M458&amp;"")&lt;&gt;"",TRIM(M458&amp;""),IFERROR(LEFT(TRIM(A458&amp;""),FIND(" ",TRIM(A458&amp;""))-1),TRIM(A458&amp;""))))</f>
        <v/>
      </c>
      <c r="AC458" s="32">
        <f>SUBSTITUTE(SUBSTITUTE(SUBSTITUTE(SUBSTITUTE(SUBSTITUTE(SUBSTITUTE(SUBSTITUTE(SUBSTITUTE(SUBSTITUTE(SUBSTITUTE(AB458,"%","%25"),"&amp;","%26"),"#","%23"),"+","%2B"),"=","%3D"),"?","%3F"),CHAR(34),"%22"),CHAR(10),"%0A"),CHAR(13),"")," ","+")</f>
        <v/>
      </c>
      <c r="AD458" s="32">
        <f>IF(OR(AA458="",AB458=""),"",'Start Here'!$B$20&amp;"#p="&amp;SUBSTITUTE(AA458,"+","%2B")&amp;"&amp;n="&amp;AC458&amp;"&amp;m="&amp;SUBSTITUTE('Start Here'!$B$24,"{name}",AC458))</f>
        <v/>
      </c>
      <c r="AE458" s="32">
        <f>LEN(AD458)</f>
        <v/>
      </c>
      <c r="AF458" s="32">
        <f>IF(AND(TRIM(A458&amp;"")&lt;&gt;"",OR(B458="Awaiting",B458="Not sure yet")),1,0)</f>
        <v/>
      </c>
      <c r="AG458" s="32">
        <f>N(AG457)+AF458</f>
        <v/>
      </c>
      <c r="AH458" s="32">
        <f>IF(AF458=1,AG458,"")</f>
        <v/>
      </c>
      <c r="AI458" s="32">
        <f>IF(AND(TRIM(A458&amp;"")&lt;&gt;"",L458&amp;""&lt;&gt;"",L458&amp;""=Seating!$I$3&amp;"",B458&lt;&gt;"Declined"),1,0)</f>
        <v/>
      </c>
      <c r="AJ458" s="32">
        <f>N(AJ457)+AI458</f>
        <v/>
      </c>
      <c r="AK458" s="32">
        <f>IF(AI458=1,AJ458,"")</f>
        <v/>
      </c>
    </row>
    <row r="459">
      <c r="A459" s="10" t="n"/>
      <c r="B459" s="47">
        <f>IF(TRIM(A459&amp;"")="","",IF(W459&lt;&gt;"",W459,IF(I459="","Awaiting",I459)))</f>
        <v/>
      </c>
      <c r="C459" s="60">
        <f>IF(OR(B459="Awaiting",B459="Not sure yet"),IF(AD459&lt;&gt;"",HYPERLINK(AD459,"💬 Remind"),"add mobile"),"")</f>
        <v/>
      </c>
      <c r="D459" s="58" t="n"/>
      <c r="E459" s="10" t="n"/>
      <c r="F459" s="10" t="n"/>
      <c r="G459" s="10" t="n"/>
      <c r="H459" s="10" t="n"/>
      <c r="I459" s="10" t="n"/>
      <c r="J459" s="10" t="n"/>
      <c r="K459" s="10" t="n"/>
      <c r="L459" s="56" t="n"/>
      <c r="M459" s="10" t="n"/>
      <c r="N459" s="12" t="n"/>
      <c r="O459" s="10" t="n"/>
      <c r="P459" s="10" t="n"/>
      <c r="Q459" s="61">
        <f>IF(V459="","",IF(T459="","Covered by "&amp;INDEX('Form Calc'!$B:$B,V459)&amp;"'s reply (same party)","Replied "&amp;TEXT(INDEX('Form Calc'!$A:$A,T459),"mm/dd")&amp;" · "&amp;INDEX('Form Calc'!$H:$H,T459)&amp;" adult(s), "&amp;INDEX('Form Calc'!$I:$I,T459)&amp;" child(ren)"&amp;IF(INDEX('Form Calc'!$K:$K,T459)&lt;&gt;""," · "&amp;INDEX('Form Calc'!$K:$K,T459),"")&amp;IF(INDEX('Form Calc'!$M:$M,T459)&lt;&gt;""," · “"&amp;INDEX('Form Calc'!$M:$M,T459)&amp;"”","")))</f>
        <v/>
      </c>
      <c r="R459" s="32">
        <f>SUBSTITUTE(SUBSTITUTE(SUBSTITUTE(SUBSTITUTE(SUBSTITUTE(SUBSTITUTE(SUBSTITUTE(SUBSTITUTE(D459&amp;""," ",""),"-",""),"(",""),")",""),".",""),"+",""),"/",""),CHAR(160),"")</f>
        <v/>
      </c>
      <c r="S459" s="32">
        <f>IF(LEN(R459)&gt;=10,RIGHT(R459,10),R459)</f>
        <v/>
      </c>
      <c r="T459" s="32">
        <f>IF(TRIM(A459&amp;"")="","",IF(S459&lt;&gt;"",IFERROR(MATCH(S459,'Form Calc'!$P:$P,0),IFERROR(MATCH(TRIM(A459&amp;""),'Form Calc'!$Q:$Q,0),"")),IFERROR(MATCH(TRIM(A459&amp;""),'Form Calc'!$Q:$Q,0),"")))</f>
        <v/>
      </c>
      <c r="U459" s="32">
        <f>IF(AND(T459&lt;&gt;"",TRIM(E459&amp;"")&lt;&gt;""),TRIM(E459&amp;""),"")</f>
        <v/>
      </c>
      <c r="V459" s="32">
        <f>IF(TRIM(A459&amp;"")="","",IF(T459&lt;&gt;"",T459,IF(TRIM(E459&amp;"")="","",IFERROR(INDEX($T$6:$T$505,MATCH(TRIM(E459&amp;""),$U$6:$U$505,0)),""))))</f>
        <v/>
      </c>
      <c r="W459" s="32">
        <f>IF(V459="","",INDEX('Form Calc'!$G:$G,V459))</f>
        <v/>
      </c>
      <c r="X459" s="32">
        <f>IF(TRIM(A459&amp;"")="","",IF(T459&lt;&gt;"",IF(INDEX('Form Calc'!$K:$K,T459)&lt;&gt;"",INDEX('Form Calc'!$K:$K,T459),J459&amp;""),J459&amp;""))</f>
        <v/>
      </c>
      <c r="Y459" s="32">
        <f>IF(TRIM(A459&amp;"")="","",IF(TRIM(D459&amp;"")&lt;&gt;"",TRIM(D459&amp;""),IF(T459&lt;&gt;"",INDEX('Form Calc'!$C:$C,T459)&amp;"","")))</f>
        <v/>
      </c>
      <c r="Z459" s="32">
        <f>SUBSTITUTE(SUBSTITUTE(SUBSTITUTE(SUBSTITUTE(SUBSTITUTE(SUBSTITUTE(SUBSTITUTE(SUBSTITUTE(Y459," ",""),"-",""),"(",""),")",""),".",""),"+",""),"/",""),CHAR(160),"")</f>
        <v/>
      </c>
      <c r="AA459" s="32">
        <f>IF(Z459="","",IF(LEN(Z459)=10,"+1"&amp;Z459,IF(AND(LEN(Z459)=11,LEFT(Z459,1)="1"),"+"&amp;Z459,IF(LEFT(Y459,1)="+","+"&amp;Z459,Z459))))</f>
        <v/>
      </c>
      <c r="AB459" s="32">
        <f>IF(TRIM(A459&amp;"")="","",IF(TRIM(M459&amp;"")&lt;&gt;"",TRIM(M459&amp;""),IFERROR(LEFT(TRIM(A459&amp;""),FIND(" ",TRIM(A459&amp;""))-1),TRIM(A459&amp;""))))</f>
        <v/>
      </c>
      <c r="AC459" s="32">
        <f>SUBSTITUTE(SUBSTITUTE(SUBSTITUTE(SUBSTITUTE(SUBSTITUTE(SUBSTITUTE(SUBSTITUTE(SUBSTITUTE(SUBSTITUTE(SUBSTITUTE(AB459,"%","%25"),"&amp;","%26"),"#","%23"),"+","%2B"),"=","%3D"),"?","%3F"),CHAR(34),"%22"),CHAR(10),"%0A"),CHAR(13),"")," ","+")</f>
        <v/>
      </c>
      <c r="AD459" s="32">
        <f>IF(OR(AA459="",AB459=""),"",'Start Here'!$B$20&amp;"#p="&amp;SUBSTITUTE(AA459,"+","%2B")&amp;"&amp;n="&amp;AC459&amp;"&amp;m="&amp;SUBSTITUTE('Start Here'!$B$24,"{name}",AC459))</f>
        <v/>
      </c>
      <c r="AE459" s="32">
        <f>LEN(AD459)</f>
        <v/>
      </c>
      <c r="AF459" s="32">
        <f>IF(AND(TRIM(A459&amp;"")&lt;&gt;"",OR(B459="Awaiting",B459="Not sure yet")),1,0)</f>
        <v/>
      </c>
      <c r="AG459" s="32">
        <f>N(AG458)+AF459</f>
        <v/>
      </c>
      <c r="AH459" s="32">
        <f>IF(AF459=1,AG459,"")</f>
        <v/>
      </c>
      <c r="AI459" s="32">
        <f>IF(AND(TRIM(A459&amp;"")&lt;&gt;"",L459&amp;""&lt;&gt;"",L459&amp;""=Seating!$I$3&amp;"",B459&lt;&gt;"Declined"),1,0)</f>
        <v/>
      </c>
      <c r="AJ459" s="32">
        <f>N(AJ458)+AI459</f>
        <v/>
      </c>
      <c r="AK459" s="32">
        <f>IF(AI459=1,AJ459,"")</f>
        <v/>
      </c>
    </row>
    <row r="460">
      <c r="A460" s="10" t="n"/>
      <c r="B460" s="47">
        <f>IF(TRIM(A460&amp;"")="","",IF(W460&lt;&gt;"",W460,IF(I460="","Awaiting",I460)))</f>
        <v/>
      </c>
      <c r="C460" s="60">
        <f>IF(OR(B460="Awaiting",B460="Not sure yet"),IF(AD460&lt;&gt;"",HYPERLINK(AD460,"💬 Remind"),"add mobile"),"")</f>
        <v/>
      </c>
      <c r="D460" s="58" t="n"/>
      <c r="E460" s="10" t="n"/>
      <c r="F460" s="10" t="n"/>
      <c r="G460" s="10" t="n"/>
      <c r="H460" s="10" t="n"/>
      <c r="I460" s="10" t="n"/>
      <c r="J460" s="10" t="n"/>
      <c r="K460" s="10" t="n"/>
      <c r="L460" s="56" t="n"/>
      <c r="M460" s="10" t="n"/>
      <c r="N460" s="12" t="n"/>
      <c r="O460" s="10" t="n"/>
      <c r="P460" s="10" t="n"/>
      <c r="Q460" s="61">
        <f>IF(V460="","",IF(T460="","Covered by "&amp;INDEX('Form Calc'!$B:$B,V460)&amp;"'s reply (same party)","Replied "&amp;TEXT(INDEX('Form Calc'!$A:$A,T460),"mm/dd")&amp;" · "&amp;INDEX('Form Calc'!$H:$H,T460)&amp;" adult(s), "&amp;INDEX('Form Calc'!$I:$I,T460)&amp;" child(ren)"&amp;IF(INDEX('Form Calc'!$K:$K,T460)&lt;&gt;""," · "&amp;INDEX('Form Calc'!$K:$K,T460),"")&amp;IF(INDEX('Form Calc'!$M:$M,T460)&lt;&gt;""," · “"&amp;INDEX('Form Calc'!$M:$M,T460)&amp;"”","")))</f>
        <v/>
      </c>
      <c r="R460" s="32">
        <f>SUBSTITUTE(SUBSTITUTE(SUBSTITUTE(SUBSTITUTE(SUBSTITUTE(SUBSTITUTE(SUBSTITUTE(SUBSTITUTE(D460&amp;""," ",""),"-",""),"(",""),")",""),".",""),"+",""),"/",""),CHAR(160),"")</f>
        <v/>
      </c>
      <c r="S460" s="32">
        <f>IF(LEN(R460)&gt;=10,RIGHT(R460,10),R460)</f>
        <v/>
      </c>
      <c r="T460" s="32">
        <f>IF(TRIM(A460&amp;"")="","",IF(S460&lt;&gt;"",IFERROR(MATCH(S460,'Form Calc'!$P:$P,0),IFERROR(MATCH(TRIM(A460&amp;""),'Form Calc'!$Q:$Q,0),"")),IFERROR(MATCH(TRIM(A460&amp;""),'Form Calc'!$Q:$Q,0),"")))</f>
        <v/>
      </c>
      <c r="U460" s="32">
        <f>IF(AND(T460&lt;&gt;"",TRIM(E460&amp;"")&lt;&gt;""),TRIM(E460&amp;""),"")</f>
        <v/>
      </c>
      <c r="V460" s="32">
        <f>IF(TRIM(A460&amp;"")="","",IF(T460&lt;&gt;"",T460,IF(TRIM(E460&amp;"")="","",IFERROR(INDEX($T$6:$T$505,MATCH(TRIM(E460&amp;""),$U$6:$U$505,0)),""))))</f>
        <v/>
      </c>
      <c r="W460" s="32">
        <f>IF(V460="","",INDEX('Form Calc'!$G:$G,V460))</f>
        <v/>
      </c>
      <c r="X460" s="32">
        <f>IF(TRIM(A460&amp;"")="","",IF(T460&lt;&gt;"",IF(INDEX('Form Calc'!$K:$K,T460)&lt;&gt;"",INDEX('Form Calc'!$K:$K,T460),J460&amp;""),J460&amp;""))</f>
        <v/>
      </c>
      <c r="Y460" s="32">
        <f>IF(TRIM(A460&amp;"")="","",IF(TRIM(D460&amp;"")&lt;&gt;"",TRIM(D460&amp;""),IF(T460&lt;&gt;"",INDEX('Form Calc'!$C:$C,T460)&amp;"","")))</f>
        <v/>
      </c>
      <c r="Z460" s="32">
        <f>SUBSTITUTE(SUBSTITUTE(SUBSTITUTE(SUBSTITUTE(SUBSTITUTE(SUBSTITUTE(SUBSTITUTE(SUBSTITUTE(Y460," ",""),"-",""),"(",""),")",""),".",""),"+",""),"/",""),CHAR(160),"")</f>
        <v/>
      </c>
      <c r="AA460" s="32">
        <f>IF(Z460="","",IF(LEN(Z460)=10,"+1"&amp;Z460,IF(AND(LEN(Z460)=11,LEFT(Z460,1)="1"),"+"&amp;Z460,IF(LEFT(Y460,1)="+","+"&amp;Z460,Z460))))</f>
        <v/>
      </c>
      <c r="AB460" s="32">
        <f>IF(TRIM(A460&amp;"")="","",IF(TRIM(M460&amp;"")&lt;&gt;"",TRIM(M460&amp;""),IFERROR(LEFT(TRIM(A460&amp;""),FIND(" ",TRIM(A460&amp;""))-1),TRIM(A460&amp;""))))</f>
        <v/>
      </c>
      <c r="AC460" s="32">
        <f>SUBSTITUTE(SUBSTITUTE(SUBSTITUTE(SUBSTITUTE(SUBSTITUTE(SUBSTITUTE(SUBSTITUTE(SUBSTITUTE(SUBSTITUTE(SUBSTITUTE(AB460,"%","%25"),"&amp;","%26"),"#","%23"),"+","%2B"),"=","%3D"),"?","%3F"),CHAR(34),"%22"),CHAR(10),"%0A"),CHAR(13),"")," ","+")</f>
        <v/>
      </c>
      <c r="AD460" s="32">
        <f>IF(OR(AA460="",AB460=""),"",'Start Here'!$B$20&amp;"#p="&amp;SUBSTITUTE(AA460,"+","%2B")&amp;"&amp;n="&amp;AC460&amp;"&amp;m="&amp;SUBSTITUTE('Start Here'!$B$24,"{name}",AC460))</f>
        <v/>
      </c>
      <c r="AE460" s="32">
        <f>LEN(AD460)</f>
        <v/>
      </c>
      <c r="AF460" s="32">
        <f>IF(AND(TRIM(A460&amp;"")&lt;&gt;"",OR(B460="Awaiting",B460="Not sure yet")),1,0)</f>
        <v/>
      </c>
      <c r="AG460" s="32">
        <f>N(AG459)+AF460</f>
        <v/>
      </c>
      <c r="AH460" s="32">
        <f>IF(AF460=1,AG460,"")</f>
        <v/>
      </c>
      <c r="AI460" s="32">
        <f>IF(AND(TRIM(A460&amp;"")&lt;&gt;"",L460&amp;""&lt;&gt;"",L460&amp;""=Seating!$I$3&amp;"",B460&lt;&gt;"Declined"),1,0)</f>
        <v/>
      </c>
      <c r="AJ460" s="32">
        <f>N(AJ459)+AI460</f>
        <v/>
      </c>
      <c r="AK460" s="32">
        <f>IF(AI460=1,AJ460,"")</f>
        <v/>
      </c>
    </row>
    <row r="461">
      <c r="A461" s="10" t="n"/>
      <c r="B461" s="47">
        <f>IF(TRIM(A461&amp;"")="","",IF(W461&lt;&gt;"",W461,IF(I461="","Awaiting",I461)))</f>
        <v/>
      </c>
      <c r="C461" s="60">
        <f>IF(OR(B461="Awaiting",B461="Not sure yet"),IF(AD461&lt;&gt;"",HYPERLINK(AD461,"💬 Remind"),"add mobile"),"")</f>
        <v/>
      </c>
      <c r="D461" s="58" t="n"/>
      <c r="E461" s="10" t="n"/>
      <c r="F461" s="10" t="n"/>
      <c r="G461" s="10" t="n"/>
      <c r="H461" s="10" t="n"/>
      <c r="I461" s="10" t="n"/>
      <c r="J461" s="10" t="n"/>
      <c r="K461" s="10" t="n"/>
      <c r="L461" s="56" t="n"/>
      <c r="M461" s="10" t="n"/>
      <c r="N461" s="12" t="n"/>
      <c r="O461" s="10" t="n"/>
      <c r="P461" s="10" t="n"/>
      <c r="Q461" s="61">
        <f>IF(V461="","",IF(T461="","Covered by "&amp;INDEX('Form Calc'!$B:$B,V461)&amp;"'s reply (same party)","Replied "&amp;TEXT(INDEX('Form Calc'!$A:$A,T461),"mm/dd")&amp;" · "&amp;INDEX('Form Calc'!$H:$H,T461)&amp;" adult(s), "&amp;INDEX('Form Calc'!$I:$I,T461)&amp;" child(ren)"&amp;IF(INDEX('Form Calc'!$K:$K,T461)&lt;&gt;""," · "&amp;INDEX('Form Calc'!$K:$K,T461),"")&amp;IF(INDEX('Form Calc'!$M:$M,T461)&lt;&gt;""," · “"&amp;INDEX('Form Calc'!$M:$M,T461)&amp;"”","")))</f>
        <v/>
      </c>
      <c r="R461" s="32">
        <f>SUBSTITUTE(SUBSTITUTE(SUBSTITUTE(SUBSTITUTE(SUBSTITUTE(SUBSTITUTE(SUBSTITUTE(SUBSTITUTE(D461&amp;""," ",""),"-",""),"(",""),")",""),".",""),"+",""),"/",""),CHAR(160),"")</f>
        <v/>
      </c>
      <c r="S461" s="32">
        <f>IF(LEN(R461)&gt;=10,RIGHT(R461,10),R461)</f>
        <v/>
      </c>
      <c r="T461" s="32">
        <f>IF(TRIM(A461&amp;"")="","",IF(S461&lt;&gt;"",IFERROR(MATCH(S461,'Form Calc'!$P:$P,0),IFERROR(MATCH(TRIM(A461&amp;""),'Form Calc'!$Q:$Q,0),"")),IFERROR(MATCH(TRIM(A461&amp;""),'Form Calc'!$Q:$Q,0),"")))</f>
        <v/>
      </c>
      <c r="U461" s="32">
        <f>IF(AND(T461&lt;&gt;"",TRIM(E461&amp;"")&lt;&gt;""),TRIM(E461&amp;""),"")</f>
        <v/>
      </c>
      <c r="V461" s="32">
        <f>IF(TRIM(A461&amp;"")="","",IF(T461&lt;&gt;"",T461,IF(TRIM(E461&amp;"")="","",IFERROR(INDEX($T$6:$T$505,MATCH(TRIM(E461&amp;""),$U$6:$U$505,0)),""))))</f>
        <v/>
      </c>
      <c r="W461" s="32">
        <f>IF(V461="","",INDEX('Form Calc'!$G:$G,V461))</f>
        <v/>
      </c>
      <c r="X461" s="32">
        <f>IF(TRIM(A461&amp;"")="","",IF(T461&lt;&gt;"",IF(INDEX('Form Calc'!$K:$K,T461)&lt;&gt;"",INDEX('Form Calc'!$K:$K,T461),J461&amp;""),J461&amp;""))</f>
        <v/>
      </c>
      <c r="Y461" s="32">
        <f>IF(TRIM(A461&amp;"")="","",IF(TRIM(D461&amp;"")&lt;&gt;"",TRIM(D461&amp;""),IF(T461&lt;&gt;"",INDEX('Form Calc'!$C:$C,T461)&amp;"","")))</f>
        <v/>
      </c>
      <c r="Z461" s="32">
        <f>SUBSTITUTE(SUBSTITUTE(SUBSTITUTE(SUBSTITUTE(SUBSTITUTE(SUBSTITUTE(SUBSTITUTE(SUBSTITUTE(Y461," ",""),"-",""),"(",""),")",""),".",""),"+",""),"/",""),CHAR(160),"")</f>
        <v/>
      </c>
      <c r="AA461" s="32">
        <f>IF(Z461="","",IF(LEN(Z461)=10,"+1"&amp;Z461,IF(AND(LEN(Z461)=11,LEFT(Z461,1)="1"),"+"&amp;Z461,IF(LEFT(Y461,1)="+","+"&amp;Z461,Z461))))</f>
        <v/>
      </c>
      <c r="AB461" s="32">
        <f>IF(TRIM(A461&amp;"")="","",IF(TRIM(M461&amp;"")&lt;&gt;"",TRIM(M461&amp;""),IFERROR(LEFT(TRIM(A461&amp;""),FIND(" ",TRIM(A461&amp;""))-1),TRIM(A461&amp;""))))</f>
        <v/>
      </c>
      <c r="AC461" s="32">
        <f>SUBSTITUTE(SUBSTITUTE(SUBSTITUTE(SUBSTITUTE(SUBSTITUTE(SUBSTITUTE(SUBSTITUTE(SUBSTITUTE(SUBSTITUTE(SUBSTITUTE(AB461,"%","%25"),"&amp;","%26"),"#","%23"),"+","%2B"),"=","%3D"),"?","%3F"),CHAR(34),"%22"),CHAR(10),"%0A"),CHAR(13),"")," ","+")</f>
        <v/>
      </c>
      <c r="AD461" s="32">
        <f>IF(OR(AA461="",AB461=""),"",'Start Here'!$B$20&amp;"#p="&amp;SUBSTITUTE(AA461,"+","%2B")&amp;"&amp;n="&amp;AC461&amp;"&amp;m="&amp;SUBSTITUTE('Start Here'!$B$24,"{name}",AC461))</f>
        <v/>
      </c>
      <c r="AE461" s="32">
        <f>LEN(AD461)</f>
        <v/>
      </c>
      <c r="AF461" s="32">
        <f>IF(AND(TRIM(A461&amp;"")&lt;&gt;"",OR(B461="Awaiting",B461="Not sure yet")),1,0)</f>
        <v/>
      </c>
      <c r="AG461" s="32">
        <f>N(AG460)+AF461</f>
        <v/>
      </c>
      <c r="AH461" s="32">
        <f>IF(AF461=1,AG461,"")</f>
        <v/>
      </c>
      <c r="AI461" s="32">
        <f>IF(AND(TRIM(A461&amp;"")&lt;&gt;"",L461&amp;""&lt;&gt;"",L461&amp;""=Seating!$I$3&amp;"",B461&lt;&gt;"Declined"),1,0)</f>
        <v/>
      </c>
      <c r="AJ461" s="32">
        <f>N(AJ460)+AI461</f>
        <v/>
      </c>
      <c r="AK461" s="32">
        <f>IF(AI461=1,AJ461,"")</f>
        <v/>
      </c>
    </row>
    <row r="462">
      <c r="A462" s="10" t="n"/>
      <c r="B462" s="47">
        <f>IF(TRIM(A462&amp;"")="","",IF(W462&lt;&gt;"",W462,IF(I462="","Awaiting",I462)))</f>
        <v/>
      </c>
      <c r="C462" s="60">
        <f>IF(OR(B462="Awaiting",B462="Not sure yet"),IF(AD462&lt;&gt;"",HYPERLINK(AD462,"💬 Remind"),"add mobile"),"")</f>
        <v/>
      </c>
      <c r="D462" s="58" t="n"/>
      <c r="E462" s="10" t="n"/>
      <c r="F462" s="10" t="n"/>
      <c r="G462" s="10" t="n"/>
      <c r="H462" s="10" t="n"/>
      <c r="I462" s="10" t="n"/>
      <c r="J462" s="10" t="n"/>
      <c r="K462" s="10" t="n"/>
      <c r="L462" s="56" t="n"/>
      <c r="M462" s="10" t="n"/>
      <c r="N462" s="12" t="n"/>
      <c r="O462" s="10" t="n"/>
      <c r="P462" s="10" t="n"/>
      <c r="Q462" s="61">
        <f>IF(V462="","",IF(T462="","Covered by "&amp;INDEX('Form Calc'!$B:$B,V462)&amp;"'s reply (same party)","Replied "&amp;TEXT(INDEX('Form Calc'!$A:$A,T462),"mm/dd")&amp;" · "&amp;INDEX('Form Calc'!$H:$H,T462)&amp;" adult(s), "&amp;INDEX('Form Calc'!$I:$I,T462)&amp;" child(ren)"&amp;IF(INDEX('Form Calc'!$K:$K,T462)&lt;&gt;""," · "&amp;INDEX('Form Calc'!$K:$K,T462),"")&amp;IF(INDEX('Form Calc'!$M:$M,T462)&lt;&gt;""," · “"&amp;INDEX('Form Calc'!$M:$M,T462)&amp;"”","")))</f>
        <v/>
      </c>
      <c r="R462" s="32">
        <f>SUBSTITUTE(SUBSTITUTE(SUBSTITUTE(SUBSTITUTE(SUBSTITUTE(SUBSTITUTE(SUBSTITUTE(SUBSTITUTE(D462&amp;""," ",""),"-",""),"(",""),")",""),".",""),"+",""),"/",""),CHAR(160),"")</f>
        <v/>
      </c>
      <c r="S462" s="32">
        <f>IF(LEN(R462)&gt;=10,RIGHT(R462,10),R462)</f>
        <v/>
      </c>
      <c r="T462" s="32">
        <f>IF(TRIM(A462&amp;"")="","",IF(S462&lt;&gt;"",IFERROR(MATCH(S462,'Form Calc'!$P:$P,0),IFERROR(MATCH(TRIM(A462&amp;""),'Form Calc'!$Q:$Q,0),"")),IFERROR(MATCH(TRIM(A462&amp;""),'Form Calc'!$Q:$Q,0),"")))</f>
        <v/>
      </c>
      <c r="U462" s="32">
        <f>IF(AND(T462&lt;&gt;"",TRIM(E462&amp;"")&lt;&gt;""),TRIM(E462&amp;""),"")</f>
        <v/>
      </c>
      <c r="V462" s="32">
        <f>IF(TRIM(A462&amp;"")="","",IF(T462&lt;&gt;"",T462,IF(TRIM(E462&amp;"")="","",IFERROR(INDEX($T$6:$T$505,MATCH(TRIM(E462&amp;""),$U$6:$U$505,0)),""))))</f>
        <v/>
      </c>
      <c r="W462" s="32">
        <f>IF(V462="","",INDEX('Form Calc'!$G:$G,V462))</f>
        <v/>
      </c>
      <c r="X462" s="32">
        <f>IF(TRIM(A462&amp;"")="","",IF(T462&lt;&gt;"",IF(INDEX('Form Calc'!$K:$K,T462)&lt;&gt;"",INDEX('Form Calc'!$K:$K,T462),J462&amp;""),J462&amp;""))</f>
        <v/>
      </c>
      <c r="Y462" s="32">
        <f>IF(TRIM(A462&amp;"")="","",IF(TRIM(D462&amp;"")&lt;&gt;"",TRIM(D462&amp;""),IF(T462&lt;&gt;"",INDEX('Form Calc'!$C:$C,T462)&amp;"","")))</f>
        <v/>
      </c>
      <c r="Z462" s="32">
        <f>SUBSTITUTE(SUBSTITUTE(SUBSTITUTE(SUBSTITUTE(SUBSTITUTE(SUBSTITUTE(SUBSTITUTE(SUBSTITUTE(Y462," ",""),"-",""),"(",""),")",""),".",""),"+",""),"/",""),CHAR(160),"")</f>
        <v/>
      </c>
      <c r="AA462" s="32">
        <f>IF(Z462="","",IF(LEN(Z462)=10,"+1"&amp;Z462,IF(AND(LEN(Z462)=11,LEFT(Z462,1)="1"),"+"&amp;Z462,IF(LEFT(Y462,1)="+","+"&amp;Z462,Z462))))</f>
        <v/>
      </c>
      <c r="AB462" s="32">
        <f>IF(TRIM(A462&amp;"")="","",IF(TRIM(M462&amp;"")&lt;&gt;"",TRIM(M462&amp;""),IFERROR(LEFT(TRIM(A462&amp;""),FIND(" ",TRIM(A462&amp;""))-1),TRIM(A462&amp;""))))</f>
        <v/>
      </c>
      <c r="AC462" s="32">
        <f>SUBSTITUTE(SUBSTITUTE(SUBSTITUTE(SUBSTITUTE(SUBSTITUTE(SUBSTITUTE(SUBSTITUTE(SUBSTITUTE(SUBSTITUTE(SUBSTITUTE(AB462,"%","%25"),"&amp;","%26"),"#","%23"),"+","%2B"),"=","%3D"),"?","%3F"),CHAR(34),"%22"),CHAR(10),"%0A"),CHAR(13),"")," ","+")</f>
        <v/>
      </c>
      <c r="AD462" s="32">
        <f>IF(OR(AA462="",AB462=""),"",'Start Here'!$B$20&amp;"#p="&amp;SUBSTITUTE(AA462,"+","%2B")&amp;"&amp;n="&amp;AC462&amp;"&amp;m="&amp;SUBSTITUTE('Start Here'!$B$24,"{name}",AC462))</f>
        <v/>
      </c>
      <c r="AE462" s="32">
        <f>LEN(AD462)</f>
        <v/>
      </c>
      <c r="AF462" s="32">
        <f>IF(AND(TRIM(A462&amp;"")&lt;&gt;"",OR(B462="Awaiting",B462="Not sure yet")),1,0)</f>
        <v/>
      </c>
      <c r="AG462" s="32">
        <f>N(AG461)+AF462</f>
        <v/>
      </c>
      <c r="AH462" s="32">
        <f>IF(AF462=1,AG462,"")</f>
        <v/>
      </c>
      <c r="AI462" s="32">
        <f>IF(AND(TRIM(A462&amp;"")&lt;&gt;"",L462&amp;""&lt;&gt;"",L462&amp;""=Seating!$I$3&amp;"",B462&lt;&gt;"Declined"),1,0)</f>
        <v/>
      </c>
      <c r="AJ462" s="32">
        <f>N(AJ461)+AI462</f>
        <v/>
      </c>
      <c r="AK462" s="32">
        <f>IF(AI462=1,AJ462,"")</f>
        <v/>
      </c>
    </row>
    <row r="463">
      <c r="A463" s="10" t="n"/>
      <c r="B463" s="47">
        <f>IF(TRIM(A463&amp;"")="","",IF(W463&lt;&gt;"",W463,IF(I463="","Awaiting",I463)))</f>
        <v/>
      </c>
      <c r="C463" s="60">
        <f>IF(OR(B463="Awaiting",B463="Not sure yet"),IF(AD463&lt;&gt;"",HYPERLINK(AD463,"💬 Remind"),"add mobile"),"")</f>
        <v/>
      </c>
      <c r="D463" s="58" t="n"/>
      <c r="E463" s="10" t="n"/>
      <c r="F463" s="10" t="n"/>
      <c r="G463" s="10" t="n"/>
      <c r="H463" s="10" t="n"/>
      <c r="I463" s="10" t="n"/>
      <c r="J463" s="10" t="n"/>
      <c r="K463" s="10" t="n"/>
      <c r="L463" s="56" t="n"/>
      <c r="M463" s="10" t="n"/>
      <c r="N463" s="12" t="n"/>
      <c r="O463" s="10" t="n"/>
      <c r="P463" s="10" t="n"/>
      <c r="Q463" s="61">
        <f>IF(V463="","",IF(T463="","Covered by "&amp;INDEX('Form Calc'!$B:$B,V463)&amp;"'s reply (same party)","Replied "&amp;TEXT(INDEX('Form Calc'!$A:$A,T463),"mm/dd")&amp;" · "&amp;INDEX('Form Calc'!$H:$H,T463)&amp;" adult(s), "&amp;INDEX('Form Calc'!$I:$I,T463)&amp;" child(ren)"&amp;IF(INDEX('Form Calc'!$K:$K,T463)&lt;&gt;""," · "&amp;INDEX('Form Calc'!$K:$K,T463),"")&amp;IF(INDEX('Form Calc'!$M:$M,T463)&lt;&gt;""," · “"&amp;INDEX('Form Calc'!$M:$M,T463)&amp;"”","")))</f>
        <v/>
      </c>
      <c r="R463" s="32">
        <f>SUBSTITUTE(SUBSTITUTE(SUBSTITUTE(SUBSTITUTE(SUBSTITUTE(SUBSTITUTE(SUBSTITUTE(SUBSTITUTE(D463&amp;""," ",""),"-",""),"(",""),")",""),".",""),"+",""),"/",""),CHAR(160),"")</f>
        <v/>
      </c>
      <c r="S463" s="32">
        <f>IF(LEN(R463)&gt;=10,RIGHT(R463,10),R463)</f>
        <v/>
      </c>
      <c r="T463" s="32">
        <f>IF(TRIM(A463&amp;"")="","",IF(S463&lt;&gt;"",IFERROR(MATCH(S463,'Form Calc'!$P:$P,0),IFERROR(MATCH(TRIM(A463&amp;""),'Form Calc'!$Q:$Q,0),"")),IFERROR(MATCH(TRIM(A463&amp;""),'Form Calc'!$Q:$Q,0),"")))</f>
        <v/>
      </c>
      <c r="U463" s="32">
        <f>IF(AND(T463&lt;&gt;"",TRIM(E463&amp;"")&lt;&gt;""),TRIM(E463&amp;""),"")</f>
        <v/>
      </c>
      <c r="V463" s="32">
        <f>IF(TRIM(A463&amp;"")="","",IF(T463&lt;&gt;"",T463,IF(TRIM(E463&amp;"")="","",IFERROR(INDEX($T$6:$T$505,MATCH(TRIM(E463&amp;""),$U$6:$U$505,0)),""))))</f>
        <v/>
      </c>
      <c r="W463" s="32">
        <f>IF(V463="","",INDEX('Form Calc'!$G:$G,V463))</f>
        <v/>
      </c>
      <c r="X463" s="32">
        <f>IF(TRIM(A463&amp;"")="","",IF(T463&lt;&gt;"",IF(INDEX('Form Calc'!$K:$K,T463)&lt;&gt;"",INDEX('Form Calc'!$K:$K,T463),J463&amp;""),J463&amp;""))</f>
        <v/>
      </c>
      <c r="Y463" s="32">
        <f>IF(TRIM(A463&amp;"")="","",IF(TRIM(D463&amp;"")&lt;&gt;"",TRIM(D463&amp;""),IF(T463&lt;&gt;"",INDEX('Form Calc'!$C:$C,T463)&amp;"","")))</f>
        <v/>
      </c>
      <c r="Z463" s="32">
        <f>SUBSTITUTE(SUBSTITUTE(SUBSTITUTE(SUBSTITUTE(SUBSTITUTE(SUBSTITUTE(SUBSTITUTE(SUBSTITUTE(Y463," ",""),"-",""),"(",""),")",""),".",""),"+",""),"/",""),CHAR(160),"")</f>
        <v/>
      </c>
      <c r="AA463" s="32">
        <f>IF(Z463="","",IF(LEN(Z463)=10,"+1"&amp;Z463,IF(AND(LEN(Z463)=11,LEFT(Z463,1)="1"),"+"&amp;Z463,IF(LEFT(Y463,1)="+","+"&amp;Z463,Z463))))</f>
        <v/>
      </c>
      <c r="AB463" s="32">
        <f>IF(TRIM(A463&amp;"")="","",IF(TRIM(M463&amp;"")&lt;&gt;"",TRIM(M463&amp;""),IFERROR(LEFT(TRIM(A463&amp;""),FIND(" ",TRIM(A463&amp;""))-1),TRIM(A463&amp;""))))</f>
        <v/>
      </c>
      <c r="AC463" s="32">
        <f>SUBSTITUTE(SUBSTITUTE(SUBSTITUTE(SUBSTITUTE(SUBSTITUTE(SUBSTITUTE(SUBSTITUTE(SUBSTITUTE(SUBSTITUTE(SUBSTITUTE(AB463,"%","%25"),"&amp;","%26"),"#","%23"),"+","%2B"),"=","%3D"),"?","%3F"),CHAR(34),"%22"),CHAR(10),"%0A"),CHAR(13),"")," ","+")</f>
        <v/>
      </c>
      <c r="AD463" s="32">
        <f>IF(OR(AA463="",AB463=""),"",'Start Here'!$B$20&amp;"#p="&amp;SUBSTITUTE(AA463,"+","%2B")&amp;"&amp;n="&amp;AC463&amp;"&amp;m="&amp;SUBSTITUTE('Start Here'!$B$24,"{name}",AC463))</f>
        <v/>
      </c>
      <c r="AE463" s="32">
        <f>LEN(AD463)</f>
        <v/>
      </c>
      <c r="AF463" s="32">
        <f>IF(AND(TRIM(A463&amp;"")&lt;&gt;"",OR(B463="Awaiting",B463="Not sure yet")),1,0)</f>
        <v/>
      </c>
      <c r="AG463" s="32">
        <f>N(AG462)+AF463</f>
        <v/>
      </c>
      <c r="AH463" s="32">
        <f>IF(AF463=1,AG463,"")</f>
        <v/>
      </c>
      <c r="AI463" s="32">
        <f>IF(AND(TRIM(A463&amp;"")&lt;&gt;"",L463&amp;""&lt;&gt;"",L463&amp;""=Seating!$I$3&amp;"",B463&lt;&gt;"Declined"),1,0)</f>
        <v/>
      </c>
      <c r="AJ463" s="32">
        <f>N(AJ462)+AI463</f>
        <v/>
      </c>
      <c r="AK463" s="32">
        <f>IF(AI463=1,AJ463,"")</f>
        <v/>
      </c>
    </row>
    <row r="464">
      <c r="A464" s="10" t="n"/>
      <c r="B464" s="47">
        <f>IF(TRIM(A464&amp;"")="","",IF(W464&lt;&gt;"",W464,IF(I464="","Awaiting",I464)))</f>
        <v/>
      </c>
      <c r="C464" s="60">
        <f>IF(OR(B464="Awaiting",B464="Not sure yet"),IF(AD464&lt;&gt;"",HYPERLINK(AD464,"💬 Remind"),"add mobile"),"")</f>
        <v/>
      </c>
      <c r="D464" s="58" t="n"/>
      <c r="E464" s="10" t="n"/>
      <c r="F464" s="10" t="n"/>
      <c r="G464" s="10" t="n"/>
      <c r="H464" s="10" t="n"/>
      <c r="I464" s="10" t="n"/>
      <c r="J464" s="10" t="n"/>
      <c r="K464" s="10" t="n"/>
      <c r="L464" s="56" t="n"/>
      <c r="M464" s="10" t="n"/>
      <c r="N464" s="12" t="n"/>
      <c r="O464" s="10" t="n"/>
      <c r="P464" s="10" t="n"/>
      <c r="Q464" s="61">
        <f>IF(V464="","",IF(T464="","Covered by "&amp;INDEX('Form Calc'!$B:$B,V464)&amp;"'s reply (same party)","Replied "&amp;TEXT(INDEX('Form Calc'!$A:$A,T464),"mm/dd")&amp;" · "&amp;INDEX('Form Calc'!$H:$H,T464)&amp;" adult(s), "&amp;INDEX('Form Calc'!$I:$I,T464)&amp;" child(ren)"&amp;IF(INDEX('Form Calc'!$K:$K,T464)&lt;&gt;""," · "&amp;INDEX('Form Calc'!$K:$K,T464),"")&amp;IF(INDEX('Form Calc'!$M:$M,T464)&lt;&gt;""," · “"&amp;INDEX('Form Calc'!$M:$M,T464)&amp;"”","")))</f>
        <v/>
      </c>
      <c r="R464" s="32">
        <f>SUBSTITUTE(SUBSTITUTE(SUBSTITUTE(SUBSTITUTE(SUBSTITUTE(SUBSTITUTE(SUBSTITUTE(SUBSTITUTE(D464&amp;""," ",""),"-",""),"(",""),")",""),".",""),"+",""),"/",""),CHAR(160),"")</f>
        <v/>
      </c>
      <c r="S464" s="32">
        <f>IF(LEN(R464)&gt;=10,RIGHT(R464,10),R464)</f>
        <v/>
      </c>
      <c r="T464" s="32">
        <f>IF(TRIM(A464&amp;"")="","",IF(S464&lt;&gt;"",IFERROR(MATCH(S464,'Form Calc'!$P:$P,0),IFERROR(MATCH(TRIM(A464&amp;""),'Form Calc'!$Q:$Q,0),"")),IFERROR(MATCH(TRIM(A464&amp;""),'Form Calc'!$Q:$Q,0),"")))</f>
        <v/>
      </c>
      <c r="U464" s="32">
        <f>IF(AND(T464&lt;&gt;"",TRIM(E464&amp;"")&lt;&gt;""),TRIM(E464&amp;""),"")</f>
        <v/>
      </c>
      <c r="V464" s="32">
        <f>IF(TRIM(A464&amp;"")="","",IF(T464&lt;&gt;"",T464,IF(TRIM(E464&amp;"")="","",IFERROR(INDEX($T$6:$T$505,MATCH(TRIM(E464&amp;""),$U$6:$U$505,0)),""))))</f>
        <v/>
      </c>
      <c r="W464" s="32">
        <f>IF(V464="","",INDEX('Form Calc'!$G:$G,V464))</f>
        <v/>
      </c>
      <c r="X464" s="32">
        <f>IF(TRIM(A464&amp;"")="","",IF(T464&lt;&gt;"",IF(INDEX('Form Calc'!$K:$K,T464)&lt;&gt;"",INDEX('Form Calc'!$K:$K,T464),J464&amp;""),J464&amp;""))</f>
        <v/>
      </c>
      <c r="Y464" s="32">
        <f>IF(TRIM(A464&amp;"")="","",IF(TRIM(D464&amp;"")&lt;&gt;"",TRIM(D464&amp;""),IF(T464&lt;&gt;"",INDEX('Form Calc'!$C:$C,T464)&amp;"","")))</f>
        <v/>
      </c>
      <c r="Z464" s="32">
        <f>SUBSTITUTE(SUBSTITUTE(SUBSTITUTE(SUBSTITUTE(SUBSTITUTE(SUBSTITUTE(SUBSTITUTE(SUBSTITUTE(Y464," ",""),"-",""),"(",""),")",""),".",""),"+",""),"/",""),CHAR(160),"")</f>
        <v/>
      </c>
      <c r="AA464" s="32">
        <f>IF(Z464="","",IF(LEN(Z464)=10,"+1"&amp;Z464,IF(AND(LEN(Z464)=11,LEFT(Z464,1)="1"),"+"&amp;Z464,IF(LEFT(Y464,1)="+","+"&amp;Z464,Z464))))</f>
        <v/>
      </c>
      <c r="AB464" s="32">
        <f>IF(TRIM(A464&amp;"")="","",IF(TRIM(M464&amp;"")&lt;&gt;"",TRIM(M464&amp;""),IFERROR(LEFT(TRIM(A464&amp;""),FIND(" ",TRIM(A464&amp;""))-1),TRIM(A464&amp;""))))</f>
        <v/>
      </c>
      <c r="AC464" s="32">
        <f>SUBSTITUTE(SUBSTITUTE(SUBSTITUTE(SUBSTITUTE(SUBSTITUTE(SUBSTITUTE(SUBSTITUTE(SUBSTITUTE(SUBSTITUTE(SUBSTITUTE(AB464,"%","%25"),"&amp;","%26"),"#","%23"),"+","%2B"),"=","%3D"),"?","%3F"),CHAR(34),"%22"),CHAR(10),"%0A"),CHAR(13),"")," ","+")</f>
        <v/>
      </c>
      <c r="AD464" s="32">
        <f>IF(OR(AA464="",AB464=""),"",'Start Here'!$B$20&amp;"#p="&amp;SUBSTITUTE(AA464,"+","%2B")&amp;"&amp;n="&amp;AC464&amp;"&amp;m="&amp;SUBSTITUTE('Start Here'!$B$24,"{name}",AC464))</f>
        <v/>
      </c>
      <c r="AE464" s="32">
        <f>LEN(AD464)</f>
        <v/>
      </c>
      <c r="AF464" s="32">
        <f>IF(AND(TRIM(A464&amp;"")&lt;&gt;"",OR(B464="Awaiting",B464="Not sure yet")),1,0)</f>
        <v/>
      </c>
      <c r="AG464" s="32">
        <f>N(AG463)+AF464</f>
        <v/>
      </c>
      <c r="AH464" s="32">
        <f>IF(AF464=1,AG464,"")</f>
        <v/>
      </c>
      <c r="AI464" s="32">
        <f>IF(AND(TRIM(A464&amp;"")&lt;&gt;"",L464&amp;""&lt;&gt;"",L464&amp;""=Seating!$I$3&amp;"",B464&lt;&gt;"Declined"),1,0)</f>
        <v/>
      </c>
      <c r="AJ464" s="32">
        <f>N(AJ463)+AI464</f>
        <v/>
      </c>
      <c r="AK464" s="32">
        <f>IF(AI464=1,AJ464,"")</f>
        <v/>
      </c>
    </row>
    <row r="465">
      <c r="A465" s="10" t="n"/>
      <c r="B465" s="47">
        <f>IF(TRIM(A465&amp;"")="","",IF(W465&lt;&gt;"",W465,IF(I465="","Awaiting",I465)))</f>
        <v/>
      </c>
      <c r="C465" s="60">
        <f>IF(OR(B465="Awaiting",B465="Not sure yet"),IF(AD465&lt;&gt;"",HYPERLINK(AD465,"💬 Remind"),"add mobile"),"")</f>
        <v/>
      </c>
      <c r="D465" s="58" t="n"/>
      <c r="E465" s="10" t="n"/>
      <c r="F465" s="10" t="n"/>
      <c r="G465" s="10" t="n"/>
      <c r="H465" s="10" t="n"/>
      <c r="I465" s="10" t="n"/>
      <c r="J465" s="10" t="n"/>
      <c r="K465" s="10" t="n"/>
      <c r="L465" s="56" t="n"/>
      <c r="M465" s="10" t="n"/>
      <c r="N465" s="12" t="n"/>
      <c r="O465" s="10" t="n"/>
      <c r="P465" s="10" t="n"/>
      <c r="Q465" s="61">
        <f>IF(V465="","",IF(T465="","Covered by "&amp;INDEX('Form Calc'!$B:$B,V465)&amp;"'s reply (same party)","Replied "&amp;TEXT(INDEX('Form Calc'!$A:$A,T465),"mm/dd")&amp;" · "&amp;INDEX('Form Calc'!$H:$H,T465)&amp;" adult(s), "&amp;INDEX('Form Calc'!$I:$I,T465)&amp;" child(ren)"&amp;IF(INDEX('Form Calc'!$K:$K,T465)&lt;&gt;""," · "&amp;INDEX('Form Calc'!$K:$K,T465),"")&amp;IF(INDEX('Form Calc'!$M:$M,T465)&lt;&gt;""," · “"&amp;INDEX('Form Calc'!$M:$M,T465)&amp;"”","")))</f>
        <v/>
      </c>
      <c r="R465" s="32">
        <f>SUBSTITUTE(SUBSTITUTE(SUBSTITUTE(SUBSTITUTE(SUBSTITUTE(SUBSTITUTE(SUBSTITUTE(SUBSTITUTE(D465&amp;""," ",""),"-",""),"(",""),")",""),".",""),"+",""),"/",""),CHAR(160),"")</f>
        <v/>
      </c>
      <c r="S465" s="32">
        <f>IF(LEN(R465)&gt;=10,RIGHT(R465,10),R465)</f>
        <v/>
      </c>
      <c r="T465" s="32">
        <f>IF(TRIM(A465&amp;"")="","",IF(S465&lt;&gt;"",IFERROR(MATCH(S465,'Form Calc'!$P:$P,0),IFERROR(MATCH(TRIM(A465&amp;""),'Form Calc'!$Q:$Q,0),"")),IFERROR(MATCH(TRIM(A465&amp;""),'Form Calc'!$Q:$Q,0),"")))</f>
        <v/>
      </c>
      <c r="U465" s="32">
        <f>IF(AND(T465&lt;&gt;"",TRIM(E465&amp;"")&lt;&gt;""),TRIM(E465&amp;""),"")</f>
        <v/>
      </c>
      <c r="V465" s="32">
        <f>IF(TRIM(A465&amp;"")="","",IF(T465&lt;&gt;"",T465,IF(TRIM(E465&amp;"")="","",IFERROR(INDEX($T$6:$T$505,MATCH(TRIM(E465&amp;""),$U$6:$U$505,0)),""))))</f>
        <v/>
      </c>
      <c r="W465" s="32">
        <f>IF(V465="","",INDEX('Form Calc'!$G:$G,V465))</f>
        <v/>
      </c>
      <c r="X465" s="32">
        <f>IF(TRIM(A465&amp;"")="","",IF(T465&lt;&gt;"",IF(INDEX('Form Calc'!$K:$K,T465)&lt;&gt;"",INDEX('Form Calc'!$K:$K,T465),J465&amp;""),J465&amp;""))</f>
        <v/>
      </c>
      <c r="Y465" s="32">
        <f>IF(TRIM(A465&amp;"")="","",IF(TRIM(D465&amp;"")&lt;&gt;"",TRIM(D465&amp;""),IF(T465&lt;&gt;"",INDEX('Form Calc'!$C:$C,T465)&amp;"","")))</f>
        <v/>
      </c>
      <c r="Z465" s="32">
        <f>SUBSTITUTE(SUBSTITUTE(SUBSTITUTE(SUBSTITUTE(SUBSTITUTE(SUBSTITUTE(SUBSTITUTE(SUBSTITUTE(Y465," ",""),"-",""),"(",""),")",""),".",""),"+",""),"/",""),CHAR(160),"")</f>
        <v/>
      </c>
      <c r="AA465" s="32">
        <f>IF(Z465="","",IF(LEN(Z465)=10,"+1"&amp;Z465,IF(AND(LEN(Z465)=11,LEFT(Z465,1)="1"),"+"&amp;Z465,IF(LEFT(Y465,1)="+","+"&amp;Z465,Z465))))</f>
        <v/>
      </c>
      <c r="AB465" s="32">
        <f>IF(TRIM(A465&amp;"")="","",IF(TRIM(M465&amp;"")&lt;&gt;"",TRIM(M465&amp;""),IFERROR(LEFT(TRIM(A465&amp;""),FIND(" ",TRIM(A465&amp;""))-1),TRIM(A465&amp;""))))</f>
        <v/>
      </c>
      <c r="AC465" s="32">
        <f>SUBSTITUTE(SUBSTITUTE(SUBSTITUTE(SUBSTITUTE(SUBSTITUTE(SUBSTITUTE(SUBSTITUTE(SUBSTITUTE(SUBSTITUTE(SUBSTITUTE(AB465,"%","%25"),"&amp;","%26"),"#","%23"),"+","%2B"),"=","%3D"),"?","%3F"),CHAR(34),"%22"),CHAR(10),"%0A"),CHAR(13),"")," ","+")</f>
        <v/>
      </c>
      <c r="AD465" s="32">
        <f>IF(OR(AA465="",AB465=""),"",'Start Here'!$B$20&amp;"#p="&amp;SUBSTITUTE(AA465,"+","%2B")&amp;"&amp;n="&amp;AC465&amp;"&amp;m="&amp;SUBSTITUTE('Start Here'!$B$24,"{name}",AC465))</f>
        <v/>
      </c>
      <c r="AE465" s="32">
        <f>LEN(AD465)</f>
        <v/>
      </c>
      <c r="AF465" s="32">
        <f>IF(AND(TRIM(A465&amp;"")&lt;&gt;"",OR(B465="Awaiting",B465="Not sure yet")),1,0)</f>
        <v/>
      </c>
      <c r="AG465" s="32">
        <f>N(AG464)+AF465</f>
        <v/>
      </c>
      <c r="AH465" s="32">
        <f>IF(AF465=1,AG465,"")</f>
        <v/>
      </c>
      <c r="AI465" s="32">
        <f>IF(AND(TRIM(A465&amp;"")&lt;&gt;"",L465&amp;""&lt;&gt;"",L465&amp;""=Seating!$I$3&amp;"",B465&lt;&gt;"Declined"),1,0)</f>
        <v/>
      </c>
      <c r="AJ465" s="32">
        <f>N(AJ464)+AI465</f>
        <v/>
      </c>
      <c r="AK465" s="32">
        <f>IF(AI465=1,AJ465,"")</f>
        <v/>
      </c>
    </row>
    <row r="466">
      <c r="A466" s="10" t="n"/>
      <c r="B466" s="47">
        <f>IF(TRIM(A466&amp;"")="","",IF(W466&lt;&gt;"",W466,IF(I466="","Awaiting",I466)))</f>
        <v/>
      </c>
      <c r="C466" s="60">
        <f>IF(OR(B466="Awaiting",B466="Not sure yet"),IF(AD466&lt;&gt;"",HYPERLINK(AD466,"💬 Remind"),"add mobile"),"")</f>
        <v/>
      </c>
      <c r="D466" s="58" t="n"/>
      <c r="E466" s="10" t="n"/>
      <c r="F466" s="10" t="n"/>
      <c r="G466" s="10" t="n"/>
      <c r="H466" s="10" t="n"/>
      <c r="I466" s="10" t="n"/>
      <c r="J466" s="10" t="n"/>
      <c r="K466" s="10" t="n"/>
      <c r="L466" s="56" t="n"/>
      <c r="M466" s="10" t="n"/>
      <c r="N466" s="12" t="n"/>
      <c r="O466" s="10" t="n"/>
      <c r="P466" s="10" t="n"/>
      <c r="Q466" s="61">
        <f>IF(V466="","",IF(T466="","Covered by "&amp;INDEX('Form Calc'!$B:$B,V466)&amp;"'s reply (same party)","Replied "&amp;TEXT(INDEX('Form Calc'!$A:$A,T466),"mm/dd")&amp;" · "&amp;INDEX('Form Calc'!$H:$H,T466)&amp;" adult(s), "&amp;INDEX('Form Calc'!$I:$I,T466)&amp;" child(ren)"&amp;IF(INDEX('Form Calc'!$K:$K,T466)&lt;&gt;""," · "&amp;INDEX('Form Calc'!$K:$K,T466),"")&amp;IF(INDEX('Form Calc'!$M:$M,T466)&lt;&gt;""," · “"&amp;INDEX('Form Calc'!$M:$M,T466)&amp;"”","")))</f>
        <v/>
      </c>
      <c r="R466" s="32">
        <f>SUBSTITUTE(SUBSTITUTE(SUBSTITUTE(SUBSTITUTE(SUBSTITUTE(SUBSTITUTE(SUBSTITUTE(SUBSTITUTE(D466&amp;""," ",""),"-",""),"(",""),")",""),".",""),"+",""),"/",""),CHAR(160),"")</f>
        <v/>
      </c>
      <c r="S466" s="32">
        <f>IF(LEN(R466)&gt;=10,RIGHT(R466,10),R466)</f>
        <v/>
      </c>
      <c r="T466" s="32">
        <f>IF(TRIM(A466&amp;"")="","",IF(S466&lt;&gt;"",IFERROR(MATCH(S466,'Form Calc'!$P:$P,0),IFERROR(MATCH(TRIM(A466&amp;""),'Form Calc'!$Q:$Q,0),"")),IFERROR(MATCH(TRIM(A466&amp;""),'Form Calc'!$Q:$Q,0),"")))</f>
        <v/>
      </c>
      <c r="U466" s="32">
        <f>IF(AND(T466&lt;&gt;"",TRIM(E466&amp;"")&lt;&gt;""),TRIM(E466&amp;""),"")</f>
        <v/>
      </c>
      <c r="V466" s="32">
        <f>IF(TRIM(A466&amp;"")="","",IF(T466&lt;&gt;"",T466,IF(TRIM(E466&amp;"")="","",IFERROR(INDEX($T$6:$T$505,MATCH(TRIM(E466&amp;""),$U$6:$U$505,0)),""))))</f>
        <v/>
      </c>
      <c r="W466" s="32">
        <f>IF(V466="","",INDEX('Form Calc'!$G:$G,V466))</f>
        <v/>
      </c>
      <c r="X466" s="32">
        <f>IF(TRIM(A466&amp;"")="","",IF(T466&lt;&gt;"",IF(INDEX('Form Calc'!$K:$K,T466)&lt;&gt;"",INDEX('Form Calc'!$K:$K,T466),J466&amp;""),J466&amp;""))</f>
        <v/>
      </c>
      <c r="Y466" s="32">
        <f>IF(TRIM(A466&amp;"")="","",IF(TRIM(D466&amp;"")&lt;&gt;"",TRIM(D466&amp;""),IF(T466&lt;&gt;"",INDEX('Form Calc'!$C:$C,T466)&amp;"","")))</f>
        <v/>
      </c>
      <c r="Z466" s="32">
        <f>SUBSTITUTE(SUBSTITUTE(SUBSTITUTE(SUBSTITUTE(SUBSTITUTE(SUBSTITUTE(SUBSTITUTE(SUBSTITUTE(Y466," ",""),"-",""),"(",""),")",""),".",""),"+",""),"/",""),CHAR(160),"")</f>
        <v/>
      </c>
      <c r="AA466" s="32">
        <f>IF(Z466="","",IF(LEN(Z466)=10,"+1"&amp;Z466,IF(AND(LEN(Z466)=11,LEFT(Z466,1)="1"),"+"&amp;Z466,IF(LEFT(Y466,1)="+","+"&amp;Z466,Z466))))</f>
        <v/>
      </c>
      <c r="AB466" s="32">
        <f>IF(TRIM(A466&amp;"")="","",IF(TRIM(M466&amp;"")&lt;&gt;"",TRIM(M466&amp;""),IFERROR(LEFT(TRIM(A466&amp;""),FIND(" ",TRIM(A466&amp;""))-1),TRIM(A466&amp;""))))</f>
        <v/>
      </c>
      <c r="AC466" s="32">
        <f>SUBSTITUTE(SUBSTITUTE(SUBSTITUTE(SUBSTITUTE(SUBSTITUTE(SUBSTITUTE(SUBSTITUTE(SUBSTITUTE(SUBSTITUTE(SUBSTITUTE(AB466,"%","%25"),"&amp;","%26"),"#","%23"),"+","%2B"),"=","%3D"),"?","%3F"),CHAR(34),"%22"),CHAR(10),"%0A"),CHAR(13),"")," ","+")</f>
        <v/>
      </c>
      <c r="AD466" s="32">
        <f>IF(OR(AA466="",AB466=""),"",'Start Here'!$B$20&amp;"#p="&amp;SUBSTITUTE(AA466,"+","%2B")&amp;"&amp;n="&amp;AC466&amp;"&amp;m="&amp;SUBSTITUTE('Start Here'!$B$24,"{name}",AC466))</f>
        <v/>
      </c>
      <c r="AE466" s="32">
        <f>LEN(AD466)</f>
        <v/>
      </c>
      <c r="AF466" s="32">
        <f>IF(AND(TRIM(A466&amp;"")&lt;&gt;"",OR(B466="Awaiting",B466="Not sure yet")),1,0)</f>
        <v/>
      </c>
      <c r="AG466" s="32">
        <f>N(AG465)+AF466</f>
        <v/>
      </c>
      <c r="AH466" s="32">
        <f>IF(AF466=1,AG466,"")</f>
        <v/>
      </c>
      <c r="AI466" s="32">
        <f>IF(AND(TRIM(A466&amp;"")&lt;&gt;"",L466&amp;""&lt;&gt;"",L466&amp;""=Seating!$I$3&amp;"",B466&lt;&gt;"Declined"),1,0)</f>
        <v/>
      </c>
      <c r="AJ466" s="32">
        <f>N(AJ465)+AI466</f>
        <v/>
      </c>
      <c r="AK466" s="32">
        <f>IF(AI466=1,AJ466,"")</f>
        <v/>
      </c>
    </row>
    <row r="467">
      <c r="A467" s="10" t="n"/>
      <c r="B467" s="47">
        <f>IF(TRIM(A467&amp;"")="","",IF(W467&lt;&gt;"",W467,IF(I467="","Awaiting",I467)))</f>
        <v/>
      </c>
      <c r="C467" s="60">
        <f>IF(OR(B467="Awaiting",B467="Not sure yet"),IF(AD467&lt;&gt;"",HYPERLINK(AD467,"💬 Remind"),"add mobile"),"")</f>
        <v/>
      </c>
      <c r="D467" s="58" t="n"/>
      <c r="E467" s="10" t="n"/>
      <c r="F467" s="10" t="n"/>
      <c r="G467" s="10" t="n"/>
      <c r="H467" s="10" t="n"/>
      <c r="I467" s="10" t="n"/>
      <c r="J467" s="10" t="n"/>
      <c r="K467" s="10" t="n"/>
      <c r="L467" s="56" t="n"/>
      <c r="M467" s="10" t="n"/>
      <c r="N467" s="12" t="n"/>
      <c r="O467" s="10" t="n"/>
      <c r="P467" s="10" t="n"/>
      <c r="Q467" s="61">
        <f>IF(V467="","",IF(T467="","Covered by "&amp;INDEX('Form Calc'!$B:$B,V467)&amp;"'s reply (same party)","Replied "&amp;TEXT(INDEX('Form Calc'!$A:$A,T467),"mm/dd")&amp;" · "&amp;INDEX('Form Calc'!$H:$H,T467)&amp;" adult(s), "&amp;INDEX('Form Calc'!$I:$I,T467)&amp;" child(ren)"&amp;IF(INDEX('Form Calc'!$K:$K,T467)&lt;&gt;""," · "&amp;INDEX('Form Calc'!$K:$K,T467),"")&amp;IF(INDEX('Form Calc'!$M:$M,T467)&lt;&gt;""," · “"&amp;INDEX('Form Calc'!$M:$M,T467)&amp;"”","")))</f>
        <v/>
      </c>
      <c r="R467" s="32">
        <f>SUBSTITUTE(SUBSTITUTE(SUBSTITUTE(SUBSTITUTE(SUBSTITUTE(SUBSTITUTE(SUBSTITUTE(SUBSTITUTE(D467&amp;""," ",""),"-",""),"(",""),")",""),".",""),"+",""),"/",""),CHAR(160),"")</f>
        <v/>
      </c>
      <c r="S467" s="32">
        <f>IF(LEN(R467)&gt;=10,RIGHT(R467,10),R467)</f>
        <v/>
      </c>
      <c r="T467" s="32">
        <f>IF(TRIM(A467&amp;"")="","",IF(S467&lt;&gt;"",IFERROR(MATCH(S467,'Form Calc'!$P:$P,0),IFERROR(MATCH(TRIM(A467&amp;""),'Form Calc'!$Q:$Q,0),"")),IFERROR(MATCH(TRIM(A467&amp;""),'Form Calc'!$Q:$Q,0),"")))</f>
        <v/>
      </c>
      <c r="U467" s="32">
        <f>IF(AND(T467&lt;&gt;"",TRIM(E467&amp;"")&lt;&gt;""),TRIM(E467&amp;""),"")</f>
        <v/>
      </c>
      <c r="V467" s="32">
        <f>IF(TRIM(A467&amp;"")="","",IF(T467&lt;&gt;"",T467,IF(TRIM(E467&amp;"")="","",IFERROR(INDEX($T$6:$T$505,MATCH(TRIM(E467&amp;""),$U$6:$U$505,0)),""))))</f>
        <v/>
      </c>
      <c r="W467" s="32">
        <f>IF(V467="","",INDEX('Form Calc'!$G:$G,V467))</f>
        <v/>
      </c>
      <c r="X467" s="32">
        <f>IF(TRIM(A467&amp;"")="","",IF(T467&lt;&gt;"",IF(INDEX('Form Calc'!$K:$K,T467)&lt;&gt;"",INDEX('Form Calc'!$K:$K,T467),J467&amp;""),J467&amp;""))</f>
        <v/>
      </c>
      <c r="Y467" s="32">
        <f>IF(TRIM(A467&amp;"")="","",IF(TRIM(D467&amp;"")&lt;&gt;"",TRIM(D467&amp;""),IF(T467&lt;&gt;"",INDEX('Form Calc'!$C:$C,T467)&amp;"","")))</f>
        <v/>
      </c>
      <c r="Z467" s="32">
        <f>SUBSTITUTE(SUBSTITUTE(SUBSTITUTE(SUBSTITUTE(SUBSTITUTE(SUBSTITUTE(SUBSTITUTE(SUBSTITUTE(Y467," ",""),"-",""),"(",""),")",""),".",""),"+",""),"/",""),CHAR(160),"")</f>
        <v/>
      </c>
      <c r="AA467" s="32">
        <f>IF(Z467="","",IF(LEN(Z467)=10,"+1"&amp;Z467,IF(AND(LEN(Z467)=11,LEFT(Z467,1)="1"),"+"&amp;Z467,IF(LEFT(Y467,1)="+","+"&amp;Z467,Z467))))</f>
        <v/>
      </c>
      <c r="AB467" s="32">
        <f>IF(TRIM(A467&amp;"")="","",IF(TRIM(M467&amp;"")&lt;&gt;"",TRIM(M467&amp;""),IFERROR(LEFT(TRIM(A467&amp;""),FIND(" ",TRIM(A467&amp;""))-1),TRIM(A467&amp;""))))</f>
        <v/>
      </c>
      <c r="AC467" s="32">
        <f>SUBSTITUTE(SUBSTITUTE(SUBSTITUTE(SUBSTITUTE(SUBSTITUTE(SUBSTITUTE(SUBSTITUTE(SUBSTITUTE(SUBSTITUTE(SUBSTITUTE(AB467,"%","%25"),"&amp;","%26"),"#","%23"),"+","%2B"),"=","%3D"),"?","%3F"),CHAR(34),"%22"),CHAR(10),"%0A"),CHAR(13),"")," ","+")</f>
        <v/>
      </c>
      <c r="AD467" s="32">
        <f>IF(OR(AA467="",AB467=""),"",'Start Here'!$B$20&amp;"#p="&amp;SUBSTITUTE(AA467,"+","%2B")&amp;"&amp;n="&amp;AC467&amp;"&amp;m="&amp;SUBSTITUTE('Start Here'!$B$24,"{name}",AC467))</f>
        <v/>
      </c>
      <c r="AE467" s="32">
        <f>LEN(AD467)</f>
        <v/>
      </c>
      <c r="AF467" s="32">
        <f>IF(AND(TRIM(A467&amp;"")&lt;&gt;"",OR(B467="Awaiting",B467="Not sure yet")),1,0)</f>
        <v/>
      </c>
      <c r="AG467" s="32">
        <f>N(AG466)+AF467</f>
        <v/>
      </c>
      <c r="AH467" s="32">
        <f>IF(AF467=1,AG467,"")</f>
        <v/>
      </c>
      <c r="AI467" s="32">
        <f>IF(AND(TRIM(A467&amp;"")&lt;&gt;"",L467&amp;""&lt;&gt;"",L467&amp;""=Seating!$I$3&amp;"",B467&lt;&gt;"Declined"),1,0)</f>
        <v/>
      </c>
      <c r="AJ467" s="32">
        <f>N(AJ466)+AI467</f>
        <v/>
      </c>
      <c r="AK467" s="32">
        <f>IF(AI467=1,AJ467,"")</f>
        <v/>
      </c>
    </row>
    <row r="468">
      <c r="A468" s="10" t="n"/>
      <c r="B468" s="47">
        <f>IF(TRIM(A468&amp;"")="","",IF(W468&lt;&gt;"",W468,IF(I468="","Awaiting",I468)))</f>
        <v/>
      </c>
      <c r="C468" s="60">
        <f>IF(OR(B468="Awaiting",B468="Not sure yet"),IF(AD468&lt;&gt;"",HYPERLINK(AD468,"💬 Remind"),"add mobile"),"")</f>
        <v/>
      </c>
      <c r="D468" s="58" t="n"/>
      <c r="E468" s="10" t="n"/>
      <c r="F468" s="10" t="n"/>
      <c r="G468" s="10" t="n"/>
      <c r="H468" s="10" t="n"/>
      <c r="I468" s="10" t="n"/>
      <c r="J468" s="10" t="n"/>
      <c r="K468" s="10" t="n"/>
      <c r="L468" s="56" t="n"/>
      <c r="M468" s="10" t="n"/>
      <c r="N468" s="12" t="n"/>
      <c r="O468" s="10" t="n"/>
      <c r="P468" s="10" t="n"/>
      <c r="Q468" s="61">
        <f>IF(V468="","",IF(T468="","Covered by "&amp;INDEX('Form Calc'!$B:$B,V468)&amp;"'s reply (same party)","Replied "&amp;TEXT(INDEX('Form Calc'!$A:$A,T468),"mm/dd")&amp;" · "&amp;INDEX('Form Calc'!$H:$H,T468)&amp;" adult(s), "&amp;INDEX('Form Calc'!$I:$I,T468)&amp;" child(ren)"&amp;IF(INDEX('Form Calc'!$K:$K,T468)&lt;&gt;""," · "&amp;INDEX('Form Calc'!$K:$K,T468),"")&amp;IF(INDEX('Form Calc'!$M:$M,T468)&lt;&gt;""," · “"&amp;INDEX('Form Calc'!$M:$M,T468)&amp;"”","")))</f>
        <v/>
      </c>
      <c r="R468" s="32">
        <f>SUBSTITUTE(SUBSTITUTE(SUBSTITUTE(SUBSTITUTE(SUBSTITUTE(SUBSTITUTE(SUBSTITUTE(SUBSTITUTE(D468&amp;""," ",""),"-",""),"(",""),")",""),".",""),"+",""),"/",""),CHAR(160),"")</f>
        <v/>
      </c>
      <c r="S468" s="32">
        <f>IF(LEN(R468)&gt;=10,RIGHT(R468,10),R468)</f>
        <v/>
      </c>
      <c r="T468" s="32">
        <f>IF(TRIM(A468&amp;"")="","",IF(S468&lt;&gt;"",IFERROR(MATCH(S468,'Form Calc'!$P:$P,0),IFERROR(MATCH(TRIM(A468&amp;""),'Form Calc'!$Q:$Q,0),"")),IFERROR(MATCH(TRIM(A468&amp;""),'Form Calc'!$Q:$Q,0),"")))</f>
        <v/>
      </c>
      <c r="U468" s="32">
        <f>IF(AND(T468&lt;&gt;"",TRIM(E468&amp;"")&lt;&gt;""),TRIM(E468&amp;""),"")</f>
        <v/>
      </c>
      <c r="V468" s="32">
        <f>IF(TRIM(A468&amp;"")="","",IF(T468&lt;&gt;"",T468,IF(TRIM(E468&amp;"")="","",IFERROR(INDEX($T$6:$T$505,MATCH(TRIM(E468&amp;""),$U$6:$U$505,0)),""))))</f>
        <v/>
      </c>
      <c r="W468" s="32">
        <f>IF(V468="","",INDEX('Form Calc'!$G:$G,V468))</f>
        <v/>
      </c>
      <c r="X468" s="32">
        <f>IF(TRIM(A468&amp;"")="","",IF(T468&lt;&gt;"",IF(INDEX('Form Calc'!$K:$K,T468)&lt;&gt;"",INDEX('Form Calc'!$K:$K,T468),J468&amp;""),J468&amp;""))</f>
        <v/>
      </c>
      <c r="Y468" s="32">
        <f>IF(TRIM(A468&amp;"")="","",IF(TRIM(D468&amp;"")&lt;&gt;"",TRIM(D468&amp;""),IF(T468&lt;&gt;"",INDEX('Form Calc'!$C:$C,T468)&amp;"","")))</f>
        <v/>
      </c>
      <c r="Z468" s="32">
        <f>SUBSTITUTE(SUBSTITUTE(SUBSTITUTE(SUBSTITUTE(SUBSTITUTE(SUBSTITUTE(SUBSTITUTE(SUBSTITUTE(Y468," ",""),"-",""),"(",""),")",""),".",""),"+",""),"/",""),CHAR(160),"")</f>
        <v/>
      </c>
      <c r="AA468" s="32">
        <f>IF(Z468="","",IF(LEN(Z468)=10,"+1"&amp;Z468,IF(AND(LEN(Z468)=11,LEFT(Z468,1)="1"),"+"&amp;Z468,IF(LEFT(Y468,1)="+","+"&amp;Z468,Z468))))</f>
        <v/>
      </c>
      <c r="AB468" s="32">
        <f>IF(TRIM(A468&amp;"")="","",IF(TRIM(M468&amp;"")&lt;&gt;"",TRIM(M468&amp;""),IFERROR(LEFT(TRIM(A468&amp;""),FIND(" ",TRIM(A468&amp;""))-1),TRIM(A468&amp;""))))</f>
        <v/>
      </c>
      <c r="AC468" s="32">
        <f>SUBSTITUTE(SUBSTITUTE(SUBSTITUTE(SUBSTITUTE(SUBSTITUTE(SUBSTITUTE(SUBSTITUTE(SUBSTITUTE(SUBSTITUTE(SUBSTITUTE(AB468,"%","%25"),"&amp;","%26"),"#","%23"),"+","%2B"),"=","%3D"),"?","%3F"),CHAR(34),"%22"),CHAR(10),"%0A"),CHAR(13),"")," ","+")</f>
        <v/>
      </c>
      <c r="AD468" s="32">
        <f>IF(OR(AA468="",AB468=""),"",'Start Here'!$B$20&amp;"#p="&amp;SUBSTITUTE(AA468,"+","%2B")&amp;"&amp;n="&amp;AC468&amp;"&amp;m="&amp;SUBSTITUTE('Start Here'!$B$24,"{name}",AC468))</f>
        <v/>
      </c>
      <c r="AE468" s="32">
        <f>LEN(AD468)</f>
        <v/>
      </c>
      <c r="AF468" s="32">
        <f>IF(AND(TRIM(A468&amp;"")&lt;&gt;"",OR(B468="Awaiting",B468="Not sure yet")),1,0)</f>
        <v/>
      </c>
      <c r="AG468" s="32">
        <f>N(AG467)+AF468</f>
        <v/>
      </c>
      <c r="AH468" s="32">
        <f>IF(AF468=1,AG468,"")</f>
        <v/>
      </c>
      <c r="AI468" s="32">
        <f>IF(AND(TRIM(A468&amp;"")&lt;&gt;"",L468&amp;""&lt;&gt;"",L468&amp;""=Seating!$I$3&amp;"",B468&lt;&gt;"Declined"),1,0)</f>
        <v/>
      </c>
      <c r="AJ468" s="32">
        <f>N(AJ467)+AI468</f>
        <v/>
      </c>
      <c r="AK468" s="32">
        <f>IF(AI468=1,AJ468,"")</f>
        <v/>
      </c>
    </row>
    <row r="469">
      <c r="A469" s="10" t="n"/>
      <c r="B469" s="47">
        <f>IF(TRIM(A469&amp;"")="","",IF(W469&lt;&gt;"",W469,IF(I469="","Awaiting",I469)))</f>
        <v/>
      </c>
      <c r="C469" s="60">
        <f>IF(OR(B469="Awaiting",B469="Not sure yet"),IF(AD469&lt;&gt;"",HYPERLINK(AD469,"💬 Remind"),"add mobile"),"")</f>
        <v/>
      </c>
      <c r="D469" s="58" t="n"/>
      <c r="E469" s="10" t="n"/>
      <c r="F469" s="10" t="n"/>
      <c r="G469" s="10" t="n"/>
      <c r="H469" s="10" t="n"/>
      <c r="I469" s="10" t="n"/>
      <c r="J469" s="10" t="n"/>
      <c r="K469" s="10" t="n"/>
      <c r="L469" s="56" t="n"/>
      <c r="M469" s="10" t="n"/>
      <c r="N469" s="12" t="n"/>
      <c r="O469" s="10" t="n"/>
      <c r="P469" s="10" t="n"/>
      <c r="Q469" s="61">
        <f>IF(V469="","",IF(T469="","Covered by "&amp;INDEX('Form Calc'!$B:$B,V469)&amp;"'s reply (same party)","Replied "&amp;TEXT(INDEX('Form Calc'!$A:$A,T469),"mm/dd")&amp;" · "&amp;INDEX('Form Calc'!$H:$H,T469)&amp;" adult(s), "&amp;INDEX('Form Calc'!$I:$I,T469)&amp;" child(ren)"&amp;IF(INDEX('Form Calc'!$K:$K,T469)&lt;&gt;""," · "&amp;INDEX('Form Calc'!$K:$K,T469),"")&amp;IF(INDEX('Form Calc'!$M:$M,T469)&lt;&gt;""," · “"&amp;INDEX('Form Calc'!$M:$M,T469)&amp;"”","")))</f>
        <v/>
      </c>
      <c r="R469" s="32">
        <f>SUBSTITUTE(SUBSTITUTE(SUBSTITUTE(SUBSTITUTE(SUBSTITUTE(SUBSTITUTE(SUBSTITUTE(SUBSTITUTE(D469&amp;""," ",""),"-",""),"(",""),")",""),".",""),"+",""),"/",""),CHAR(160),"")</f>
        <v/>
      </c>
      <c r="S469" s="32">
        <f>IF(LEN(R469)&gt;=10,RIGHT(R469,10),R469)</f>
        <v/>
      </c>
      <c r="T469" s="32">
        <f>IF(TRIM(A469&amp;"")="","",IF(S469&lt;&gt;"",IFERROR(MATCH(S469,'Form Calc'!$P:$P,0),IFERROR(MATCH(TRIM(A469&amp;""),'Form Calc'!$Q:$Q,0),"")),IFERROR(MATCH(TRIM(A469&amp;""),'Form Calc'!$Q:$Q,0),"")))</f>
        <v/>
      </c>
      <c r="U469" s="32">
        <f>IF(AND(T469&lt;&gt;"",TRIM(E469&amp;"")&lt;&gt;""),TRIM(E469&amp;""),"")</f>
        <v/>
      </c>
      <c r="V469" s="32">
        <f>IF(TRIM(A469&amp;"")="","",IF(T469&lt;&gt;"",T469,IF(TRIM(E469&amp;"")="","",IFERROR(INDEX($T$6:$T$505,MATCH(TRIM(E469&amp;""),$U$6:$U$505,0)),""))))</f>
        <v/>
      </c>
      <c r="W469" s="32">
        <f>IF(V469="","",INDEX('Form Calc'!$G:$G,V469))</f>
        <v/>
      </c>
      <c r="X469" s="32">
        <f>IF(TRIM(A469&amp;"")="","",IF(T469&lt;&gt;"",IF(INDEX('Form Calc'!$K:$K,T469)&lt;&gt;"",INDEX('Form Calc'!$K:$K,T469),J469&amp;""),J469&amp;""))</f>
        <v/>
      </c>
      <c r="Y469" s="32">
        <f>IF(TRIM(A469&amp;"")="","",IF(TRIM(D469&amp;"")&lt;&gt;"",TRIM(D469&amp;""),IF(T469&lt;&gt;"",INDEX('Form Calc'!$C:$C,T469)&amp;"","")))</f>
        <v/>
      </c>
      <c r="Z469" s="32">
        <f>SUBSTITUTE(SUBSTITUTE(SUBSTITUTE(SUBSTITUTE(SUBSTITUTE(SUBSTITUTE(SUBSTITUTE(SUBSTITUTE(Y469," ",""),"-",""),"(",""),")",""),".",""),"+",""),"/",""),CHAR(160),"")</f>
        <v/>
      </c>
      <c r="AA469" s="32">
        <f>IF(Z469="","",IF(LEN(Z469)=10,"+1"&amp;Z469,IF(AND(LEN(Z469)=11,LEFT(Z469,1)="1"),"+"&amp;Z469,IF(LEFT(Y469,1)="+","+"&amp;Z469,Z469))))</f>
        <v/>
      </c>
      <c r="AB469" s="32">
        <f>IF(TRIM(A469&amp;"")="","",IF(TRIM(M469&amp;"")&lt;&gt;"",TRIM(M469&amp;""),IFERROR(LEFT(TRIM(A469&amp;""),FIND(" ",TRIM(A469&amp;""))-1),TRIM(A469&amp;""))))</f>
        <v/>
      </c>
      <c r="AC469" s="32">
        <f>SUBSTITUTE(SUBSTITUTE(SUBSTITUTE(SUBSTITUTE(SUBSTITUTE(SUBSTITUTE(SUBSTITUTE(SUBSTITUTE(SUBSTITUTE(SUBSTITUTE(AB469,"%","%25"),"&amp;","%26"),"#","%23"),"+","%2B"),"=","%3D"),"?","%3F"),CHAR(34),"%22"),CHAR(10),"%0A"),CHAR(13),"")," ","+")</f>
        <v/>
      </c>
      <c r="AD469" s="32">
        <f>IF(OR(AA469="",AB469=""),"",'Start Here'!$B$20&amp;"#p="&amp;SUBSTITUTE(AA469,"+","%2B")&amp;"&amp;n="&amp;AC469&amp;"&amp;m="&amp;SUBSTITUTE('Start Here'!$B$24,"{name}",AC469))</f>
        <v/>
      </c>
      <c r="AE469" s="32">
        <f>LEN(AD469)</f>
        <v/>
      </c>
      <c r="AF469" s="32">
        <f>IF(AND(TRIM(A469&amp;"")&lt;&gt;"",OR(B469="Awaiting",B469="Not sure yet")),1,0)</f>
        <v/>
      </c>
      <c r="AG469" s="32">
        <f>N(AG468)+AF469</f>
        <v/>
      </c>
      <c r="AH469" s="32">
        <f>IF(AF469=1,AG469,"")</f>
        <v/>
      </c>
      <c r="AI469" s="32">
        <f>IF(AND(TRIM(A469&amp;"")&lt;&gt;"",L469&amp;""&lt;&gt;"",L469&amp;""=Seating!$I$3&amp;"",B469&lt;&gt;"Declined"),1,0)</f>
        <v/>
      </c>
      <c r="AJ469" s="32">
        <f>N(AJ468)+AI469</f>
        <v/>
      </c>
      <c r="AK469" s="32">
        <f>IF(AI469=1,AJ469,"")</f>
        <v/>
      </c>
    </row>
    <row r="470">
      <c r="A470" s="10" t="n"/>
      <c r="B470" s="47">
        <f>IF(TRIM(A470&amp;"")="","",IF(W470&lt;&gt;"",W470,IF(I470="","Awaiting",I470)))</f>
        <v/>
      </c>
      <c r="C470" s="60">
        <f>IF(OR(B470="Awaiting",B470="Not sure yet"),IF(AD470&lt;&gt;"",HYPERLINK(AD470,"💬 Remind"),"add mobile"),"")</f>
        <v/>
      </c>
      <c r="D470" s="58" t="n"/>
      <c r="E470" s="10" t="n"/>
      <c r="F470" s="10" t="n"/>
      <c r="G470" s="10" t="n"/>
      <c r="H470" s="10" t="n"/>
      <c r="I470" s="10" t="n"/>
      <c r="J470" s="10" t="n"/>
      <c r="K470" s="10" t="n"/>
      <c r="L470" s="56" t="n"/>
      <c r="M470" s="10" t="n"/>
      <c r="N470" s="12" t="n"/>
      <c r="O470" s="10" t="n"/>
      <c r="P470" s="10" t="n"/>
      <c r="Q470" s="61">
        <f>IF(V470="","",IF(T470="","Covered by "&amp;INDEX('Form Calc'!$B:$B,V470)&amp;"'s reply (same party)","Replied "&amp;TEXT(INDEX('Form Calc'!$A:$A,T470),"mm/dd")&amp;" · "&amp;INDEX('Form Calc'!$H:$H,T470)&amp;" adult(s), "&amp;INDEX('Form Calc'!$I:$I,T470)&amp;" child(ren)"&amp;IF(INDEX('Form Calc'!$K:$K,T470)&lt;&gt;""," · "&amp;INDEX('Form Calc'!$K:$K,T470),"")&amp;IF(INDEX('Form Calc'!$M:$M,T470)&lt;&gt;""," · “"&amp;INDEX('Form Calc'!$M:$M,T470)&amp;"”","")))</f>
        <v/>
      </c>
      <c r="R470" s="32">
        <f>SUBSTITUTE(SUBSTITUTE(SUBSTITUTE(SUBSTITUTE(SUBSTITUTE(SUBSTITUTE(SUBSTITUTE(SUBSTITUTE(D470&amp;""," ",""),"-",""),"(",""),")",""),".",""),"+",""),"/",""),CHAR(160),"")</f>
        <v/>
      </c>
      <c r="S470" s="32">
        <f>IF(LEN(R470)&gt;=10,RIGHT(R470,10),R470)</f>
        <v/>
      </c>
      <c r="T470" s="32">
        <f>IF(TRIM(A470&amp;"")="","",IF(S470&lt;&gt;"",IFERROR(MATCH(S470,'Form Calc'!$P:$P,0),IFERROR(MATCH(TRIM(A470&amp;""),'Form Calc'!$Q:$Q,0),"")),IFERROR(MATCH(TRIM(A470&amp;""),'Form Calc'!$Q:$Q,0),"")))</f>
        <v/>
      </c>
      <c r="U470" s="32">
        <f>IF(AND(T470&lt;&gt;"",TRIM(E470&amp;"")&lt;&gt;""),TRIM(E470&amp;""),"")</f>
        <v/>
      </c>
      <c r="V470" s="32">
        <f>IF(TRIM(A470&amp;"")="","",IF(T470&lt;&gt;"",T470,IF(TRIM(E470&amp;"")="","",IFERROR(INDEX($T$6:$T$505,MATCH(TRIM(E470&amp;""),$U$6:$U$505,0)),""))))</f>
        <v/>
      </c>
      <c r="W470" s="32">
        <f>IF(V470="","",INDEX('Form Calc'!$G:$G,V470))</f>
        <v/>
      </c>
      <c r="X470" s="32">
        <f>IF(TRIM(A470&amp;"")="","",IF(T470&lt;&gt;"",IF(INDEX('Form Calc'!$K:$K,T470)&lt;&gt;"",INDEX('Form Calc'!$K:$K,T470),J470&amp;""),J470&amp;""))</f>
        <v/>
      </c>
      <c r="Y470" s="32">
        <f>IF(TRIM(A470&amp;"")="","",IF(TRIM(D470&amp;"")&lt;&gt;"",TRIM(D470&amp;""),IF(T470&lt;&gt;"",INDEX('Form Calc'!$C:$C,T470)&amp;"","")))</f>
        <v/>
      </c>
      <c r="Z470" s="32">
        <f>SUBSTITUTE(SUBSTITUTE(SUBSTITUTE(SUBSTITUTE(SUBSTITUTE(SUBSTITUTE(SUBSTITUTE(SUBSTITUTE(Y470," ",""),"-",""),"(",""),")",""),".",""),"+",""),"/",""),CHAR(160),"")</f>
        <v/>
      </c>
      <c r="AA470" s="32">
        <f>IF(Z470="","",IF(LEN(Z470)=10,"+1"&amp;Z470,IF(AND(LEN(Z470)=11,LEFT(Z470,1)="1"),"+"&amp;Z470,IF(LEFT(Y470,1)="+","+"&amp;Z470,Z470))))</f>
        <v/>
      </c>
      <c r="AB470" s="32">
        <f>IF(TRIM(A470&amp;"")="","",IF(TRIM(M470&amp;"")&lt;&gt;"",TRIM(M470&amp;""),IFERROR(LEFT(TRIM(A470&amp;""),FIND(" ",TRIM(A470&amp;""))-1),TRIM(A470&amp;""))))</f>
        <v/>
      </c>
      <c r="AC470" s="32">
        <f>SUBSTITUTE(SUBSTITUTE(SUBSTITUTE(SUBSTITUTE(SUBSTITUTE(SUBSTITUTE(SUBSTITUTE(SUBSTITUTE(SUBSTITUTE(SUBSTITUTE(AB470,"%","%25"),"&amp;","%26"),"#","%23"),"+","%2B"),"=","%3D"),"?","%3F"),CHAR(34),"%22"),CHAR(10),"%0A"),CHAR(13),"")," ","+")</f>
        <v/>
      </c>
      <c r="AD470" s="32">
        <f>IF(OR(AA470="",AB470=""),"",'Start Here'!$B$20&amp;"#p="&amp;SUBSTITUTE(AA470,"+","%2B")&amp;"&amp;n="&amp;AC470&amp;"&amp;m="&amp;SUBSTITUTE('Start Here'!$B$24,"{name}",AC470))</f>
        <v/>
      </c>
      <c r="AE470" s="32">
        <f>LEN(AD470)</f>
        <v/>
      </c>
      <c r="AF470" s="32">
        <f>IF(AND(TRIM(A470&amp;"")&lt;&gt;"",OR(B470="Awaiting",B470="Not sure yet")),1,0)</f>
        <v/>
      </c>
      <c r="AG470" s="32">
        <f>N(AG469)+AF470</f>
        <v/>
      </c>
      <c r="AH470" s="32">
        <f>IF(AF470=1,AG470,"")</f>
        <v/>
      </c>
      <c r="AI470" s="32">
        <f>IF(AND(TRIM(A470&amp;"")&lt;&gt;"",L470&amp;""&lt;&gt;"",L470&amp;""=Seating!$I$3&amp;"",B470&lt;&gt;"Declined"),1,0)</f>
        <v/>
      </c>
      <c r="AJ470" s="32">
        <f>N(AJ469)+AI470</f>
        <v/>
      </c>
      <c r="AK470" s="32">
        <f>IF(AI470=1,AJ470,"")</f>
        <v/>
      </c>
    </row>
    <row r="471">
      <c r="A471" s="10" t="n"/>
      <c r="B471" s="47">
        <f>IF(TRIM(A471&amp;"")="","",IF(W471&lt;&gt;"",W471,IF(I471="","Awaiting",I471)))</f>
        <v/>
      </c>
      <c r="C471" s="60">
        <f>IF(OR(B471="Awaiting",B471="Not sure yet"),IF(AD471&lt;&gt;"",HYPERLINK(AD471,"💬 Remind"),"add mobile"),"")</f>
        <v/>
      </c>
      <c r="D471" s="58" t="n"/>
      <c r="E471" s="10" t="n"/>
      <c r="F471" s="10" t="n"/>
      <c r="G471" s="10" t="n"/>
      <c r="H471" s="10" t="n"/>
      <c r="I471" s="10" t="n"/>
      <c r="J471" s="10" t="n"/>
      <c r="K471" s="10" t="n"/>
      <c r="L471" s="56" t="n"/>
      <c r="M471" s="10" t="n"/>
      <c r="N471" s="12" t="n"/>
      <c r="O471" s="10" t="n"/>
      <c r="P471" s="10" t="n"/>
      <c r="Q471" s="61">
        <f>IF(V471="","",IF(T471="","Covered by "&amp;INDEX('Form Calc'!$B:$B,V471)&amp;"'s reply (same party)","Replied "&amp;TEXT(INDEX('Form Calc'!$A:$A,T471),"mm/dd")&amp;" · "&amp;INDEX('Form Calc'!$H:$H,T471)&amp;" adult(s), "&amp;INDEX('Form Calc'!$I:$I,T471)&amp;" child(ren)"&amp;IF(INDEX('Form Calc'!$K:$K,T471)&lt;&gt;""," · "&amp;INDEX('Form Calc'!$K:$K,T471),"")&amp;IF(INDEX('Form Calc'!$M:$M,T471)&lt;&gt;""," · “"&amp;INDEX('Form Calc'!$M:$M,T471)&amp;"”","")))</f>
        <v/>
      </c>
      <c r="R471" s="32">
        <f>SUBSTITUTE(SUBSTITUTE(SUBSTITUTE(SUBSTITUTE(SUBSTITUTE(SUBSTITUTE(SUBSTITUTE(SUBSTITUTE(D471&amp;""," ",""),"-",""),"(",""),")",""),".",""),"+",""),"/",""),CHAR(160),"")</f>
        <v/>
      </c>
      <c r="S471" s="32">
        <f>IF(LEN(R471)&gt;=10,RIGHT(R471,10),R471)</f>
        <v/>
      </c>
      <c r="T471" s="32">
        <f>IF(TRIM(A471&amp;"")="","",IF(S471&lt;&gt;"",IFERROR(MATCH(S471,'Form Calc'!$P:$P,0),IFERROR(MATCH(TRIM(A471&amp;""),'Form Calc'!$Q:$Q,0),"")),IFERROR(MATCH(TRIM(A471&amp;""),'Form Calc'!$Q:$Q,0),"")))</f>
        <v/>
      </c>
      <c r="U471" s="32">
        <f>IF(AND(T471&lt;&gt;"",TRIM(E471&amp;"")&lt;&gt;""),TRIM(E471&amp;""),"")</f>
        <v/>
      </c>
      <c r="V471" s="32">
        <f>IF(TRIM(A471&amp;"")="","",IF(T471&lt;&gt;"",T471,IF(TRIM(E471&amp;"")="","",IFERROR(INDEX($T$6:$T$505,MATCH(TRIM(E471&amp;""),$U$6:$U$505,0)),""))))</f>
        <v/>
      </c>
      <c r="W471" s="32">
        <f>IF(V471="","",INDEX('Form Calc'!$G:$G,V471))</f>
        <v/>
      </c>
      <c r="X471" s="32">
        <f>IF(TRIM(A471&amp;"")="","",IF(T471&lt;&gt;"",IF(INDEX('Form Calc'!$K:$K,T471)&lt;&gt;"",INDEX('Form Calc'!$K:$K,T471),J471&amp;""),J471&amp;""))</f>
        <v/>
      </c>
      <c r="Y471" s="32">
        <f>IF(TRIM(A471&amp;"")="","",IF(TRIM(D471&amp;"")&lt;&gt;"",TRIM(D471&amp;""),IF(T471&lt;&gt;"",INDEX('Form Calc'!$C:$C,T471)&amp;"","")))</f>
        <v/>
      </c>
      <c r="Z471" s="32">
        <f>SUBSTITUTE(SUBSTITUTE(SUBSTITUTE(SUBSTITUTE(SUBSTITUTE(SUBSTITUTE(SUBSTITUTE(SUBSTITUTE(Y471," ",""),"-",""),"(",""),")",""),".",""),"+",""),"/",""),CHAR(160),"")</f>
        <v/>
      </c>
      <c r="AA471" s="32">
        <f>IF(Z471="","",IF(LEN(Z471)=10,"+1"&amp;Z471,IF(AND(LEN(Z471)=11,LEFT(Z471,1)="1"),"+"&amp;Z471,IF(LEFT(Y471,1)="+","+"&amp;Z471,Z471))))</f>
        <v/>
      </c>
      <c r="AB471" s="32">
        <f>IF(TRIM(A471&amp;"")="","",IF(TRIM(M471&amp;"")&lt;&gt;"",TRIM(M471&amp;""),IFERROR(LEFT(TRIM(A471&amp;""),FIND(" ",TRIM(A471&amp;""))-1),TRIM(A471&amp;""))))</f>
        <v/>
      </c>
      <c r="AC471" s="32">
        <f>SUBSTITUTE(SUBSTITUTE(SUBSTITUTE(SUBSTITUTE(SUBSTITUTE(SUBSTITUTE(SUBSTITUTE(SUBSTITUTE(SUBSTITUTE(SUBSTITUTE(AB471,"%","%25"),"&amp;","%26"),"#","%23"),"+","%2B"),"=","%3D"),"?","%3F"),CHAR(34),"%22"),CHAR(10),"%0A"),CHAR(13),"")," ","+")</f>
        <v/>
      </c>
      <c r="AD471" s="32">
        <f>IF(OR(AA471="",AB471=""),"",'Start Here'!$B$20&amp;"#p="&amp;SUBSTITUTE(AA471,"+","%2B")&amp;"&amp;n="&amp;AC471&amp;"&amp;m="&amp;SUBSTITUTE('Start Here'!$B$24,"{name}",AC471))</f>
        <v/>
      </c>
      <c r="AE471" s="32">
        <f>LEN(AD471)</f>
        <v/>
      </c>
      <c r="AF471" s="32">
        <f>IF(AND(TRIM(A471&amp;"")&lt;&gt;"",OR(B471="Awaiting",B471="Not sure yet")),1,0)</f>
        <v/>
      </c>
      <c r="AG471" s="32">
        <f>N(AG470)+AF471</f>
        <v/>
      </c>
      <c r="AH471" s="32">
        <f>IF(AF471=1,AG471,"")</f>
        <v/>
      </c>
      <c r="AI471" s="32">
        <f>IF(AND(TRIM(A471&amp;"")&lt;&gt;"",L471&amp;""&lt;&gt;"",L471&amp;""=Seating!$I$3&amp;"",B471&lt;&gt;"Declined"),1,0)</f>
        <v/>
      </c>
      <c r="AJ471" s="32">
        <f>N(AJ470)+AI471</f>
        <v/>
      </c>
      <c r="AK471" s="32">
        <f>IF(AI471=1,AJ471,"")</f>
        <v/>
      </c>
    </row>
    <row r="472">
      <c r="A472" s="10" t="n"/>
      <c r="B472" s="47">
        <f>IF(TRIM(A472&amp;"")="","",IF(W472&lt;&gt;"",W472,IF(I472="","Awaiting",I472)))</f>
        <v/>
      </c>
      <c r="C472" s="60">
        <f>IF(OR(B472="Awaiting",B472="Not sure yet"),IF(AD472&lt;&gt;"",HYPERLINK(AD472,"💬 Remind"),"add mobile"),"")</f>
        <v/>
      </c>
      <c r="D472" s="58" t="n"/>
      <c r="E472" s="10" t="n"/>
      <c r="F472" s="10" t="n"/>
      <c r="G472" s="10" t="n"/>
      <c r="H472" s="10" t="n"/>
      <c r="I472" s="10" t="n"/>
      <c r="J472" s="10" t="n"/>
      <c r="K472" s="10" t="n"/>
      <c r="L472" s="56" t="n"/>
      <c r="M472" s="10" t="n"/>
      <c r="N472" s="12" t="n"/>
      <c r="O472" s="10" t="n"/>
      <c r="P472" s="10" t="n"/>
      <c r="Q472" s="61">
        <f>IF(V472="","",IF(T472="","Covered by "&amp;INDEX('Form Calc'!$B:$B,V472)&amp;"'s reply (same party)","Replied "&amp;TEXT(INDEX('Form Calc'!$A:$A,T472),"mm/dd")&amp;" · "&amp;INDEX('Form Calc'!$H:$H,T472)&amp;" adult(s), "&amp;INDEX('Form Calc'!$I:$I,T472)&amp;" child(ren)"&amp;IF(INDEX('Form Calc'!$K:$K,T472)&lt;&gt;""," · "&amp;INDEX('Form Calc'!$K:$K,T472),"")&amp;IF(INDEX('Form Calc'!$M:$M,T472)&lt;&gt;""," · “"&amp;INDEX('Form Calc'!$M:$M,T472)&amp;"”","")))</f>
        <v/>
      </c>
      <c r="R472" s="32">
        <f>SUBSTITUTE(SUBSTITUTE(SUBSTITUTE(SUBSTITUTE(SUBSTITUTE(SUBSTITUTE(SUBSTITUTE(SUBSTITUTE(D472&amp;""," ",""),"-",""),"(",""),")",""),".",""),"+",""),"/",""),CHAR(160),"")</f>
        <v/>
      </c>
      <c r="S472" s="32">
        <f>IF(LEN(R472)&gt;=10,RIGHT(R472,10),R472)</f>
        <v/>
      </c>
      <c r="T472" s="32">
        <f>IF(TRIM(A472&amp;"")="","",IF(S472&lt;&gt;"",IFERROR(MATCH(S472,'Form Calc'!$P:$P,0),IFERROR(MATCH(TRIM(A472&amp;""),'Form Calc'!$Q:$Q,0),"")),IFERROR(MATCH(TRIM(A472&amp;""),'Form Calc'!$Q:$Q,0),"")))</f>
        <v/>
      </c>
      <c r="U472" s="32">
        <f>IF(AND(T472&lt;&gt;"",TRIM(E472&amp;"")&lt;&gt;""),TRIM(E472&amp;""),"")</f>
        <v/>
      </c>
      <c r="V472" s="32">
        <f>IF(TRIM(A472&amp;"")="","",IF(T472&lt;&gt;"",T472,IF(TRIM(E472&amp;"")="","",IFERROR(INDEX($T$6:$T$505,MATCH(TRIM(E472&amp;""),$U$6:$U$505,0)),""))))</f>
        <v/>
      </c>
      <c r="W472" s="32">
        <f>IF(V472="","",INDEX('Form Calc'!$G:$G,V472))</f>
        <v/>
      </c>
      <c r="X472" s="32">
        <f>IF(TRIM(A472&amp;"")="","",IF(T472&lt;&gt;"",IF(INDEX('Form Calc'!$K:$K,T472)&lt;&gt;"",INDEX('Form Calc'!$K:$K,T472),J472&amp;""),J472&amp;""))</f>
        <v/>
      </c>
      <c r="Y472" s="32">
        <f>IF(TRIM(A472&amp;"")="","",IF(TRIM(D472&amp;"")&lt;&gt;"",TRIM(D472&amp;""),IF(T472&lt;&gt;"",INDEX('Form Calc'!$C:$C,T472)&amp;"","")))</f>
        <v/>
      </c>
      <c r="Z472" s="32">
        <f>SUBSTITUTE(SUBSTITUTE(SUBSTITUTE(SUBSTITUTE(SUBSTITUTE(SUBSTITUTE(SUBSTITUTE(SUBSTITUTE(Y472," ",""),"-",""),"(",""),")",""),".",""),"+",""),"/",""),CHAR(160),"")</f>
        <v/>
      </c>
      <c r="AA472" s="32">
        <f>IF(Z472="","",IF(LEN(Z472)=10,"+1"&amp;Z472,IF(AND(LEN(Z472)=11,LEFT(Z472,1)="1"),"+"&amp;Z472,IF(LEFT(Y472,1)="+","+"&amp;Z472,Z472))))</f>
        <v/>
      </c>
      <c r="AB472" s="32">
        <f>IF(TRIM(A472&amp;"")="","",IF(TRIM(M472&amp;"")&lt;&gt;"",TRIM(M472&amp;""),IFERROR(LEFT(TRIM(A472&amp;""),FIND(" ",TRIM(A472&amp;""))-1),TRIM(A472&amp;""))))</f>
        <v/>
      </c>
      <c r="AC472" s="32">
        <f>SUBSTITUTE(SUBSTITUTE(SUBSTITUTE(SUBSTITUTE(SUBSTITUTE(SUBSTITUTE(SUBSTITUTE(SUBSTITUTE(SUBSTITUTE(SUBSTITUTE(AB472,"%","%25"),"&amp;","%26"),"#","%23"),"+","%2B"),"=","%3D"),"?","%3F"),CHAR(34),"%22"),CHAR(10),"%0A"),CHAR(13),"")," ","+")</f>
        <v/>
      </c>
      <c r="AD472" s="32">
        <f>IF(OR(AA472="",AB472=""),"",'Start Here'!$B$20&amp;"#p="&amp;SUBSTITUTE(AA472,"+","%2B")&amp;"&amp;n="&amp;AC472&amp;"&amp;m="&amp;SUBSTITUTE('Start Here'!$B$24,"{name}",AC472))</f>
        <v/>
      </c>
      <c r="AE472" s="32">
        <f>LEN(AD472)</f>
        <v/>
      </c>
      <c r="AF472" s="32">
        <f>IF(AND(TRIM(A472&amp;"")&lt;&gt;"",OR(B472="Awaiting",B472="Not sure yet")),1,0)</f>
        <v/>
      </c>
      <c r="AG472" s="32">
        <f>N(AG471)+AF472</f>
        <v/>
      </c>
      <c r="AH472" s="32">
        <f>IF(AF472=1,AG472,"")</f>
        <v/>
      </c>
      <c r="AI472" s="32">
        <f>IF(AND(TRIM(A472&amp;"")&lt;&gt;"",L472&amp;""&lt;&gt;"",L472&amp;""=Seating!$I$3&amp;"",B472&lt;&gt;"Declined"),1,0)</f>
        <v/>
      </c>
      <c r="AJ472" s="32">
        <f>N(AJ471)+AI472</f>
        <v/>
      </c>
      <c r="AK472" s="32">
        <f>IF(AI472=1,AJ472,"")</f>
        <v/>
      </c>
    </row>
    <row r="473">
      <c r="A473" s="10" t="n"/>
      <c r="B473" s="47">
        <f>IF(TRIM(A473&amp;"")="","",IF(W473&lt;&gt;"",W473,IF(I473="","Awaiting",I473)))</f>
        <v/>
      </c>
      <c r="C473" s="60">
        <f>IF(OR(B473="Awaiting",B473="Not sure yet"),IF(AD473&lt;&gt;"",HYPERLINK(AD473,"💬 Remind"),"add mobile"),"")</f>
        <v/>
      </c>
      <c r="D473" s="58" t="n"/>
      <c r="E473" s="10" t="n"/>
      <c r="F473" s="10" t="n"/>
      <c r="G473" s="10" t="n"/>
      <c r="H473" s="10" t="n"/>
      <c r="I473" s="10" t="n"/>
      <c r="J473" s="10" t="n"/>
      <c r="K473" s="10" t="n"/>
      <c r="L473" s="56" t="n"/>
      <c r="M473" s="10" t="n"/>
      <c r="N473" s="12" t="n"/>
      <c r="O473" s="10" t="n"/>
      <c r="P473" s="10" t="n"/>
      <c r="Q473" s="61">
        <f>IF(V473="","",IF(T473="","Covered by "&amp;INDEX('Form Calc'!$B:$B,V473)&amp;"'s reply (same party)","Replied "&amp;TEXT(INDEX('Form Calc'!$A:$A,T473),"mm/dd")&amp;" · "&amp;INDEX('Form Calc'!$H:$H,T473)&amp;" adult(s), "&amp;INDEX('Form Calc'!$I:$I,T473)&amp;" child(ren)"&amp;IF(INDEX('Form Calc'!$K:$K,T473)&lt;&gt;""," · "&amp;INDEX('Form Calc'!$K:$K,T473),"")&amp;IF(INDEX('Form Calc'!$M:$M,T473)&lt;&gt;""," · “"&amp;INDEX('Form Calc'!$M:$M,T473)&amp;"”","")))</f>
        <v/>
      </c>
      <c r="R473" s="32">
        <f>SUBSTITUTE(SUBSTITUTE(SUBSTITUTE(SUBSTITUTE(SUBSTITUTE(SUBSTITUTE(SUBSTITUTE(SUBSTITUTE(D473&amp;""," ",""),"-",""),"(",""),")",""),".",""),"+",""),"/",""),CHAR(160),"")</f>
        <v/>
      </c>
      <c r="S473" s="32">
        <f>IF(LEN(R473)&gt;=10,RIGHT(R473,10),R473)</f>
        <v/>
      </c>
      <c r="T473" s="32">
        <f>IF(TRIM(A473&amp;"")="","",IF(S473&lt;&gt;"",IFERROR(MATCH(S473,'Form Calc'!$P:$P,0),IFERROR(MATCH(TRIM(A473&amp;""),'Form Calc'!$Q:$Q,0),"")),IFERROR(MATCH(TRIM(A473&amp;""),'Form Calc'!$Q:$Q,0),"")))</f>
        <v/>
      </c>
      <c r="U473" s="32">
        <f>IF(AND(T473&lt;&gt;"",TRIM(E473&amp;"")&lt;&gt;""),TRIM(E473&amp;""),"")</f>
        <v/>
      </c>
      <c r="V473" s="32">
        <f>IF(TRIM(A473&amp;"")="","",IF(T473&lt;&gt;"",T473,IF(TRIM(E473&amp;"")="","",IFERROR(INDEX($T$6:$T$505,MATCH(TRIM(E473&amp;""),$U$6:$U$505,0)),""))))</f>
        <v/>
      </c>
      <c r="W473" s="32">
        <f>IF(V473="","",INDEX('Form Calc'!$G:$G,V473))</f>
        <v/>
      </c>
      <c r="X473" s="32">
        <f>IF(TRIM(A473&amp;"")="","",IF(T473&lt;&gt;"",IF(INDEX('Form Calc'!$K:$K,T473)&lt;&gt;"",INDEX('Form Calc'!$K:$K,T473),J473&amp;""),J473&amp;""))</f>
        <v/>
      </c>
      <c r="Y473" s="32">
        <f>IF(TRIM(A473&amp;"")="","",IF(TRIM(D473&amp;"")&lt;&gt;"",TRIM(D473&amp;""),IF(T473&lt;&gt;"",INDEX('Form Calc'!$C:$C,T473)&amp;"","")))</f>
        <v/>
      </c>
      <c r="Z473" s="32">
        <f>SUBSTITUTE(SUBSTITUTE(SUBSTITUTE(SUBSTITUTE(SUBSTITUTE(SUBSTITUTE(SUBSTITUTE(SUBSTITUTE(Y473," ",""),"-",""),"(",""),")",""),".",""),"+",""),"/",""),CHAR(160),"")</f>
        <v/>
      </c>
      <c r="AA473" s="32">
        <f>IF(Z473="","",IF(LEN(Z473)=10,"+1"&amp;Z473,IF(AND(LEN(Z473)=11,LEFT(Z473,1)="1"),"+"&amp;Z473,IF(LEFT(Y473,1)="+","+"&amp;Z473,Z473))))</f>
        <v/>
      </c>
      <c r="AB473" s="32">
        <f>IF(TRIM(A473&amp;"")="","",IF(TRIM(M473&amp;"")&lt;&gt;"",TRIM(M473&amp;""),IFERROR(LEFT(TRIM(A473&amp;""),FIND(" ",TRIM(A473&amp;""))-1),TRIM(A473&amp;""))))</f>
        <v/>
      </c>
      <c r="AC473" s="32">
        <f>SUBSTITUTE(SUBSTITUTE(SUBSTITUTE(SUBSTITUTE(SUBSTITUTE(SUBSTITUTE(SUBSTITUTE(SUBSTITUTE(SUBSTITUTE(SUBSTITUTE(AB473,"%","%25"),"&amp;","%26"),"#","%23"),"+","%2B"),"=","%3D"),"?","%3F"),CHAR(34),"%22"),CHAR(10),"%0A"),CHAR(13),"")," ","+")</f>
        <v/>
      </c>
      <c r="AD473" s="32">
        <f>IF(OR(AA473="",AB473=""),"",'Start Here'!$B$20&amp;"#p="&amp;SUBSTITUTE(AA473,"+","%2B")&amp;"&amp;n="&amp;AC473&amp;"&amp;m="&amp;SUBSTITUTE('Start Here'!$B$24,"{name}",AC473))</f>
        <v/>
      </c>
      <c r="AE473" s="32">
        <f>LEN(AD473)</f>
        <v/>
      </c>
      <c r="AF473" s="32">
        <f>IF(AND(TRIM(A473&amp;"")&lt;&gt;"",OR(B473="Awaiting",B473="Not sure yet")),1,0)</f>
        <v/>
      </c>
      <c r="AG473" s="32">
        <f>N(AG472)+AF473</f>
        <v/>
      </c>
      <c r="AH473" s="32">
        <f>IF(AF473=1,AG473,"")</f>
        <v/>
      </c>
      <c r="AI473" s="32">
        <f>IF(AND(TRIM(A473&amp;"")&lt;&gt;"",L473&amp;""&lt;&gt;"",L473&amp;""=Seating!$I$3&amp;"",B473&lt;&gt;"Declined"),1,0)</f>
        <v/>
      </c>
      <c r="AJ473" s="32">
        <f>N(AJ472)+AI473</f>
        <v/>
      </c>
      <c r="AK473" s="32">
        <f>IF(AI473=1,AJ473,"")</f>
        <v/>
      </c>
    </row>
    <row r="474">
      <c r="A474" s="10" t="n"/>
      <c r="B474" s="47">
        <f>IF(TRIM(A474&amp;"")="","",IF(W474&lt;&gt;"",W474,IF(I474="","Awaiting",I474)))</f>
        <v/>
      </c>
      <c r="C474" s="60">
        <f>IF(OR(B474="Awaiting",B474="Not sure yet"),IF(AD474&lt;&gt;"",HYPERLINK(AD474,"💬 Remind"),"add mobile"),"")</f>
        <v/>
      </c>
      <c r="D474" s="58" t="n"/>
      <c r="E474" s="10" t="n"/>
      <c r="F474" s="10" t="n"/>
      <c r="G474" s="10" t="n"/>
      <c r="H474" s="10" t="n"/>
      <c r="I474" s="10" t="n"/>
      <c r="J474" s="10" t="n"/>
      <c r="K474" s="10" t="n"/>
      <c r="L474" s="56" t="n"/>
      <c r="M474" s="10" t="n"/>
      <c r="N474" s="12" t="n"/>
      <c r="O474" s="10" t="n"/>
      <c r="P474" s="10" t="n"/>
      <c r="Q474" s="61">
        <f>IF(V474="","",IF(T474="","Covered by "&amp;INDEX('Form Calc'!$B:$B,V474)&amp;"'s reply (same party)","Replied "&amp;TEXT(INDEX('Form Calc'!$A:$A,T474),"mm/dd")&amp;" · "&amp;INDEX('Form Calc'!$H:$H,T474)&amp;" adult(s), "&amp;INDEX('Form Calc'!$I:$I,T474)&amp;" child(ren)"&amp;IF(INDEX('Form Calc'!$K:$K,T474)&lt;&gt;""," · "&amp;INDEX('Form Calc'!$K:$K,T474),"")&amp;IF(INDEX('Form Calc'!$M:$M,T474)&lt;&gt;""," · “"&amp;INDEX('Form Calc'!$M:$M,T474)&amp;"”","")))</f>
        <v/>
      </c>
      <c r="R474" s="32">
        <f>SUBSTITUTE(SUBSTITUTE(SUBSTITUTE(SUBSTITUTE(SUBSTITUTE(SUBSTITUTE(SUBSTITUTE(SUBSTITUTE(D474&amp;""," ",""),"-",""),"(",""),")",""),".",""),"+",""),"/",""),CHAR(160),"")</f>
        <v/>
      </c>
      <c r="S474" s="32">
        <f>IF(LEN(R474)&gt;=10,RIGHT(R474,10),R474)</f>
        <v/>
      </c>
      <c r="T474" s="32">
        <f>IF(TRIM(A474&amp;"")="","",IF(S474&lt;&gt;"",IFERROR(MATCH(S474,'Form Calc'!$P:$P,0),IFERROR(MATCH(TRIM(A474&amp;""),'Form Calc'!$Q:$Q,0),"")),IFERROR(MATCH(TRIM(A474&amp;""),'Form Calc'!$Q:$Q,0),"")))</f>
        <v/>
      </c>
      <c r="U474" s="32">
        <f>IF(AND(T474&lt;&gt;"",TRIM(E474&amp;"")&lt;&gt;""),TRIM(E474&amp;""),"")</f>
        <v/>
      </c>
      <c r="V474" s="32">
        <f>IF(TRIM(A474&amp;"")="","",IF(T474&lt;&gt;"",T474,IF(TRIM(E474&amp;"")="","",IFERROR(INDEX($T$6:$T$505,MATCH(TRIM(E474&amp;""),$U$6:$U$505,0)),""))))</f>
        <v/>
      </c>
      <c r="W474" s="32">
        <f>IF(V474="","",INDEX('Form Calc'!$G:$G,V474))</f>
        <v/>
      </c>
      <c r="X474" s="32">
        <f>IF(TRIM(A474&amp;"")="","",IF(T474&lt;&gt;"",IF(INDEX('Form Calc'!$K:$K,T474)&lt;&gt;"",INDEX('Form Calc'!$K:$K,T474),J474&amp;""),J474&amp;""))</f>
        <v/>
      </c>
      <c r="Y474" s="32">
        <f>IF(TRIM(A474&amp;"")="","",IF(TRIM(D474&amp;"")&lt;&gt;"",TRIM(D474&amp;""),IF(T474&lt;&gt;"",INDEX('Form Calc'!$C:$C,T474)&amp;"","")))</f>
        <v/>
      </c>
      <c r="Z474" s="32">
        <f>SUBSTITUTE(SUBSTITUTE(SUBSTITUTE(SUBSTITUTE(SUBSTITUTE(SUBSTITUTE(SUBSTITUTE(SUBSTITUTE(Y474," ",""),"-",""),"(",""),")",""),".",""),"+",""),"/",""),CHAR(160),"")</f>
        <v/>
      </c>
      <c r="AA474" s="32">
        <f>IF(Z474="","",IF(LEN(Z474)=10,"+1"&amp;Z474,IF(AND(LEN(Z474)=11,LEFT(Z474,1)="1"),"+"&amp;Z474,IF(LEFT(Y474,1)="+","+"&amp;Z474,Z474))))</f>
        <v/>
      </c>
      <c r="AB474" s="32">
        <f>IF(TRIM(A474&amp;"")="","",IF(TRIM(M474&amp;"")&lt;&gt;"",TRIM(M474&amp;""),IFERROR(LEFT(TRIM(A474&amp;""),FIND(" ",TRIM(A474&amp;""))-1),TRIM(A474&amp;""))))</f>
        <v/>
      </c>
      <c r="AC474" s="32">
        <f>SUBSTITUTE(SUBSTITUTE(SUBSTITUTE(SUBSTITUTE(SUBSTITUTE(SUBSTITUTE(SUBSTITUTE(SUBSTITUTE(SUBSTITUTE(SUBSTITUTE(AB474,"%","%25"),"&amp;","%26"),"#","%23"),"+","%2B"),"=","%3D"),"?","%3F"),CHAR(34),"%22"),CHAR(10),"%0A"),CHAR(13),"")," ","+")</f>
        <v/>
      </c>
      <c r="AD474" s="32">
        <f>IF(OR(AA474="",AB474=""),"",'Start Here'!$B$20&amp;"#p="&amp;SUBSTITUTE(AA474,"+","%2B")&amp;"&amp;n="&amp;AC474&amp;"&amp;m="&amp;SUBSTITUTE('Start Here'!$B$24,"{name}",AC474))</f>
        <v/>
      </c>
      <c r="AE474" s="32">
        <f>LEN(AD474)</f>
        <v/>
      </c>
      <c r="AF474" s="32">
        <f>IF(AND(TRIM(A474&amp;"")&lt;&gt;"",OR(B474="Awaiting",B474="Not sure yet")),1,0)</f>
        <v/>
      </c>
      <c r="AG474" s="32">
        <f>N(AG473)+AF474</f>
        <v/>
      </c>
      <c r="AH474" s="32">
        <f>IF(AF474=1,AG474,"")</f>
        <v/>
      </c>
      <c r="AI474" s="32">
        <f>IF(AND(TRIM(A474&amp;"")&lt;&gt;"",L474&amp;""&lt;&gt;"",L474&amp;""=Seating!$I$3&amp;"",B474&lt;&gt;"Declined"),1,0)</f>
        <v/>
      </c>
      <c r="AJ474" s="32">
        <f>N(AJ473)+AI474</f>
        <v/>
      </c>
      <c r="AK474" s="32">
        <f>IF(AI474=1,AJ474,"")</f>
        <v/>
      </c>
    </row>
    <row r="475">
      <c r="A475" s="10" t="n"/>
      <c r="B475" s="47">
        <f>IF(TRIM(A475&amp;"")="","",IF(W475&lt;&gt;"",W475,IF(I475="","Awaiting",I475)))</f>
        <v/>
      </c>
      <c r="C475" s="60">
        <f>IF(OR(B475="Awaiting",B475="Not sure yet"),IF(AD475&lt;&gt;"",HYPERLINK(AD475,"💬 Remind"),"add mobile"),"")</f>
        <v/>
      </c>
      <c r="D475" s="58" t="n"/>
      <c r="E475" s="10" t="n"/>
      <c r="F475" s="10" t="n"/>
      <c r="G475" s="10" t="n"/>
      <c r="H475" s="10" t="n"/>
      <c r="I475" s="10" t="n"/>
      <c r="J475" s="10" t="n"/>
      <c r="K475" s="10" t="n"/>
      <c r="L475" s="56" t="n"/>
      <c r="M475" s="10" t="n"/>
      <c r="N475" s="12" t="n"/>
      <c r="O475" s="10" t="n"/>
      <c r="P475" s="10" t="n"/>
      <c r="Q475" s="61">
        <f>IF(V475="","",IF(T475="","Covered by "&amp;INDEX('Form Calc'!$B:$B,V475)&amp;"'s reply (same party)","Replied "&amp;TEXT(INDEX('Form Calc'!$A:$A,T475),"mm/dd")&amp;" · "&amp;INDEX('Form Calc'!$H:$H,T475)&amp;" adult(s), "&amp;INDEX('Form Calc'!$I:$I,T475)&amp;" child(ren)"&amp;IF(INDEX('Form Calc'!$K:$K,T475)&lt;&gt;""," · "&amp;INDEX('Form Calc'!$K:$K,T475),"")&amp;IF(INDEX('Form Calc'!$M:$M,T475)&lt;&gt;""," · “"&amp;INDEX('Form Calc'!$M:$M,T475)&amp;"”","")))</f>
        <v/>
      </c>
      <c r="R475" s="32">
        <f>SUBSTITUTE(SUBSTITUTE(SUBSTITUTE(SUBSTITUTE(SUBSTITUTE(SUBSTITUTE(SUBSTITUTE(SUBSTITUTE(D475&amp;""," ",""),"-",""),"(",""),")",""),".",""),"+",""),"/",""),CHAR(160),"")</f>
        <v/>
      </c>
      <c r="S475" s="32">
        <f>IF(LEN(R475)&gt;=10,RIGHT(R475,10),R475)</f>
        <v/>
      </c>
      <c r="T475" s="32">
        <f>IF(TRIM(A475&amp;"")="","",IF(S475&lt;&gt;"",IFERROR(MATCH(S475,'Form Calc'!$P:$P,0),IFERROR(MATCH(TRIM(A475&amp;""),'Form Calc'!$Q:$Q,0),"")),IFERROR(MATCH(TRIM(A475&amp;""),'Form Calc'!$Q:$Q,0),"")))</f>
        <v/>
      </c>
      <c r="U475" s="32">
        <f>IF(AND(T475&lt;&gt;"",TRIM(E475&amp;"")&lt;&gt;""),TRIM(E475&amp;""),"")</f>
        <v/>
      </c>
      <c r="V475" s="32">
        <f>IF(TRIM(A475&amp;"")="","",IF(T475&lt;&gt;"",T475,IF(TRIM(E475&amp;"")="","",IFERROR(INDEX($T$6:$T$505,MATCH(TRIM(E475&amp;""),$U$6:$U$505,0)),""))))</f>
        <v/>
      </c>
      <c r="W475" s="32">
        <f>IF(V475="","",INDEX('Form Calc'!$G:$G,V475))</f>
        <v/>
      </c>
      <c r="X475" s="32">
        <f>IF(TRIM(A475&amp;"")="","",IF(T475&lt;&gt;"",IF(INDEX('Form Calc'!$K:$K,T475)&lt;&gt;"",INDEX('Form Calc'!$K:$K,T475),J475&amp;""),J475&amp;""))</f>
        <v/>
      </c>
      <c r="Y475" s="32">
        <f>IF(TRIM(A475&amp;"")="","",IF(TRIM(D475&amp;"")&lt;&gt;"",TRIM(D475&amp;""),IF(T475&lt;&gt;"",INDEX('Form Calc'!$C:$C,T475)&amp;"","")))</f>
        <v/>
      </c>
      <c r="Z475" s="32">
        <f>SUBSTITUTE(SUBSTITUTE(SUBSTITUTE(SUBSTITUTE(SUBSTITUTE(SUBSTITUTE(SUBSTITUTE(SUBSTITUTE(Y475," ",""),"-",""),"(",""),")",""),".",""),"+",""),"/",""),CHAR(160),"")</f>
        <v/>
      </c>
      <c r="AA475" s="32">
        <f>IF(Z475="","",IF(LEN(Z475)=10,"+1"&amp;Z475,IF(AND(LEN(Z475)=11,LEFT(Z475,1)="1"),"+"&amp;Z475,IF(LEFT(Y475,1)="+","+"&amp;Z475,Z475))))</f>
        <v/>
      </c>
      <c r="AB475" s="32">
        <f>IF(TRIM(A475&amp;"")="","",IF(TRIM(M475&amp;"")&lt;&gt;"",TRIM(M475&amp;""),IFERROR(LEFT(TRIM(A475&amp;""),FIND(" ",TRIM(A475&amp;""))-1),TRIM(A475&amp;""))))</f>
        <v/>
      </c>
      <c r="AC475" s="32">
        <f>SUBSTITUTE(SUBSTITUTE(SUBSTITUTE(SUBSTITUTE(SUBSTITUTE(SUBSTITUTE(SUBSTITUTE(SUBSTITUTE(SUBSTITUTE(SUBSTITUTE(AB475,"%","%25"),"&amp;","%26"),"#","%23"),"+","%2B"),"=","%3D"),"?","%3F"),CHAR(34),"%22"),CHAR(10),"%0A"),CHAR(13),"")," ","+")</f>
        <v/>
      </c>
      <c r="AD475" s="32">
        <f>IF(OR(AA475="",AB475=""),"",'Start Here'!$B$20&amp;"#p="&amp;SUBSTITUTE(AA475,"+","%2B")&amp;"&amp;n="&amp;AC475&amp;"&amp;m="&amp;SUBSTITUTE('Start Here'!$B$24,"{name}",AC475))</f>
        <v/>
      </c>
      <c r="AE475" s="32">
        <f>LEN(AD475)</f>
        <v/>
      </c>
      <c r="AF475" s="32">
        <f>IF(AND(TRIM(A475&amp;"")&lt;&gt;"",OR(B475="Awaiting",B475="Not sure yet")),1,0)</f>
        <v/>
      </c>
      <c r="AG475" s="32">
        <f>N(AG474)+AF475</f>
        <v/>
      </c>
      <c r="AH475" s="32">
        <f>IF(AF475=1,AG475,"")</f>
        <v/>
      </c>
      <c r="AI475" s="32">
        <f>IF(AND(TRIM(A475&amp;"")&lt;&gt;"",L475&amp;""&lt;&gt;"",L475&amp;""=Seating!$I$3&amp;"",B475&lt;&gt;"Declined"),1,0)</f>
        <v/>
      </c>
      <c r="AJ475" s="32">
        <f>N(AJ474)+AI475</f>
        <v/>
      </c>
      <c r="AK475" s="32">
        <f>IF(AI475=1,AJ475,"")</f>
        <v/>
      </c>
    </row>
    <row r="476">
      <c r="A476" s="10" t="n"/>
      <c r="B476" s="47">
        <f>IF(TRIM(A476&amp;"")="","",IF(W476&lt;&gt;"",W476,IF(I476="","Awaiting",I476)))</f>
        <v/>
      </c>
      <c r="C476" s="60">
        <f>IF(OR(B476="Awaiting",B476="Not sure yet"),IF(AD476&lt;&gt;"",HYPERLINK(AD476,"💬 Remind"),"add mobile"),"")</f>
        <v/>
      </c>
      <c r="D476" s="58" t="n"/>
      <c r="E476" s="10" t="n"/>
      <c r="F476" s="10" t="n"/>
      <c r="G476" s="10" t="n"/>
      <c r="H476" s="10" t="n"/>
      <c r="I476" s="10" t="n"/>
      <c r="J476" s="10" t="n"/>
      <c r="K476" s="10" t="n"/>
      <c r="L476" s="56" t="n"/>
      <c r="M476" s="10" t="n"/>
      <c r="N476" s="12" t="n"/>
      <c r="O476" s="10" t="n"/>
      <c r="P476" s="10" t="n"/>
      <c r="Q476" s="61">
        <f>IF(V476="","",IF(T476="","Covered by "&amp;INDEX('Form Calc'!$B:$B,V476)&amp;"'s reply (same party)","Replied "&amp;TEXT(INDEX('Form Calc'!$A:$A,T476),"mm/dd")&amp;" · "&amp;INDEX('Form Calc'!$H:$H,T476)&amp;" adult(s), "&amp;INDEX('Form Calc'!$I:$I,T476)&amp;" child(ren)"&amp;IF(INDEX('Form Calc'!$K:$K,T476)&lt;&gt;""," · "&amp;INDEX('Form Calc'!$K:$K,T476),"")&amp;IF(INDEX('Form Calc'!$M:$M,T476)&lt;&gt;""," · “"&amp;INDEX('Form Calc'!$M:$M,T476)&amp;"”","")))</f>
        <v/>
      </c>
      <c r="R476" s="32">
        <f>SUBSTITUTE(SUBSTITUTE(SUBSTITUTE(SUBSTITUTE(SUBSTITUTE(SUBSTITUTE(SUBSTITUTE(SUBSTITUTE(D476&amp;""," ",""),"-",""),"(",""),")",""),".",""),"+",""),"/",""),CHAR(160),"")</f>
        <v/>
      </c>
      <c r="S476" s="32">
        <f>IF(LEN(R476)&gt;=10,RIGHT(R476,10),R476)</f>
        <v/>
      </c>
      <c r="T476" s="32">
        <f>IF(TRIM(A476&amp;"")="","",IF(S476&lt;&gt;"",IFERROR(MATCH(S476,'Form Calc'!$P:$P,0),IFERROR(MATCH(TRIM(A476&amp;""),'Form Calc'!$Q:$Q,0),"")),IFERROR(MATCH(TRIM(A476&amp;""),'Form Calc'!$Q:$Q,0),"")))</f>
        <v/>
      </c>
      <c r="U476" s="32">
        <f>IF(AND(T476&lt;&gt;"",TRIM(E476&amp;"")&lt;&gt;""),TRIM(E476&amp;""),"")</f>
        <v/>
      </c>
      <c r="V476" s="32">
        <f>IF(TRIM(A476&amp;"")="","",IF(T476&lt;&gt;"",T476,IF(TRIM(E476&amp;"")="","",IFERROR(INDEX($T$6:$T$505,MATCH(TRIM(E476&amp;""),$U$6:$U$505,0)),""))))</f>
        <v/>
      </c>
      <c r="W476" s="32">
        <f>IF(V476="","",INDEX('Form Calc'!$G:$G,V476))</f>
        <v/>
      </c>
      <c r="X476" s="32">
        <f>IF(TRIM(A476&amp;"")="","",IF(T476&lt;&gt;"",IF(INDEX('Form Calc'!$K:$K,T476)&lt;&gt;"",INDEX('Form Calc'!$K:$K,T476),J476&amp;""),J476&amp;""))</f>
        <v/>
      </c>
      <c r="Y476" s="32">
        <f>IF(TRIM(A476&amp;"")="","",IF(TRIM(D476&amp;"")&lt;&gt;"",TRIM(D476&amp;""),IF(T476&lt;&gt;"",INDEX('Form Calc'!$C:$C,T476)&amp;"","")))</f>
        <v/>
      </c>
      <c r="Z476" s="32">
        <f>SUBSTITUTE(SUBSTITUTE(SUBSTITUTE(SUBSTITUTE(SUBSTITUTE(SUBSTITUTE(SUBSTITUTE(SUBSTITUTE(Y476," ",""),"-",""),"(",""),")",""),".",""),"+",""),"/",""),CHAR(160),"")</f>
        <v/>
      </c>
      <c r="AA476" s="32">
        <f>IF(Z476="","",IF(LEN(Z476)=10,"+1"&amp;Z476,IF(AND(LEN(Z476)=11,LEFT(Z476,1)="1"),"+"&amp;Z476,IF(LEFT(Y476,1)="+","+"&amp;Z476,Z476))))</f>
        <v/>
      </c>
      <c r="AB476" s="32">
        <f>IF(TRIM(A476&amp;"")="","",IF(TRIM(M476&amp;"")&lt;&gt;"",TRIM(M476&amp;""),IFERROR(LEFT(TRIM(A476&amp;""),FIND(" ",TRIM(A476&amp;""))-1),TRIM(A476&amp;""))))</f>
        <v/>
      </c>
      <c r="AC476" s="32">
        <f>SUBSTITUTE(SUBSTITUTE(SUBSTITUTE(SUBSTITUTE(SUBSTITUTE(SUBSTITUTE(SUBSTITUTE(SUBSTITUTE(SUBSTITUTE(SUBSTITUTE(AB476,"%","%25"),"&amp;","%26"),"#","%23"),"+","%2B"),"=","%3D"),"?","%3F"),CHAR(34),"%22"),CHAR(10),"%0A"),CHAR(13),"")," ","+")</f>
        <v/>
      </c>
      <c r="AD476" s="32">
        <f>IF(OR(AA476="",AB476=""),"",'Start Here'!$B$20&amp;"#p="&amp;SUBSTITUTE(AA476,"+","%2B")&amp;"&amp;n="&amp;AC476&amp;"&amp;m="&amp;SUBSTITUTE('Start Here'!$B$24,"{name}",AC476))</f>
        <v/>
      </c>
      <c r="AE476" s="32">
        <f>LEN(AD476)</f>
        <v/>
      </c>
      <c r="AF476" s="32">
        <f>IF(AND(TRIM(A476&amp;"")&lt;&gt;"",OR(B476="Awaiting",B476="Not sure yet")),1,0)</f>
        <v/>
      </c>
      <c r="AG476" s="32">
        <f>N(AG475)+AF476</f>
        <v/>
      </c>
      <c r="AH476" s="32">
        <f>IF(AF476=1,AG476,"")</f>
        <v/>
      </c>
      <c r="AI476" s="32">
        <f>IF(AND(TRIM(A476&amp;"")&lt;&gt;"",L476&amp;""&lt;&gt;"",L476&amp;""=Seating!$I$3&amp;"",B476&lt;&gt;"Declined"),1,0)</f>
        <v/>
      </c>
      <c r="AJ476" s="32">
        <f>N(AJ475)+AI476</f>
        <v/>
      </c>
      <c r="AK476" s="32">
        <f>IF(AI476=1,AJ476,"")</f>
        <v/>
      </c>
    </row>
    <row r="477">
      <c r="A477" s="10" t="n"/>
      <c r="B477" s="47">
        <f>IF(TRIM(A477&amp;"")="","",IF(W477&lt;&gt;"",W477,IF(I477="","Awaiting",I477)))</f>
        <v/>
      </c>
      <c r="C477" s="60">
        <f>IF(OR(B477="Awaiting",B477="Not sure yet"),IF(AD477&lt;&gt;"",HYPERLINK(AD477,"💬 Remind"),"add mobile"),"")</f>
        <v/>
      </c>
      <c r="D477" s="58" t="n"/>
      <c r="E477" s="10" t="n"/>
      <c r="F477" s="10" t="n"/>
      <c r="G477" s="10" t="n"/>
      <c r="H477" s="10" t="n"/>
      <c r="I477" s="10" t="n"/>
      <c r="J477" s="10" t="n"/>
      <c r="K477" s="10" t="n"/>
      <c r="L477" s="56" t="n"/>
      <c r="M477" s="10" t="n"/>
      <c r="N477" s="12" t="n"/>
      <c r="O477" s="10" t="n"/>
      <c r="P477" s="10" t="n"/>
      <c r="Q477" s="61">
        <f>IF(V477="","",IF(T477="","Covered by "&amp;INDEX('Form Calc'!$B:$B,V477)&amp;"'s reply (same party)","Replied "&amp;TEXT(INDEX('Form Calc'!$A:$A,T477),"mm/dd")&amp;" · "&amp;INDEX('Form Calc'!$H:$H,T477)&amp;" adult(s), "&amp;INDEX('Form Calc'!$I:$I,T477)&amp;" child(ren)"&amp;IF(INDEX('Form Calc'!$K:$K,T477)&lt;&gt;""," · "&amp;INDEX('Form Calc'!$K:$K,T477),"")&amp;IF(INDEX('Form Calc'!$M:$M,T477)&lt;&gt;""," · “"&amp;INDEX('Form Calc'!$M:$M,T477)&amp;"”","")))</f>
        <v/>
      </c>
      <c r="R477" s="32">
        <f>SUBSTITUTE(SUBSTITUTE(SUBSTITUTE(SUBSTITUTE(SUBSTITUTE(SUBSTITUTE(SUBSTITUTE(SUBSTITUTE(D477&amp;""," ",""),"-",""),"(",""),")",""),".",""),"+",""),"/",""),CHAR(160),"")</f>
        <v/>
      </c>
      <c r="S477" s="32">
        <f>IF(LEN(R477)&gt;=10,RIGHT(R477,10),R477)</f>
        <v/>
      </c>
      <c r="T477" s="32">
        <f>IF(TRIM(A477&amp;"")="","",IF(S477&lt;&gt;"",IFERROR(MATCH(S477,'Form Calc'!$P:$P,0),IFERROR(MATCH(TRIM(A477&amp;""),'Form Calc'!$Q:$Q,0),"")),IFERROR(MATCH(TRIM(A477&amp;""),'Form Calc'!$Q:$Q,0),"")))</f>
        <v/>
      </c>
      <c r="U477" s="32">
        <f>IF(AND(T477&lt;&gt;"",TRIM(E477&amp;"")&lt;&gt;""),TRIM(E477&amp;""),"")</f>
        <v/>
      </c>
      <c r="V477" s="32">
        <f>IF(TRIM(A477&amp;"")="","",IF(T477&lt;&gt;"",T477,IF(TRIM(E477&amp;"")="","",IFERROR(INDEX($T$6:$T$505,MATCH(TRIM(E477&amp;""),$U$6:$U$505,0)),""))))</f>
        <v/>
      </c>
      <c r="W477" s="32">
        <f>IF(V477="","",INDEX('Form Calc'!$G:$G,V477))</f>
        <v/>
      </c>
      <c r="X477" s="32">
        <f>IF(TRIM(A477&amp;"")="","",IF(T477&lt;&gt;"",IF(INDEX('Form Calc'!$K:$K,T477)&lt;&gt;"",INDEX('Form Calc'!$K:$K,T477),J477&amp;""),J477&amp;""))</f>
        <v/>
      </c>
      <c r="Y477" s="32">
        <f>IF(TRIM(A477&amp;"")="","",IF(TRIM(D477&amp;"")&lt;&gt;"",TRIM(D477&amp;""),IF(T477&lt;&gt;"",INDEX('Form Calc'!$C:$C,T477)&amp;"","")))</f>
        <v/>
      </c>
      <c r="Z477" s="32">
        <f>SUBSTITUTE(SUBSTITUTE(SUBSTITUTE(SUBSTITUTE(SUBSTITUTE(SUBSTITUTE(SUBSTITUTE(SUBSTITUTE(Y477," ",""),"-",""),"(",""),")",""),".",""),"+",""),"/",""),CHAR(160),"")</f>
        <v/>
      </c>
      <c r="AA477" s="32">
        <f>IF(Z477="","",IF(LEN(Z477)=10,"+1"&amp;Z477,IF(AND(LEN(Z477)=11,LEFT(Z477,1)="1"),"+"&amp;Z477,IF(LEFT(Y477,1)="+","+"&amp;Z477,Z477))))</f>
        <v/>
      </c>
      <c r="AB477" s="32">
        <f>IF(TRIM(A477&amp;"")="","",IF(TRIM(M477&amp;"")&lt;&gt;"",TRIM(M477&amp;""),IFERROR(LEFT(TRIM(A477&amp;""),FIND(" ",TRIM(A477&amp;""))-1),TRIM(A477&amp;""))))</f>
        <v/>
      </c>
      <c r="AC477" s="32">
        <f>SUBSTITUTE(SUBSTITUTE(SUBSTITUTE(SUBSTITUTE(SUBSTITUTE(SUBSTITUTE(SUBSTITUTE(SUBSTITUTE(SUBSTITUTE(SUBSTITUTE(AB477,"%","%25"),"&amp;","%26"),"#","%23"),"+","%2B"),"=","%3D"),"?","%3F"),CHAR(34),"%22"),CHAR(10),"%0A"),CHAR(13),"")," ","+")</f>
        <v/>
      </c>
      <c r="AD477" s="32">
        <f>IF(OR(AA477="",AB477=""),"",'Start Here'!$B$20&amp;"#p="&amp;SUBSTITUTE(AA477,"+","%2B")&amp;"&amp;n="&amp;AC477&amp;"&amp;m="&amp;SUBSTITUTE('Start Here'!$B$24,"{name}",AC477))</f>
        <v/>
      </c>
      <c r="AE477" s="32">
        <f>LEN(AD477)</f>
        <v/>
      </c>
      <c r="AF477" s="32">
        <f>IF(AND(TRIM(A477&amp;"")&lt;&gt;"",OR(B477="Awaiting",B477="Not sure yet")),1,0)</f>
        <v/>
      </c>
      <c r="AG477" s="32">
        <f>N(AG476)+AF477</f>
        <v/>
      </c>
      <c r="AH477" s="32">
        <f>IF(AF477=1,AG477,"")</f>
        <v/>
      </c>
      <c r="AI477" s="32">
        <f>IF(AND(TRIM(A477&amp;"")&lt;&gt;"",L477&amp;""&lt;&gt;"",L477&amp;""=Seating!$I$3&amp;"",B477&lt;&gt;"Declined"),1,0)</f>
        <v/>
      </c>
      <c r="AJ477" s="32">
        <f>N(AJ476)+AI477</f>
        <v/>
      </c>
      <c r="AK477" s="32">
        <f>IF(AI477=1,AJ477,"")</f>
        <v/>
      </c>
    </row>
    <row r="478">
      <c r="A478" s="10" t="n"/>
      <c r="B478" s="47">
        <f>IF(TRIM(A478&amp;"")="","",IF(W478&lt;&gt;"",W478,IF(I478="","Awaiting",I478)))</f>
        <v/>
      </c>
      <c r="C478" s="60">
        <f>IF(OR(B478="Awaiting",B478="Not sure yet"),IF(AD478&lt;&gt;"",HYPERLINK(AD478,"💬 Remind"),"add mobile"),"")</f>
        <v/>
      </c>
      <c r="D478" s="58" t="n"/>
      <c r="E478" s="10" t="n"/>
      <c r="F478" s="10" t="n"/>
      <c r="G478" s="10" t="n"/>
      <c r="H478" s="10" t="n"/>
      <c r="I478" s="10" t="n"/>
      <c r="J478" s="10" t="n"/>
      <c r="K478" s="10" t="n"/>
      <c r="L478" s="56" t="n"/>
      <c r="M478" s="10" t="n"/>
      <c r="N478" s="12" t="n"/>
      <c r="O478" s="10" t="n"/>
      <c r="P478" s="10" t="n"/>
      <c r="Q478" s="61">
        <f>IF(V478="","",IF(T478="","Covered by "&amp;INDEX('Form Calc'!$B:$B,V478)&amp;"'s reply (same party)","Replied "&amp;TEXT(INDEX('Form Calc'!$A:$A,T478),"mm/dd")&amp;" · "&amp;INDEX('Form Calc'!$H:$H,T478)&amp;" adult(s), "&amp;INDEX('Form Calc'!$I:$I,T478)&amp;" child(ren)"&amp;IF(INDEX('Form Calc'!$K:$K,T478)&lt;&gt;""," · "&amp;INDEX('Form Calc'!$K:$K,T478),"")&amp;IF(INDEX('Form Calc'!$M:$M,T478)&lt;&gt;""," · “"&amp;INDEX('Form Calc'!$M:$M,T478)&amp;"”","")))</f>
        <v/>
      </c>
      <c r="R478" s="32">
        <f>SUBSTITUTE(SUBSTITUTE(SUBSTITUTE(SUBSTITUTE(SUBSTITUTE(SUBSTITUTE(SUBSTITUTE(SUBSTITUTE(D478&amp;""," ",""),"-",""),"(",""),")",""),".",""),"+",""),"/",""),CHAR(160),"")</f>
        <v/>
      </c>
      <c r="S478" s="32">
        <f>IF(LEN(R478)&gt;=10,RIGHT(R478,10),R478)</f>
        <v/>
      </c>
      <c r="T478" s="32">
        <f>IF(TRIM(A478&amp;"")="","",IF(S478&lt;&gt;"",IFERROR(MATCH(S478,'Form Calc'!$P:$P,0),IFERROR(MATCH(TRIM(A478&amp;""),'Form Calc'!$Q:$Q,0),"")),IFERROR(MATCH(TRIM(A478&amp;""),'Form Calc'!$Q:$Q,0),"")))</f>
        <v/>
      </c>
      <c r="U478" s="32">
        <f>IF(AND(T478&lt;&gt;"",TRIM(E478&amp;"")&lt;&gt;""),TRIM(E478&amp;""),"")</f>
        <v/>
      </c>
      <c r="V478" s="32">
        <f>IF(TRIM(A478&amp;"")="","",IF(T478&lt;&gt;"",T478,IF(TRIM(E478&amp;"")="","",IFERROR(INDEX($T$6:$T$505,MATCH(TRIM(E478&amp;""),$U$6:$U$505,0)),""))))</f>
        <v/>
      </c>
      <c r="W478" s="32">
        <f>IF(V478="","",INDEX('Form Calc'!$G:$G,V478))</f>
        <v/>
      </c>
      <c r="X478" s="32">
        <f>IF(TRIM(A478&amp;"")="","",IF(T478&lt;&gt;"",IF(INDEX('Form Calc'!$K:$K,T478)&lt;&gt;"",INDEX('Form Calc'!$K:$K,T478),J478&amp;""),J478&amp;""))</f>
        <v/>
      </c>
      <c r="Y478" s="32">
        <f>IF(TRIM(A478&amp;"")="","",IF(TRIM(D478&amp;"")&lt;&gt;"",TRIM(D478&amp;""),IF(T478&lt;&gt;"",INDEX('Form Calc'!$C:$C,T478)&amp;"","")))</f>
        <v/>
      </c>
      <c r="Z478" s="32">
        <f>SUBSTITUTE(SUBSTITUTE(SUBSTITUTE(SUBSTITUTE(SUBSTITUTE(SUBSTITUTE(SUBSTITUTE(SUBSTITUTE(Y478," ",""),"-",""),"(",""),")",""),".",""),"+",""),"/",""),CHAR(160),"")</f>
        <v/>
      </c>
      <c r="AA478" s="32">
        <f>IF(Z478="","",IF(LEN(Z478)=10,"+1"&amp;Z478,IF(AND(LEN(Z478)=11,LEFT(Z478,1)="1"),"+"&amp;Z478,IF(LEFT(Y478,1)="+","+"&amp;Z478,Z478))))</f>
        <v/>
      </c>
      <c r="AB478" s="32">
        <f>IF(TRIM(A478&amp;"")="","",IF(TRIM(M478&amp;"")&lt;&gt;"",TRIM(M478&amp;""),IFERROR(LEFT(TRIM(A478&amp;""),FIND(" ",TRIM(A478&amp;""))-1),TRIM(A478&amp;""))))</f>
        <v/>
      </c>
      <c r="AC478" s="32">
        <f>SUBSTITUTE(SUBSTITUTE(SUBSTITUTE(SUBSTITUTE(SUBSTITUTE(SUBSTITUTE(SUBSTITUTE(SUBSTITUTE(SUBSTITUTE(SUBSTITUTE(AB478,"%","%25"),"&amp;","%26"),"#","%23"),"+","%2B"),"=","%3D"),"?","%3F"),CHAR(34),"%22"),CHAR(10),"%0A"),CHAR(13),"")," ","+")</f>
        <v/>
      </c>
      <c r="AD478" s="32">
        <f>IF(OR(AA478="",AB478=""),"",'Start Here'!$B$20&amp;"#p="&amp;SUBSTITUTE(AA478,"+","%2B")&amp;"&amp;n="&amp;AC478&amp;"&amp;m="&amp;SUBSTITUTE('Start Here'!$B$24,"{name}",AC478))</f>
        <v/>
      </c>
      <c r="AE478" s="32">
        <f>LEN(AD478)</f>
        <v/>
      </c>
      <c r="AF478" s="32">
        <f>IF(AND(TRIM(A478&amp;"")&lt;&gt;"",OR(B478="Awaiting",B478="Not sure yet")),1,0)</f>
        <v/>
      </c>
      <c r="AG478" s="32">
        <f>N(AG477)+AF478</f>
        <v/>
      </c>
      <c r="AH478" s="32">
        <f>IF(AF478=1,AG478,"")</f>
        <v/>
      </c>
      <c r="AI478" s="32">
        <f>IF(AND(TRIM(A478&amp;"")&lt;&gt;"",L478&amp;""&lt;&gt;"",L478&amp;""=Seating!$I$3&amp;"",B478&lt;&gt;"Declined"),1,0)</f>
        <v/>
      </c>
      <c r="AJ478" s="32">
        <f>N(AJ477)+AI478</f>
        <v/>
      </c>
      <c r="AK478" s="32">
        <f>IF(AI478=1,AJ478,"")</f>
        <v/>
      </c>
    </row>
    <row r="479">
      <c r="A479" s="10" t="n"/>
      <c r="B479" s="47">
        <f>IF(TRIM(A479&amp;"")="","",IF(W479&lt;&gt;"",W479,IF(I479="","Awaiting",I479)))</f>
        <v/>
      </c>
      <c r="C479" s="60">
        <f>IF(OR(B479="Awaiting",B479="Not sure yet"),IF(AD479&lt;&gt;"",HYPERLINK(AD479,"💬 Remind"),"add mobile"),"")</f>
        <v/>
      </c>
      <c r="D479" s="58" t="n"/>
      <c r="E479" s="10" t="n"/>
      <c r="F479" s="10" t="n"/>
      <c r="G479" s="10" t="n"/>
      <c r="H479" s="10" t="n"/>
      <c r="I479" s="10" t="n"/>
      <c r="J479" s="10" t="n"/>
      <c r="K479" s="10" t="n"/>
      <c r="L479" s="56" t="n"/>
      <c r="M479" s="10" t="n"/>
      <c r="N479" s="12" t="n"/>
      <c r="O479" s="10" t="n"/>
      <c r="P479" s="10" t="n"/>
      <c r="Q479" s="61">
        <f>IF(V479="","",IF(T479="","Covered by "&amp;INDEX('Form Calc'!$B:$B,V479)&amp;"'s reply (same party)","Replied "&amp;TEXT(INDEX('Form Calc'!$A:$A,T479),"mm/dd")&amp;" · "&amp;INDEX('Form Calc'!$H:$H,T479)&amp;" adult(s), "&amp;INDEX('Form Calc'!$I:$I,T479)&amp;" child(ren)"&amp;IF(INDEX('Form Calc'!$K:$K,T479)&lt;&gt;""," · "&amp;INDEX('Form Calc'!$K:$K,T479),"")&amp;IF(INDEX('Form Calc'!$M:$M,T479)&lt;&gt;""," · “"&amp;INDEX('Form Calc'!$M:$M,T479)&amp;"”","")))</f>
        <v/>
      </c>
      <c r="R479" s="32">
        <f>SUBSTITUTE(SUBSTITUTE(SUBSTITUTE(SUBSTITUTE(SUBSTITUTE(SUBSTITUTE(SUBSTITUTE(SUBSTITUTE(D479&amp;""," ",""),"-",""),"(",""),")",""),".",""),"+",""),"/",""),CHAR(160),"")</f>
        <v/>
      </c>
      <c r="S479" s="32">
        <f>IF(LEN(R479)&gt;=10,RIGHT(R479,10),R479)</f>
        <v/>
      </c>
      <c r="T479" s="32">
        <f>IF(TRIM(A479&amp;"")="","",IF(S479&lt;&gt;"",IFERROR(MATCH(S479,'Form Calc'!$P:$P,0),IFERROR(MATCH(TRIM(A479&amp;""),'Form Calc'!$Q:$Q,0),"")),IFERROR(MATCH(TRIM(A479&amp;""),'Form Calc'!$Q:$Q,0),"")))</f>
        <v/>
      </c>
      <c r="U479" s="32">
        <f>IF(AND(T479&lt;&gt;"",TRIM(E479&amp;"")&lt;&gt;""),TRIM(E479&amp;""),"")</f>
        <v/>
      </c>
      <c r="V479" s="32">
        <f>IF(TRIM(A479&amp;"")="","",IF(T479&lt;&gt;"",T479,IF(TRIM(E479&amp;"")="","",IFERROR(INDEX($T$6:$T$505,MATCH(TRIM(E479&amp;""),$U$6:$U$505,0)),""))))</f>
        <v/>
      </c>
      <c r="W479" s="32">
        <f>IF(V479="","",INDEX('Form Calc'!$G:$G,V479))</f>
        <v/>
      </c>
      <c r="X479" s="32">
        <f>IF(TRIM(A479&amp;"")="","",IF(T479&lt;&gt;"",IF(INDEX('Form Calc'!$K:$K,T479)&lt;&gt;"",INDEX('Form Calc'!$K:$K,T479),J479&amp;""),J479&amp;""))</f>
        <v/>
      </c>
      <c r="Y479" s="32">
        <f>IF(TRIM(A479&amp;"")="","",IF(TRIM(D479&amp;"")&lt;&gt;"",TRIM(D479&amp;""),IF(T479&lt;&gt;"",INDEX('Form Calc'!$C:$C,T479)&amp;"","")))</f>
        <v/>
      </c>
      <c r="Z479" s="32">
        <f>SUBSTITUTE(SUBSTITUTE(SUBSTITUTE(SUBSTITUTE(SUBSTITUTE(SUBSTITUTE(SUBSTITUTE(SUBSTITUTE(Y479," ",""),"-",""),"(",""),")",""),".",""),"+",""),"/",""),CHAR(160),"")</f>
        <v/>
      </c>
      <c r="AA479" s="32">
        <f>IF(Z479="","",IF(LEN(Z479)=10,"+1"&amp;Z479,IF(AND(LEN(Z479)=11,LEFT(Z479,1)="1"),"+"&amp;Z479,IF(LEFT(Y479,1)="+","+"&amp;Z479,Z479))))</f>
        <v/>
      </c>
      <c r="AB479" s="32">
        <f>IF(TRIM(A479&amp;"")="","",IF(TRIM(M479&amp;"")&lt;&gt;"",TRIM(M479&amp;""),IFERROR(LEFT(TRIM(A479&amp;""),FIND(" ",TRIM(A479&amp;""))-1),TRIM(A479&amp;""))))</f>
        <v/>
      </c>
      <c r="AC479" s="32">
        <f>SUBSTITUTE(SUBSTITUTE(SUBSTITUTE(SUBSTITUTE(SUBSTITUTE(SUBSTITUTE(SUBSTITUTE(SUBSTITUTE(SUBSTITUTE(SUBSTITUTE(AB479,"%","%25"),"&amp;","%26"),"#","%23"),"+","%2B"),"=","%3D"),"?","%3F"),CHAR(34),"%22"),CHAR(10),"%0A"),CHAR(13),"")," ","+")</f>
        <v/>
      </c>
      <c r="AD479" s="32">
        <f>IF(OR(AA479="",AB479=""),"",'Start Here'!$B$20&amp;"#p="&amp;SUBSTITUTE(AA479,"+","%2B")&amp;"&amp;n="&amp;AC479&amp;"&amp;m="&amp;SUBSTITUTE('Start Here'!$B$24,"{name}",AC479))</f>
        <v/>
      </c>
      <c r="AE479" s="32">
        <f>LEN(AD479)</f>
        <v/>
      </c>
      <c r="AF479" s="32">
        <f>IF(AND(TRIM(A479&amp;"")&lt;&gt;"",OR(B479="Awaiting",B479="Not sure yet")),1,0)</f>
        <v/>
      </c>
      <c r="AG479" s="32">
        <f>N(AG478)+AF479</f>
        <v/>
      </c>
      <c r="AH479" s="32">
        <f>IF(AF479=1,AG479,"")</f>
        <v/>
      </c>
      <c r="AI479" s="32">
        <f>IF(AND(TRIM(A479&amp;"")&lt;&gt;"",L479&amp;""&lt;&gt;"",L479&amp;""=Seating!$I$3&amp;"",B479&lt;&gt;"Declined"),1,0)</f>
        <v/>
      </c>
      <c r="AJ479" s="32">
        <f>N(AJ478)+AI479</f>
        <v/>
      </c>
      <c r="AK479" s="32">
        <f>IF(AI479=1,AJ479,"")</f>
        <v/>
      </c>
    </row>
    <row r="480">
      <c r="A480" s="10" t="n"/>
      <c r="B480" s="47">
        <f>IF(TRIM(A480&amp;"")="","",IF(W480&lt;&gt;"",W480,IF(I480="","Awaiting",I480)))</f>
        <v/>
      </c>
      <c r="C480" s="60">
        <f>IF(OR(B480="Awaiting",B480="Not sure yet"),IF(AD480&lt;&gt;"",HYPERLINK(AD480,"💬 Remind"),"add mobile"),"")</f>
        <v/>
      </c>
      <c r="D480" s="58" t="n"/>
      <c r="E480" s="10" t="n"/>
      <c r="F480" s="10" t="n"/>
      <c r="G480" s="10" t="n"/>
      <c r="H480" s="10" t="n"/>
      <c r="I480" s="10" t="n"/>
      <c r="J480" s="10" t="n"/>
      <c r="K480" s="10" t="n"/>
      <c r="L480" s="56" t="n"/>
      <c r="M480" s="10" t="n"/>
      <c r="N480" s="12" t="n"/>
      <c r="O480" s="10" t="n"/>
      <c r="P480" s="10" t="n"/>
      <c r="Q480" s="61">
        <f>IF(V480="","",IF(T480="","Covered by "&amp;INDEX('Form Calc'!$B:$B,V480)&amp;"'s reply (same party)","Replied "&amp;TEXT(INDEX('Form Calc'!$A:$A,T480),"mm/dd")&amp;" · "&amp;INDEX('Form Calc'!$H:$H,T480)&amp;" adult(s), "&amp;INDEX('Form Calc'!$I:$I,T480)&amp;" child(ren)"&amp;IF(INDEX('Form Calc'!$K:$K,T480)&lt;&gt;""," · "&amp;INDEX('Form Calc'!$K:$K,T480),"")&amp;IF(INDEX('Form Calc'!$M:$M,T480)&lt;&gt;""," · “"&amp;INDEX('Form Calc'!$M:$M,T480)&amp;"”","")))</f>
        <v/>
      </c>
      <c r="R480" s="32">
        <f>SUBSTITUTE(SUBSTITUTE(SUBSTITUTE(SUBSTITUTE(SUBSTITUTE(SUBSTITUTE(SUBSTITUTE(SUBSTITUTE(D480&amp;""," ",""),"-",""),"(",""),")",""),".",""),"+",""),"/",""),CHAR(160),"")</f>
        <v/>
      </c>
      <c r="S480" s="32">
        <f>IF(LEN(R480)&gt;=10,RIGHT(R480,10),R480)</f>
        <v/>
      </c>
      <c r="T480" s="32">
        <f>IF(TRIM(A480&amp;"")="","",IF(S480&lt;&gt;"",IFERROR(MATCH(S480,'Form Calc'!$P:$P,0),IFERROR(MATCH(TRIM(A480&amp;""),'Form Calc'!$Q:$Q,0),"")),IFERROR(MATCH(TRIM(A480&amp;""),'Form Calc'!$Q:$Q,0),"")))</f>
        <v/>
      </c>
      <c r="U480" s="32">
        <f>IF(AND(T480&lt;&gt;"",TRIM(E480&amp;"")&lt;&gt;""),TRIM(E480&amp;""),"")</f>
        <v/>
      </c>
      <c r="V480" s="32">
        <f>IF(TRIM(A480&amp;"")="","",IF(T480&lt;&gt;"",T480,IF(TRIM(E480&amp;"")="","",IFERROR(INDEX($T$6:$T$505,MATCH(TRIM(E480&amp;""),$U$6:$U$505,0)),""))))</f>
        <v/>
      </c>
      <c r="W480" s="32">
        <f>IF(V480="","",INDEX('Form Calc'!$G:$G,V480))</f>
        <v/>
      </c>
      <c r="X480" s="32">
        <f>IF(TRIM(A480&amp;"")="","",IF(T480&lt;&gt;"",IF(INDEX('Form Calc'!$K:$K,T480)&lt;&gt;"",INDEX('Form Calc'!$K:$K,T480),J480&amp;""),J480&amp;""))</f>
        <v/>
      </c>
      <c r="Y480" s="32">
        <f>IF(TRIM(A480&amp;"")="","",IF(TRIM(D480&amp;"")&lt;&gt;"",TRIM(D480&amp;""),IF(T480&lt;&gt;"",INDEX('Form Calc'!$C:$C,T480)&amp;"","")))</f>
        <v/>
      </c>
      <c r="Z480" s="32">
        <f>SUBSTITUTE(SUBSTITUTE(SUBSTITUTE(SUBSTITUTE(SUBSTITUTE(SUBSTITUTE(SUBSTITUTE(SUBSTITUTE(Y480," ",""),"-",""),"(",""),")",""),".",""),"+",""),"/",""),CHAR(160),"")</f>
        <v/>
      </c>
      <c r="AA480" s="32">
        <f>IF(Z480="","",IF(LEN(Z480)=10,"+1"&amp;Z480,IF(AND(LEN(Z480)=11,LEFT(Z480,1)="1"),"+"&amp;Z480,IF(LEFT(Y480,1)="+","+"&amp;Z480,Z480))))</f>
        <v/>
      </c>
      <c r="AB480" s="32">
        <f>IF(TRIM(A480&amp;"")="","",IF(TRIM(M480&amp;"")&lt;&gt;"",TRIM(M480&amp;""),IFERROR(LEFT(TRIM(A480&amp;""),FIND(" ",TRIM(A480&amp;""))-1),TRIM(A480&amp;""))))</f>
        <v/>
      </c>
      <c r="AC480" s="32">
        <f>SUBSTITUTE(SUBSTITUTE(SUBSTITUTE(SUBSTITUTE(SUBSTITUTE(SUBSTITUTE(SUBSTITUTE(SUBSTITUTE(SUBSTITUTE(SUBSTITUTE(AB480,"%","%25"),"&amp;","%26"),"#","%23"),"+","%2B"),"=","%3D"),"?","%3F"),CHAR(34),"%22"),CHAR(10),"%0A"),CHAR(13),"")," ","+")</f>
        <v/>
      </c>
      <c r="AD480" s="32">
        <f>IF(OR(AA480="",AB480=""),"",'Start Here'!$B$20&amp;"#p="&amp;SUBSTITUTE(AA480,"+","%2B")&amp;"&amp;n="&amp;AC480&amp;"&amp;m="&amp;SUBSTITUTE('Start Here'!$B$24,"{name}",AC480))</f>
        <v/>
      </c>
      <c r="AE480" s="32">
        <f>LEN(AD480)</f>
        <v/>
      </c>
      <c r="AF480" s="32">
        <f>IF(AND(TRIM(A480&amp;"")&lt;&gt;"",OR(B480="Awaiting",B480="Not sure yet")),1,0)</f>
        <v/>
      </c>
      <c r="AG480" s="32">
        <f>N(AG479)+AF480</f>
        <v/>
      </c>
      <c r="AH480" s="32">
        <f>IF(AF480=1,AG480,"")</f>
        <v/>
      </c>
      <c r="AI480" s="32">
        <f>IF(AND(TRIM(A480&amp;"")&lt;&gt;"",L480&amp;""&lt;&gt;"",L480&amp;""=Seating!$I$3&amp;"",B480&lt;&gt;"Declined"),1,0)</f>
        <v/>
      </c>
      <c r="AJ480" s="32">
        <f>N(AJ479)+AI480</f>
        <v/>
      </c>
      <c r="AK480" s="32">
        <f>IF(AI480=1,AJ480,"")</f>
        <v/>
      </c>
    </row>
    <row r="481">
      <c r="A481" s="10" t="n"/>
      <c r="B481" s="47">
        <f>IF(TRIM(A481&amp;"")="","",IF(W481&lt;&gt;"",W481,IF(I481="","Awaiting",I481)))</f>
        <v/>
      </c>
      <c r="C481" s="60">
        <f>IF(OR(B481="Awaiting",B481="Not sure yet"),IF(AD481&lt;&gt;"",HYPERLINK(AD481,"💬 Remind"),"add mobile"),"")</f>
        <v/>
      </c>
      <c r="D481" s="58" t="n"/>
      <c r="E481" s="10" t="n"/>
      <c r="F481" s="10" t="n"/>
      <c r="G481" s="10" t="n"/>
      <c r="H481" s="10" t="n"/>
      <c r="I481" s="10" t="n"/>
      <c r="J481" s="10" t="n"/>
      <c r="K481" s="10" t="n"/>
      <c r="L481" s="56" t="n"/>
      <c r="M481" s="10" t="n"/>
      <c r="N481" s="12" t="n"/>
      <c r="O481" s="10" t="n"/>
      <c r="P481" s="10" t="n"/>
      <c r="Q481" s="61">
        <f>IF(V481="","",IF(T481="","Covered by "&amp;INDEX('Form Calc'!$B:$B,V481)&amp;"'s reply (same party)","Replied "&amp;TEXT(INDEX('Form Calc'!$A:$A,T481),"mm/dd")&amp;" · "&amp;INDEX('Form Calc'!$H:$H,T481)&amp;" adult(s), "&amp;INDEX('Form Calc'!$I:$I,T481)&amp;" child(ren)"&amp;IF(INDEX('Form Calc'!$K:$K,T481)&lt;&gt;""," · "&amp;INDEX('Form Calc'!$K:$K,T481),"")&amp;IF(INDEX('Form Calc'!$M:$M,T481)&lt;&gt;""," · “"&amp;INDEX('Form Calc'!$M:$M,T481)&amp;"”","")))</f>
        <v/>
      </c>
      <c r="R481" s="32">
        <f>SUBSTITUTE(SUBSTITUTE(SUBSTITUTE(SUBSTITUTE(SUBSTITUTE(SUBSTITUTE(SUBSTITUTE(SUBSTITUTE(D481&amp;""," ",""),"-",""),"(",""),")",""),".",""),"+",""),"/",""),CHAR(160),"")</f>
        <v/>
      </c>
      <c r="S481" s="32">
        <f>IF(LEN(R481)&gt;=10,RIGHT(R481,10),R481)</f>
        <v/>
      </c>
      <c r="T481" s="32">
        <f>IF(TRIM(A481&amp;"")="","",IF(S481&lt;&gt;"",IFERROR(MATCH(S481,'Form Calc'!$P:$P,0),IFERROR(MATCH(TRIM(A481&amp;""),'Form Calc'!$Q:$Q,0),"")),IFERROR(MATCH(TRIM(A481&amp;""),'Form Calc'!$Q:$Q,0),"")))</f>
        <v/>
      </c>
      <c r="U481" s="32">
        <f>IF(AND(T481&lt;&gt;"",TRIM(E481&amp;"")&lt;&gt;""),TRIM(E481&amp;""),"")</f>
        <v/>
      </c>
      <c r="V481" s="32">
        <f>IF(TRIM(A481&amp;"")="","",IF(T481&lt;&gt;"",T481,IF(TRIM(E481&amp;"")="","",IFERROR(INDEX($T$6:$T$505,MATCH(TRIM(E481&amp;""),$U$6:$U$505,0)),""))))</f>
        <v/>
      </c>
      <c r="W481" s="32">
        <f>IF(V481="","",INDEX('Form Calc'!$G:$G,V481))</f>
        <v/>
      </c>
      <c r="X481" s="32">
        <f>IF(TRIM(A481&amp;"")="","",IF(T481&lt;&gt;"",IF(INDEX('Form Calc'!$K:$K,T481)&lt;&gt;"",INDEX('Form Calc'!$K:$K,T481),J481&amp;""),J481&amp;""))</f>
        <v/>
      </c>
      <c r="Y481" s="32">
        <f>IF(TRIM(A481&amp;"")="","",IF(TRIM(D481&amp;"")&lt;&gt;"",TRIM(D481&amp;""),IF(T481&lt;&gt;"",INDEX('Form Calc'!$C:$C,T481)&amp;"","")))</f>
        <v/>
      </c>
      <c r="Z481" s="32">
        <f>SUBSTITUTE(SUBSTITUTE(SUBSTITUTE(SUBSTITUTE(SUBSTITUTE(SUBSTITUTE(SUBSTITUTE(SUBSTITUTE(Y481," ",""),"-",""),"(",""),")",""),".",""),"+",""),"/",""),CHAR(160),"")</f>
        <v/>
      </c>
      <c r="AA481" s="32">
        <f>IF(Z481="","",IF(LEN(Z481)=10,"+1"&amp;Z481,IF(AND(LEN(Z481)=11,LEFT(Z481,1)="1"),"+"&amp;Z481,IF(LEFT(Y481,1)="+","+"&amp;Z481,Z481))))</f>
        <v/>
      </c>
      <c r="AB481" s="32">
        <f>IF(TRIM(A481&amp;"")="","",IF(TRIM(M481&amp;"")&lt;&gt;"",TRIM(M481&amp;""),IFERROR(LEFT(TRIM(A481&amp;""),FIND(" ",TRIM(A481&amp;""))-1),TRIM(A481&amp;""))))</f>
        <v/>
      </c>
      <c r="AC481" s="32">
        <f>SUBSTITUTE(SUBSTITUTE(SUBSTITUTE(SUBSTITUTE(SUBSTITUTE(SUBSTITUTE(SUBSTITUTE(SUBSTITUTE(SUBSTITUTE(SUBSTITUTE(AB481,"%","%25"),"&amp;","%26"),"#","%23"),"+","%2B"),"=","%3D"),"?","%3F"),CHAR(34),"%22"),CHAR(10),"%0A"),CHAR(13),"")," ","+")</f>
        <v/>
      </c>
      <c r="AD481" s="32">
        <f>IF(OR(AA481="",AB481=""),"",'Start Here'!$B$20&amp;"#p="&amp;SUBSTITUTE(AA481,"+","%2B")&amp;"&amp;n="&amp;AC481&amp;"&amp;m="&amp;SUBSTITUTE('Start Here'!$B$24,"{name}",AC481))</f>
        <v/>
      </c>
      <c r="AE481" s="32">
        <f>LEN(AD481)</f>
        <v/>
      </c>
      <c r="AF481" s="32">
        <f>IF(AND(TRIM(A481&amp;"")&lt;&gt;"",OR(B481="Awaiting",B481="Not sure yet")),1,0)</f>
        <v/>
      </c>
      <c r="AG481" s="32">
        <f>N(AG480)+AF481</f>
        <v/>
      </c>
      <c r="AH481" s="32">
        <f>IF(AF481=1,AG481,"")</f>
        <v/>
      </c>
      <c r="AI481" s="32">
        <f>IF(AND(TRIM(A481&amp;"")&lt;&gt;"",L481&amp;""&lt;&gt;"",L481&amp;""=Seating!$I$3&amp;"",B481&lt;&gt;"Declined"),1,0)</f>
        <v/>
      </c>
      <c r="AJ481" s="32">
        <f>N(AJ480)+AI481</f>
        <v/>
      </c>
      <c r="AK481" s="32">
        <f>IF(AI481=1,AJ481,"")</f>
        <v/>
      </c>
    </row>
    <row r="482">
      <c r="A482" s="10" t="n"/>
      <c r="B482" s="47">
        <f>IF(TRIM(A482&amp;"")="","",IF(W482&lt;&gt;"",W482,IF(I482="","Awaiting",I482)))</f>
        <v/>
      </c>
      <c r="C482" s="60">
        <f>IF(OR(B482="Awaiting",B482="Not sure yet"),IF(AD482&lt;&gt;"",HYPERLINK(AD482,"💬 Remind"),"add mobile"),"")</f>
        <v/>
      </c>
      <c r="D482" s="58" t="n"/>
      <c r="E482" s="10" t="n"/>
      <c r="F482" s="10" t="n"/>
      <c r="G482" s="10" t="n"/>
      <c r="H482" s="10" t="n"/>
      <c r="I482" s="10" t="n"/>
      <c r="J482" s="10" t="n"/>
      <c r="K482" s="10" t="n"/>
      <c r="L482" s="56" t="n"/>
      <c r="M482" s="10" t="n"/>
      <c r="N482" s="12" t="n"/>
      <c r="O482" s="10" t="n"/>
      <c r="P482" s="10" t="n"/>
      <c r="Q482" s="61">
        <f>IF(V482="","",IF(T482="","Covered by "&amp;INDEX('Form Calc'!$B:$B,V482)&amp;"'s reply (same party)","Replied "&amp;TEXT(INDEX('Form Calc'!$A:$A,T482),"mm/dd")&amp;" · "&amp;INDEX('Form Calc'!$H:$H,T482)&amp;" adult(s), "&amp;INDEX('Form Calc'!$I:$I,T482)&amp;" child(ren)"&amp;IF(INDEX('Form Calc'!$K:$K,T482)&lt;&gt;""," · "&amp;INDEX('Form Calc'!$K:$K,T482),"")&amp;IF(INDEX('Form Calc'!$M:$M,T482)&lt;&gt;""," · “"&amp;INDEX('Form Calc'!$M:$M,T482)&amp;"”","")))</f>
        <v/>
      </c>
      <c r="R482" s="32">
        <f>SUBSTITUTE(SUBSTITUTE(SUBSTITUTE(SUBSTITUTE(SUBSTITUTE(SUBSTITUTE(SUBSTITUTE(SUBSTITUTE(D482&amp;""," ",""),"-",""),"(",""),")",""),".",""),"+",""),"/",""),CHAR(160),"")</f>
        <v/>
      </c>
      <c r="S482" s="32">
        <f>IF(LEN(R482)&gt;=10,RIGHT(R482,10),R482)</f>
        <v/>
      </c>
      <c r="T482" s="32">
        <f>IF(TRIM(A482&amp;"")="","",IF(S482&lt;&gt;"",IFERROR(MATCH(S482,'Form Calc'!$P:$P,0),IFERROR(MATCH(TRIM(A482&amp;""),'Form Calc'!$Q:$Q,0),"")),IFERROR(MATCH(TRIM(A482&amp;""),'Form Calc'!$Q:$Q,0),"")))</f>
        <v/>
      </c>
      <c r="U482" s="32">
        <f>IF(AND(T482&lt;&gt;"",TRIM(E482&amp;"")&lt;&gt;""),TRIM(E482&amp;""),"")</f>
        <v/>
      </c>
      <c r="V482" s="32">
        <f>IF(TRIM(A482&amp;"")="","",IF(T482&lt;&gt;"",T482,IF(TRIM(E482&amp;"")="","",IFERROR(INDEX($T$6:$T$505,MATCH(TRIM(E482&amp;""),$U$6:$U$505,0)),""))))</f>
        <v/>
      </c>
      <c r="W482" s="32">
        <f>IF(V482="","",INDEX('Form Calc'!$G:$G,V482))</f>
        <v/>
      </c>
      <c r="X482" s="32">
        <f>IF(TRIM(A482&amp;"")="","",IF(T482&lt;&gt;"",IF(INDEX('Form Calc'!$K:$K,T482)&lt;&gt;"",INDEX('Form Calc'!$K:$K,T482),J482&amp;""),J482&amp;""))</f>
        <v/>
      </c>
      <c r="Y482" s="32">
        <f>IF(TRIM(A482&amp;"")="","",IF(TRIM(D482&amp;"")&lt;&gt;"",TRIM(D482&amp;""),IF(T482&lt;&gt;"",INDEX('Form Calc'!$C:$C,T482)&amp;"","")))</f>
        <v/>
      </c>
      <c r="Z482" s="32">
        <f>SUBSTITUTE(SUBSTITUTE(SUBSTITUTE(SUBSTITUTE(SUBSTITUTE(SUBSTITUTE(SUBSTITUTE(SUBSTITUTE(Y482," ",""),"-",""),"(",""),")",""),".",""),"+",""),"/",""),CHAR(160),"")</f>
        <v/>
      </c>
      <c r="AA482" s="32">
        <f>IF(Z482="","",IF(LEN(Z482)=10,"+1"&amp;Z482,IF(AND(LEN(Z482)=11,LEFT(Z482,1)="1"),"+"&amp;Z482,IF(LEFT(Y482,1)="+","+"&amp;Z482,Z482))))</f>
        <v/>
      </c>
      <c r="AB482" s="32">
        <f>IF(TRIM(A482&amp;"")="","",IF(TRIM(M482&amp;"")&lt;&gt;"",TRIM(M482&amp;""),IFERROR(LEFT(TRIM(A482&amp;""),FIND(" ",TRIM(A482&amp;""))-1),TRIM(A482&amp;""))))</f>
        <v/>
      </c>
      <c r="AC482" s="32">
        <f>SUBSTITUTE(SUBSTITUTE(SUBSTITUTE(SUBSTITUTE(SUBSTITUTE(SUBSTITUTE(SUBSTITUTE(SUBSTITUTE(SUBSTITUTE(SUBSTITUTE(AB482,"%","%25"),"&amp;","%26"),"#","%23"),"+","%2B"),"=","%3D"),"?","%3F"),CHAR(34),"%22"),CHAR(10),"%0A"),CHAR(13),"")," ","+")</f>
        <v/>
      </c>
      <c r="AD482" s="32">
        <f>IF(OR(AA482="",AB482=""),"",'Start Here'!$B$20&amp;"#p="&amp;SUBSTITUTE(AA482,"+","%2B")&amp;"&amp;n="&amp;AC482&amp;"&amp;m="&amp;SUBSTITUTE('Start Here'!$B$24,"{name}",AC482))</f>
        <v/>
      </c>
      <c r="AE482" s="32">
        <f>LEN(AD482)</f>
        <v/>
      </c>
      <c r="AF482" s="32">
        <f>IF(AND(TRIM(A482&amp;"")&lt;&gt;"",OR(B482="Awaiting",B482="Not sure yet")),1,0)</f>
        <v/>
      </c>
      <c r="AG482" s="32">
        <f>N(AG481)+AF482</f>
        <v/>
      </c>
      <c r="AH482" s="32">
        <f>IF(AF482=1,AG482,"")</f>
        <v/>
      </c>
      <c r="AI482" s="32">
        <f>IF(AND(TRIM(A482&amp;"")&lt;&gt;"",L482&amp;""&lt;&gt;"",L482&amp;""=Seating!$I$3&amp;"",B482&lt;&gt;"Declined"),1,0)</f>
        <v/>
      </c>
      <c r="AJ482" s="32">
        <f>N(AJ481)+AI482</f>
        <v/>
      </c>
      <c r="AK482" s="32">
        <f>IF(AI482=1,AJ482,"")</f>
        <v/>
      </c>
    </row>
    <row r="483">
      <c r="A483" s="10" t="n"/>
      <c r="B483" s="47">
        <f>IF(TRIM(A483&amp;"")="","",IF(W483&lt;&gt;"",W483,IF(I483="","Awaiting",I483)))</f>
        <v/>
      </c>
      <c r="C483" s="60">
        <f>IF(OR(B483="Awaiting",B483="Not sure yet"),IF(AD483&lt;&gt;"",HYPERLINK(AD483,"💬 Remind"),"add mobile"),"")</f>
        <v/>
      </c>
      <c r="D483" s="58" t="n"/>
      <c r="E483" s="10" t="n"/>
      <c r="F483" s="10" t="n"/>
      <c r="G483" s="10" t="n"/>
      <c r="H483" s="10" t="n"/>
      <c r="I483" s="10" t="n"/>
      <c r="J483" s="10" t="n"/>
      <c r="K483" s="10" t="n"/>
      <c r="L483" s="56" t="n"/>
      <c r="M483" s="10" t="n"/>
      <c r="N483" s="12" t="n"/>
      <c r="O483" s="10" t="n"/>
      <c r="P483" s="10" t="n"/>
      <c r="Q483" s="61">
        <f>IF(V483="","",IF(T483="","Covered by "&amp;INDEX('Form Calc'!$B:$B,V483)&amp;"'s reply (same party)","Replied "&amp;TEXT(INDEX('Form Calc'!$A:$A,T483),"mm/dd")&amp;" · "&amp;INDEX('Form Calc'!$H:$H,T483)&amp;" adult(s), "&amp;INDEX('Form Calc'!$I:$I,T483)&amp;" child(ren)"&amp;IF(INDEX('Form Calc'!$K:$K,T483)&lt;&gt;""," · "&amp;INDEX('Form Calc'!$K:$K,T483),"")&amp;IF(INDEX('Form Calc'!$M:$M,T483)&lt;&gt;""," · “"&amp;INDEX('Form Calc'!$M:$M,T483)&amp;"”","")))</f>
        <v/>
      </c>
      <c r="R483" s="32">
        <f>SUBSTITUTE(SUBSTITUTE(SUBSTITUTE(SUBSTITUTE(SUBSTITUTE(SUBSTITUTE(SUBSTITUTE(SUBSTITUTE(D483&amp;""," ",""),"-",""),"(",""),")",""),".",""),"+",""),"/",""),CHAR(160),"")</f>
        <v/>
      </c>
      <c r="S483" s="32">
        <f>IF(LEN(R483)&gt;=10,RIGHT(R483,10),R483)</f>
        <v/>
      </c>
      <c r="T483" s="32">
        <f>IF(TRIM(A483&amp;"")="","",IF(S483&lt;&gt;"",IFERROR(MATCH(S483,'Form Calc'!$P:$P,0),IFERROR(MATCH(TRIM(A483&amp;""),'Form Calc'!$Q:$Q,0),"")),IFERROR(MATCH(TRIM(A483&amp;""),'Form Calc'!$Q:$Q,0),"")))</f>
        <v/>
      </c>
      <c r="U483" s="32">
        <f>IF(AND(T483&lt;&gt;"",TRIM(E483&amp;"")&lt;&gt;""),TRIM(E483&amp;""),"")</f>
        <v/>
      </c>
      <c r="V483" s="32">
        <f>IF(TRIM(A483&amp;"")="","",IF(T483&lt;&gt;"",T483,IF(TRIM(E483&amp;"")="","",IFERROR(INDEX($T$6:$T$505,MATCH(TRIM(E483&amp;""),$U$6:$U$505,0)),""))))</f>
        <v/>
      </c>
      <c r="W483" s="32">
        <f>IF(V483="","",INDEX('Form Calc'!$G:$G,V483))</f>
        <v/>
      </c>
      <c r="X483" s="32">
        <f>IF(TRIM(A483&amp;"")="","",IF(T483&lt;&gt;"",IF(INDEX('Form Calc'!$K:$K,T483)&lt;&gt;"",INDEX('Form Calc'!$K:$K,T483),J483&amp;""),J483&amp;""))</f>
        <v/>
      </c>
      <c r="Y483" s="32">
        <f>IF(TRIM(A483&amp;"")="","",IF(TRIM(D483&amp;"")&lt;&gt;"",TRIM(D483&amp;""),IF(T483&lt;&gt;"",INDEX('Form Calc'!$C:$C,T483)&amp;"","")))</f>
        <v/>
      </c>
      <c r="Z483" s="32">
        <f>SUBSTITUTE(SUBSTITUTE(SUBSTITUTE(SUBSTITUTE(SUBSTITUTE(SUBSTITUTE(SUBSTITUTE(SUBSTITUTE(Y483," ",""),"-",""),"(",""),")",""),".",""),"+",""),"/",""),CHAR(160),"")</f>
        <v/>
      </c>
      <c r="AA483" s="32">
        <f>IF(Z483="","",IF(LEN(Z483)=10,"+1"&amp;Z483,IF(AND(LEN(Z483)=11,LEFT(Z483,1)="1"),"+"&amp;Z483,IF(LEFT(Y483,1)="+","+"&amp;Z483,Z483))))</f>
        <v/>
      </c>
      <c r="AB483" s="32">
        <f>IF(TRIM(A483&amp;"")="","",IF(TRIM(M483&amp;"")&lt;&gt;"",TRIM(M483&amp;""),IFERROR(LEFT(TRIM(A483&amp;""),FIND(" ",TRIM(A483&amp;""))-1),TRIM(A483&amp;""))))</f>
        <v/>
      </c>
      <c r="AC483" s="32">
        <f>SUBSTITUTE(SUBSTITUTE(SUBSTITUTE(SUBSTITUTE(SUBSTITUTE(SUBSTITUTE(SUBSTITUTE(SUBSTITUTE(SUBSTITUTE(SUBSTITUTE(AB483,"%","%25"),"&amp;","%26"),"#","%23"),"+","%2B"),"=","%3D"),"?","%3F"),CHAR(34),"%22"),CHAR(10),"%0A"),CHAR(13),"")," ","+")</f>
        <v/>
      </c>
      <c r="AD483" s="32">
        <f>IF(OR(AA483="",AB483=""),"",'Start Here'!$B$20&amp;"#p="&amp;SUBSTITUTE(AA483,"+","%2B")&amp;"&amp;n="&amp;AC483&amp;"&amp;m="&amp;SUBSTITUTE('Start Here'!$B$24,"{name}",AC483))</f>
        <v/>
      </c>
      <c r="AE483" s="32">
        <f>LEN(AD483)</f>
        <v/>
      </c>
      <c r="AF483" s="32">
        <f>IF(AND(TRIM(A483&amp;"")&lt;&gt;"",OR(B483="Awaiting",B483="Not sure yet")),1,0)</f>
        <v/>
      </c>
      <c r="AG483" s="32">
        <f>N(AG482)+AF483</f>
        <v/>
      </c>
      <c r="AH483" s="32">
        <f>IF(AF483=1,AG483,"")</f>
        <v/>
      </c>
      <c r="AI483" s="32">
        <f>IF(AND(TRIM(A483&amp;"")&lt;&gt;"",L483&amp;""&lt;&gt;"",L483&amp;""=Seating!$I$3&amp;"",B483&lt;&gt;"Declined"),1,0)</f>
        <v/>
      </c>
      <c r="AJ483" s="32">
        <f>N(AJ482)+AI483</f>
        <v/>
      </c>
      <c r="AK483" s="32">
        <f>IF(AI483=1,AJ483,"")</f>
        <v/>
      </c>
    </row>
    <row r="484">
      <c r="A484" s="10" t="n"/>
      <c r="B484" s="47">
        <f>IF(TRIM(A484&amp;"")="","",IF(W484&lt;&gt;"",W484,IF(I484="","Awaiting",I484)))</f>
        <v/>
      </c>
      <c r="C484" s="60">
        <f>IF(OR(B484="Awaiting",B484="Not sure yet"),IF(AD484&lt;&gt;"",HYPERLINK(AD484,"💬 Remind"),"add mobile"),"")</f>
        <v/>
      </c>
      <c r="D484" s="58" t="n"/>
      <c r="E484" s="10" t="n"/>
      <c r="F484" s="10" t="n"/>
      <c r="G484" s="10" t="n"/>
      <c r="H484" s="10" t="n"/>
      <c r="I484" s="10" t="n"/>
      <c r="J484" s="10" t="n"/>
      <c r="K484" s="10" t="n"/>
      <c r="L484" s="56" t="n"/>
      <c r="M484" s="10" t="n"/>
      <c r="N484" s="12" t="n"/>
      <c r="O484" s="10" t="n"/>
      <c r="P484" s="10" t="n"/>
      <c r="Q484" s="61">
        <f>IF(V484="","",IF(T484="","Covered by "&amp;INDEX('Form Calc'!$B:$B,V484)&amp;"'s reply (same party)","Replied "&amp;TEXT(INDEX('Form Calc'!$A:$A,T484),"mm/dd")&amp;" · "&amp;INDEX('Form Calc'!$H:$H,T484)&amp;" adult(s), "&amp;INDEX('Form Calc'!$I:$I,T484)&amp;" child(ren)"&amp;IF(INDEX('Form Calc'!$K:$K,T484)&lt;&gt;""," · "&amp;INDEX('Form Calc'!$K:$K,T484),"")&amp;IF(INDEX('Form Calc'!$M:$M,T484)&lt;&gt;""," · “"&amp;INDEX('Form Calc'!$M:$M,T484)&amp;"”","")))</f>
        <v/>
      </c>
      <c r="R484" s="32">
        <f>SUBSTITUTE(SUBSTITUTE(SUBSTITUTE(SUBSTITUTE(SUBSTITUTE(SUBSTITUTE(SUBSTITUTE(SUBSTITUTE(D484&amp;""," ",""),"-",""),"(",""),")",""),".",""),"+",""),"/",""),CHAR(160),"")</f>
        <v/>
      </c>
      <c r="S484" s="32">
        <f>IF(LEN(R484)&gt;=10,RIGHT(R484,10),R484)</f>
        <v/>
      </c>
      <c r="T484" s="32">
        <f>IF(TRIM(A484&amp;"")="","",IF(S484&lt;&gt;"",IFERROR(MATCH(S484,'Form Calc'!$P:$P,0),IFERROR(MATCH(TRIM(A484&amp;""),'Form Calc'!$Q:$Q,0),"")),IFERROR(MATCH(TRIM(A484&amp;""),'Form Calc'!$Q:$Q,0),"")))</f>
        <v/>
      </c>
      <c r="U484" s="32">
        <f>IF(AND(T484&lt;&gt;"",TRIM(E484&amp;"")&lt;&gt;""),TRIM(E484&amp;""),"")</f>
        <v/>
      </c>
      <c r="V484" s="32">
        <f>IF(TRIM(A484&amp;"")="","",IF(T484&lt;&gt;"",T484,IF(TRIM(E484&amp;"")="","",IFERROR(INDEX($T$6:$T$505,MATCH(TRIM(E484&amp;""),$U$6:$U$505,0)),""))))</f>
        <v/>
      </c>
      <c r="W484" s="32">
        <f>IF(V484="","",INDEX('Form Calc'!$G:$G,V484))</f>
        <v/>
      </c>
      <c r="X484" s="32">
        <f>IF(TRIM(A484&amp;"")="","",IF(T484&lt;&gt;"",IF(INDEX('Form Calc'!$K:$K,T484)&lt;&gt;"",INDEX('Form Calc'!$K:$K,T484),J484&amp;""),J484&amp;""))</f>
        <v/>
      </c>
      <c r="Y484" s="32">
        <f>IF(TRIM(A484&amp;"")="","",IF(TRIM(D484&amp;"")&lt;&gt;"",TRIM(D484&amp;""),IF(T484&lt;&gt;"",INDEX('Form Calc'!$C:$C,T484)&amp;"","")))</f>
        <v/>
      </c>
      <c r="Z484" s="32">
        <f>SUBSTITUTE(SUBSTITUTE(SUBSTITUTE(SUBSTITUTE(SUBSTITUTE(SUBSTITUTE(SUBSTITUTE(SUBSTITUTE(Y484," ",""),"-",""),"(",""),")",""),".",""),"+",""),"/",""),CHAR(160),"")</f>
        <v/>
      </c>
      <c r="AA484" s="32">
        <f>IF(Z484="","",IF(LEN(Z484)=10,"+1"&amp;Z484,IF(AND(LEN(Z484)=11,LEFT(Z484,1)="1"),"+"&amp;Z484,IF(LEFT(Y484,1)="+","+"&amp;Z484,Z484))))</f>
        <v/>
      </c>
      <c r="AB484" s="32">
        <f>IF(TRIM(A484&amp;"")="","",IF(TRIM(M484&amp;"")&lt;&gt;"",TRIM(M484&amp;""),IFERROR(LEFT(TRIM(A484&amp;""),FIND(" ",TRIM(A484&amp;""))-1),TRIM(A484&amp;""))))</f>
        <v/>
      </c>
      <c r="AC484" s="32">
        <f>SUBSTITUTE(SUBSTITUTE(SUBSTITUTE(SUBSTITUTE(SUBSTITUTE(SUBSTITUTE(SUBSTITUTE(SUBSTITUTE(SUBSTITUTE(SUBSTITUTE(AB484,"%","%25"),"&amp;","%26"),"#","%23"),"+","%2B"),"=","%3D"),"?","%3F"),CHAR(34),"%22"),CHAR(10),"%0A"),CHAR(13),"")," ","+")</f>
        <v/>
      </c>
      <c r="AD484" s="32">
        <f>IF(OR(AA484="",AB484=""),"",'Start Here'!$B$20&amp;"#p="&amp;SUBSTITUTE(AA484,"+","%2B")&amp;"&amp;n="&amp;AC484&amp;"&amp;m="&amp;SUBSTITUTE('Start Here'!$B$24,"{name}",AC484))</f>
        <v/>
      </c>
      <c r="AE484" s="32">
        <f>LEN(AD484)</f>
        <v/>
      </c>
      <c r="AF484" s="32">
        <f>IF(AND(TRIM(A484&amp;"")&lt;&gt;"",OR(B484="Awaiting",B484="Not sure yet")),1,0)</f>
        <v/>
      </c>
      <c r="AG484" s="32">
        <f>N(AG483)+AF484</f>
        <v/>
      </c>
      <c r="AH484" s="32">
        <f>IF(AF484=1,AG484,"")</f>
        <v/>
      </c>
      <c r="AI484" s="32">
        <f>IF(AND(TRIM(A484&amp;"")&lt;&gt;"",L484&amp;""&lt;&gt;"",L484&amp;""=Seating!$I$3&amp;"",B484&lt;&gt;"Declined"),1,0)</f>
        <v/>
      </c>
      <c r="AJ484" s="32">
        <f>N(AJ483)+AI484</f>
        <v/>
      </c>
      <c r="AK484" s="32">
        <f>IF(AI484=1,AJ484,"")</f>
        <v/>
      </c>
    </row>
    <row r="485">
      <c r="A485" s="10" t="n"/>
      <c r="B485" s="47">
        <f>IF(TRIM(A485&amp;"")="","",IF(W485&lt;&gt;"",W485,IF(I485="","Awaiting",I485)))</f>
        <v/>
      </c>
      <c r="C485" s="60">
        <f>IF(OR(B485="Awaiting",B485="Not sure yet"),IF(AD485&lt;&gt;"",HYPERLINK(AD485,"💬 Remind"),"add mobile"),"")</f>
        <v/>
      </c>
      <c r="D485" s="58" t="n"/>
      <c r="E485" s="10" t="n"/>
      <c r="F485" s="10" t="n"/>
      <c r="G485" s="10" t="n"/>
      <c r="H485" s="10" t="n"/>
      <c r="I485" s="10" t="n"/>
      <c r="J485" s="10" t="n"/>
      <c r="K485" s="10" t="n"/>
      <c r="L485" s="56" t="n"/>
      <c r="M485" s="10" t="n"/>
      <c r="N485" s="12" t="n"/>
      <c r="O485" s="10" t="n"/>
      <c r="P485" s="10" t="n"/>
      <c r="Q485" s="61">
        <f>IF(V485="","",IF(T485="","Covered by "&amp;INDEX('Form Calc'!$B:$B,V485)&amp;"'s reply (same party)","Replied "&amp;TEXT(INDEX('Form Calc'!$A:$A,T485),"mm/dd")&amp;" · "&amp;INDEX('Form Calc'!$H:$H,T485)&amp;" adult(s), "&amp;INDEX('Form Calc'!$I:$I,T485)&amp;" child(ren)"&amp;IF(INDEX('Form Calc'!$K:$K,T485)&lt;&gt;""," · "&amp;INDEX('Form Calc'!$K:$K,T485),"")&amp;IF(INDEX('Form Calc'!$M:$M,T485)&lt;&gt;""," · “"&amp;INDEX('Form Calc'!$M:$M,T485)&amp;"”","")))</f>
        <v/>
      </c>
      <c r="R485" s="32">
        <f>SUBSTITUTE(SUBSTITUTE(SUBSTITUTE(SUBSTITUTE(SUBSTITUTE(SUBSTITUTE(SUBSTITUTE(SUBSTITUTE(D485&amp;""," ",""),"-",""),"(",""),")",""),".",""),"+",""),"/",""),CHAR(160),"")</f>
        <v/>
      </c>
      <c r="S485" s="32">
        <f>IF(LEN(R485)&gt;=10,RIGHT(R485,10),R485)</f>
        <v/>
      </c>
      <c r="T485" s="32">
        <f>IF(TRIM(A485&amp;"")="","",IF(S485&lt;&gt;"",IFERROR(MATCH(S485,'Form Calc'!$P:$P,0),IFERROR(MATCH(TRIM(A485&amp;""),'Form Calc'!$Q:$Q,0),"")),IFERROR(MATCH(TRIM(A485&amp;""),'Form Calc'!$Q:$Q,0),"")))</f>
        <v/>
      </c>
      <c r="U485" s="32">
        <f>IF(AND(T485&lt;&gt;"",TRIM(E485&amp;"")&lt;&gt;""),TRIM(E485&amp;""),"")</f>
        <v/>
      </c>
      <c r="V485" s="32">
        <f>IF(TRIM(A485&amp;"")="","",IF(T485&lt;&gt;"",T485,IF(TRIM(E485&amp;"")="","",IFERROR(INDEX($T$6:$T$505,MATCH(TRIM(E485&amp;""),$U$6:$U$505,0)),""))))</f>
        <v/>
      </c>
      <c r="W485" s="32">
        <f>IF(V485="","",INDEX('Form Calc'!$G:$G,V485))</f>
        <v/>
      </c>
      <c r="X485" s="32">
        <f>IF(TRIM(A485&amp;"")="","",IF(T485&lt;&gt;"",IF(INDEX('Form Calc'!$K:$K,T485)&lt;&gt;"",INDEX('Form Calc'!$K:$K,T485),J485&amp;""),J485&amp;""))</f>
        <v/>
      </c>
      <c r="Y485" s="32">
        <f>IF(TRIM(A485&amp;"")="","",IF(TRIM(D485&amp;"")&lt;&gt;"",TRIM(D485&amp;""),IF(T485&lt;&gt;"",INDEX('Form Calc'!$C:$C,T485)&amp;"","")))</f>
        <v/>
      </c>
      <c r="Z485" s="32">
        <f>SUBSTITUTE(SUBSTITUTE(SUBSTITUTE(SUBSTITUTE(SUBSTITUTE(SUBSTITUTE(SUBSTITUTE(SUBSTITUTE(Y485," ",""),"-",""),"(",""),")",""),".",""),"+",""),"/",""),CHAR(160),"")</f>
        <v/>
      </c>
      <c r="AA485" s="32">
        <f>IF(Z485="","",IF(LEN(Z485)=10,"+1"&amp;Z485,IF(AND(LEN(Z485)=11,LEFT(Z485,1)="1"),"+"&amp;Z485,IF(LEFT(Y485,1)="+","+"&amp;Z485,Z485))))</f>
        <v/>
      </c>
      <c r="AB485" s="32">
        <f>IF(TRIM(A485&amp;"")="","",IF(TRIM(M485&amp;"")&lt;&gt;"",TRIM(M485&amp;""),IFERROR(LEFT(TRIM(A485&amp;""),FIND(" ",TRIM(A485&amp;""))-1),TRIM(A485&amp;""))))</f>
        <v/>
      </c>
      <c r="AC485" s="32">
        <f>SUBSTITUTE(SUBSTITUTE(SUBSTITUTE(SUBSTITUTE(SUBSTITUTE(SUBSTITUTE(SUBSTITUTE(SUBSTITUTE(SUBSTITUTE(SUBSTITUTE(AB485,"%","%25"),"&amp;","%26"),"#","%23"),"+","%2B"),"=","%3D"),"?","%3F"),CHAR(34),"%22"),CHAR(10),"%0A"),CHAR(13),"")," ","+")</f>
        <v/>
      </c>
      <c r="AD485" s="32">
        <f>IF(OR(AA485="",AB485=""),"",'Start Here'!$B$20&amp;"#p="&amp;SUBSTITUTE(AA485,"+","%2B")&amp;"&amp;n="&amp;AC485&amp;"&amp;m="&amp;SUBSTITUTE('Start Here'!$B$24,"{name}",AC485))</f>
        <v/>
      </c>
      <c r="AE485" s="32">
        <f>LEN(AD485)</f>
        <v/>
      </c>
      <c r="AF485" s="32">
        <f>IF(AND(TRIM(A485&amp;"")&lt;&gt;"",OR(B485="Awaiting",B485="Not sure yet")),1,0)</f>
        <v/>
      </c>
      <c r="AG485" s="32">
        <f>N(AG484)+AF485</f>
        <v/>
      </c>
      <c r="AH485" s="32">
        <f>IF(AF485=1,AG485,"")</f>
        <v/>
      </c>
      <c r="AI485" s="32">
        <f>IF(AND(TRIM(A485&amp;"")&lt;&gt;"",L485&amp;""&lt;&gt;"",L485&amp;""=Seating!$I$3&amp;"",B485&lt;&gt;"Declined"),1,0)</f>
        <v/>
      </c>
      <c r="AJ485" s="32">
        <f>N(AJ484)+AI485</f>
        <v/>
      </c>
      <c r="AK485" s="32">
        <f>IF(AI485=1,AJ485,"")</f>
        <v/>
      </c>
    </row>
    <row r="486">
      <c r="A486" s="10" t="n"/>
      <c r="B486" s="47">
        <f>IF(TRIM(A486&amp;"")="","",IF(W486&lt;&gt;"",W486,IF(I486="","Awaiting",I486)))</f>
        <v/>
      </c>
      <c r="C486" s="60">
        <f>IF(OR(B486="Awaiting",B486="Not sure yet"),IF(AD486&lt;&gt;"",HYPERLINK(AD486,"💬 Remind"),"add mobile"),"")</f>
        <v/>
      </c>
      <c r="D486" s="58" t="n"/>
      <c r="E486" s="10" t="n"/>
      <c r="F486" s="10" t="n"/>
      <c r="G486" s="10" t="n"/>
      <c r="H486" s="10" t="n"/>
      <c r="I486" s="10" t="n"/>
      <c r="J486" s="10" t="n"/>
      <c r="K486" s="10" t="n"/>
      <c r="L486" s="56" t="n"/>
      <c r="M486" s="10" t="n"/>
      <c r="N486" s="12" t="n"/>
      <c r="O486" s="10" t="n"/>
      <c r="P486" s="10" t="n"/>
      <c r="Q486" s="61">
        <f>IF(V486="","",IF(T486="","Covered by "&amp;INDEX('Form Calc'!$B:$B,V486)&amp;"'s reply (same party)","Replied "&amp;TEXT(INDEX('Form Calc'!$A:$A,T486),"mm/dd")&amp;" · "&amp;INDEX('Form Calc'!$H:$H,T486)&amp;" adult(s), "&amp;INDEX('Form Calc'!$I:$I,T486)&amp;" child(ren)"&amp;IF(INDEX('Form Calc'!$K:$K,T486)&lt;&gt;""," · "&amp;INDEX('Form Calc'!$K:$K,T486),"")&amp;IF(INDEX('Form Calc'!$M:$M,T486)&lt;&gt;""," · “"&amp;INDEX('Form Calc'!$M:$M,T486)&amp;"”","")))</f>
        <v/>
      </c>
      <c r="R486" s="32">
        <f>SUBSTITUTE(SUBSTITUTE(SUBSTITUTE(SUBSTITUTE(SUBSTITUTE(SUBSTITUTE(SUBSTITUTE(SUBSTITUTE(D486&amp;""," ",""),"-",""),"(",""),")",""),".",""),"+",""),"/",""),CHAR(160),"")</f>
        <v/>
      </c>
      <c r="S486" s="32">
        <f>IF(LEN(R486)&gt;=10,RIGHT(R486,10),R486)</f>
        <v/>
      </c>
      <c r="T486" s="32">
        <f>IF(TRIM(A486&amp;"")="","",IF(S486&lt;&gt;"",IFERROR(MATCH(S486,'Form Calc'!$P:$P,0),IFERROR(MATCH(TRIM(A486&amp;""),'Form Calc'!$Q:$Q,0),"")),IFERROR(MATCH(TRIM(A486&amp;""),'Form Calc'!$Q:$Q,0),"")))</f>
        <v/>
      </c>
      <c r="U486" s="32">
        <f>IF(AND(T486&lt;&gt;"",TRIM(E486&amp;"")&lt;&gt;""),TRIM(E486&amp;""),"")</f>
        <v/>
      </c>
      <c r="V486" s="32">
        <f>IF(TRIM(A486&amp;"")="","",IF(T486&lt;&gt;"",T486,IF(TRIM(E486&amp;"")="","",IFERROR(INDEX($T$6:$T$505,MATCH(TRIM(E486&amp;""),$U$6:$U$505,0)),""))))</f>
        <v/>
      </c>
      <c r="W486" s="32">
        <f>IF(V486="","",INDEX('Form Calc'!$G:$G,V486))</f>
        <v/>
      </c>
      <c r="X486" s="32">
        <f>IF(TRIM(A486&amp;"")="","",IF(T486&lt;&gt;"",IF(INDEX('Form Calc'!$K:$K,T486)&lt;&gt;"",INDEX('Form Calc'!$K:$K,T486),J486&amp;""),J486&amp;""))</f>
        <v/>
      </c>
      <c r="Y486" s="32">
        <f>IF(TRIM(A486&amp;"")="","",IF(TRIM(D486&amp;"")&lt;&gt;"",TRIM(D486&amp;""),IF(T486&lt;&gt;"",INDEX('Form Calc'!$C:$C,T486)&amp;"","")))</f>
        <v/>
      </c>
      <c r="Z486" s="32">
        <f>SUBSTITUTE(SUBSTITUTE(SUBSTITUTE(SUBSTITUTE(SUBSTITUTE(SUBSTITUTE(SUBSTITUTE(SUBSTITUTE(Y486," ",""),"-",""),"(",""),")",""),".",""),"+",""),"/",""),CHAR(160),"")</f>
        <v/>
      </c>
      <c r="AA486" s="32">
        <f>IF(Z486="","",IF(LEN(Z486)=10,"+1"&amp;Z486,IF(AND(LEN(Z486)=11,LEFT(Z486,1)="1"),"+"&amp;Z486,IF(LEFT(Y486,1)="+","+"&amp;Z486,Z486))))</f>
        <v/>
      </c>
      <c r="AB486" s="32">
        <f>IF(TRIM(A486&amp;"")="","",IF(TRIM(M486&amp;"")&lt;&gt;"",TRIM(M486&amp;""),IFERROR(LEFT(TRIM(A486&amp;""),FIND(" ",TRIM(A486&amp;""))-1),TRIM(A486&amp;""))))</f>
        <v/>
      </c>
      <c r="AC486" s="32">
        <f>SUBSTITUTE(SUBSTITUTE(SUBSTITUTE(SUBSTITUTE(SUBSTITUTE(SUBSTITUTE(SUBSTITUTE(SUBSTITUTE(SUBSTITUTE(SUBSTITUTE(AB486,"%","%25"),"&amp;","%26"),"#","%23"),"+","%2B"),"=","%3D"),"?","%3F"),CHAR(34),"%22"),CHAR(10),"%0A"),CHAR(13),"")," ","+")</f>
        <v/>
      </c>
      <c r="AD486" s="32">
        <f>IF(OR(AA486="",AB486=""),"",'Start Here'!$B$20&amp;"#p="&amp;SUBSTITUTE(AA486,"+","%2B")&amp;"&amp;n="&amp;AC486&amp;"&amp;m="&amp;SUBSTITUTE('Start Here'!$B$24,"{name}",AC486))</f>
        <v/>
      </c>
      <c r="AE486" s="32">
        <f>LEN(AD486)</f>
        <v/>
      </c>
      <c r="AF486" s="32">
        <f>IF(AND(TRIM(A486&amp;"")&lt;&gt;"",OR(B486="Awaiting",B486="Not sure yet")),1,0)</f>
        <v/>
      </c>
      <c r="AG486" s="32">
        <f>N(AG485)+AF486</f>
        <v/>
      </c>
      <c r="AH486" s="32">
        <f>IF(AF486=1,AG486,"")</f>
        <v/>
      </c>
      <c r="AI486" s="32">
        <f>IF(AND(TRIM(A486&amp;"")&lt;&gt;"",L486&amp;""&lt;&gt;"",L486&amp;""=Seating!$I$3&amp;"",B486&lt;&gt;"Declined"),1,0)</f>
        <v/>
      </c>
      <c r="AJ486" s="32">
        <f>N(AJ485)+AI486</f>
        <v/>
      </c>
      <c r="AK486" s="32">
        <f>IF(AI486=1,AJ486,"")</f>
        <v/>
      </c>
    </row>
    <row r="487">
      <c r="A487" s="10" t="n"/>
      <c r="B487" s="47">
        <f>IF(TRIM(A487&amp;"")="","",IF(W487&lt;&gt;"",W487,IF(I487="","Awaiting",I487)))</f>
        <v/>
      </c>
      <c r="C487" s="60">
        <f>IF(OR(B487="Awaiting",B487="Not sure yet"),IF(AD487&lt;&gt;"",HYPERLINK(AD487,"💬 Remind"),"add mobile"),"")</f>
        <v/>
      </c>
      <c r="D487" s="58" t="n"/>
      <c r="E487" s="10" t="n"/>
      <c r="F487" s="10" t="n"/>
      <c r="G487" s="10" t="n"/>
      <c r="H487" s="10" t="n"/>
      <c r="I487" s="10" t="n"/>
      <c r="J487" s="10" t="n"/>
      <c r="K487" s="10" t="n"/>
      <c r="L487" s="56" t="n"/>
      <c r="M487" s="10" t="n"/>
      <c r="N487" s="12" t="n"/>
      <c r="O487" s="10" t="n"/>
      <c r="P487" s="10" t="n"/>
      <c r="Q487" s="61">
        <f>IF(V487="","",IF(T487="","Covered by "&amp;INDEX('Form Calc'!$B:$B,V487)&amp;"'s reply (same party)","Replied "&amp;TEXT(INDEX('Form Calc'!$A:$A,T487),"mm/dd")&amp;" · "&amp;INDEX('Form Calc'!$H:$H,T487)&amp;" adult(s), "&amp;INDEX('Form Calc'!$I:$I,T487)&amp;" child(ren)"&amp;IF(INDEX('Form Calc'!$K:$K,T487)&lt;&gt;""," · "&amp;INDEX('Form Calc'!$K:$K,T487),"")&amp;IF(INDEX('Form Calc'!$M:$M,T487)&lt;&gt;""," · “"&amp;INDEX('Form Calc'!$M:$M,T487)&amp;"”","")))</f>
        <v/>
      </c>
      <c r="R487" s="32">
        <f>SUBSTITUTE(SUBSTITUTE(SUBSTITUTE(SUBSTITUTE(SUBSTITUTE(SUBSTITUTE(SUBSTITUTE(SUBSTITUTE(D487&amp;""," ",""),"-",""),"(",""),")",""),".",""),"+",""),"/",""),CHAR(160),"")</f>
        <v/>
      </c>
      <c r="S487" s="32">
        <f>IF(LEN(R487)&gt;=10,RIGHT(R487,10),R487)</f>
        <v/>
      </c>
      <c r="T487" s="32">
        <f>IF(TRIM(A487&amp;"")="","",IF(S487&lt;&gt;"",IFERROR(MATCH(S487,'Form Calc'!$P:$P,0),IFERROR(MATCH(TRIM(A487&amp;""),'Form Calc'!$Q:$Q,0),"")),IFERROR(MATCH(TRIM(A487&amp;""),'Form Calc'!$Q:$Q,0),"")))</f>
        <v/>
      </c>
      <c r="U487" s="32">
        <f>IF(AND(T487&lt;&gt;"",TRIM(E487&amp;"")&lt;&gt;""),TRIM(E487&amp;""),"")</f>
        <v/>
      </c>
      <c r="V487" s="32">
        <f>IF(TRIM(A487&amp;"")="","",IF(T487&lt;&gt;"",T487,IF(TRIM(E487&amp;"")="","",IFERROR(INDEX($T$6:$T$505,MATCH(TRIM(E487&amp;""),$U$6:$U$505,0)),""))))</f>
        <v/>
      </c>
      <c r="W487" s="32">
        <f>IF(V487="","",INDEX('Form Calc'!$G:$G,V487))</f>
        <v/>
      </c>
      <c r="X487" s="32">
        <f>IF(TRIM(A487&amp;"")="","",IF(T487&lt;&gt;"",IF(INDEX('Form Calc'!$K:$K,T487)&lt;&gt;"",INDEX('Form Calc'!$K:$K,T487),J487&amp;""),J487&amp;""))</f>
        <v/>
      </c>
      <c r="Y487" s="32">
        <f>IF(TRIM(A487&amp;"")="","",IF(TRIM(D487&amp;"")&lt;&gt;"",TRIM(D487&amp;""),IF(T487&lt;&gt;"",INDEX('Form Calc'!$C:$C,T487)&amp;"","")))</f>
        <v/>
      </c>
      <c r="Z487" s="32">
        <f>SUBSTITUTE(SUBSTITUTE(SUBSTITUTE(SUBSTITUTE(SUBSTITUTE(SUBSTITUTE(SUBSTITUTE(SUBSTITUTE(Y487," ",""),"-",""),"(",""),")",""),".",""),"+",""),"/",""),CHAR(160),"")</f>
        <v/>
      </c>
      <c r="AA487" s="32">
        <f>IF(Z487="","",IF(LEN(Z487)=10,"+1"&amp;Z487,IF(AND(LEN(Z487)=11,LEFT(Z487,1)="1"),"+"&amp;Z487,IF(LEFT(Y487,1)="+","+"&amp;Z487,Z487))))</f>
        <v/>
      </c>
      <c r="AB487" s="32">
        <f>IF(TRIM(A487&amp;"")="","",IF(TRIM(M487&amp;"")&lt;&gt;"",TRIM(M487&amp;""),IFERROR(LEFT(TRIM(A487&amp;""),FIND(" ",TRIM(A487&amp;""))-1),TRIM(A487&amp;""))))</f>
        <v/>
      </c>
      <c r="AC487" s="32">
        <f>SUBSTITUTE(SUBSTITUTE(SUBSTITUTE(SUBSTITUTE(SUBSTITUTE(SUBSTITUTE(SUBSTITUTE(SUBSTITUTE(SUBSTITUTE(SUBSTITUTE(AB487,"%","%25"),"&amp;","%26"),"#","%23"),"+","%2B"),"=","%3D"),"?","%3F"),CHAR(34),"%22"),CHAR(10),"%0A"),CHAR(13),"")," ","+")</f>
        <v/>
      </c>
      <c r="AD487" s="32">
        <f>IF(OR(AA487="",AB487=""),"",'Start Here'!$B$20&amp;"#p="&amp;SUBSTITUTE(AA487,"+","%2B")&amp;"&amp;n="&amp;AC487&amp;"&amp;m="&amp;SUBSTITUTE('Start Here'!$B$24,"{name}",AC487))</f>
        <v/>
      </c>
      <c r="AE487" s="32">
        <f>LEN(AD487)</f>
        <v/>
      </c>
      <c r="AF487" s="32">
        <f>IF(AND(TRIM(A487&amp;"")&lt;&gt;"",OR(B487="Awaiting",B487="Not sure yet")),1,0)</f>
        <v/>
      </c>
      <c r="AG487" s="32">
        <f>N(AG486)+AF487</f>
        <v/>
      </c>
      <c r="AH487" s="32">
        <f>IF(AF487=1,AG487,"")</f>
        <v/>
      </c>
      <c r="AI487" s="32">
        <f>IF(AND(TRIM(A487&amp;"")&lt;&gt;"",L487&amp;""&lt;&gt;"",L487&amp;""=Seating!$I$3&amp;"",B487&lt;&gt;"Declined"),1,0)</f>
        <v/>
      </c>
      <c r="AJ487" s="32">
        <f>N(AJ486)+AI487</f>
        <v/>
      </c>
      <c r="AK487" s="32">
        <f>IF(AI487=1,AJ487,"")</f>
        <v/>
      </c>
    </row>
    <row r="488">
      <c r="A488" s="10" t="n"/>
      <c r="B488" s="47">
        <f>IF(TRIM(A488&amp;"")="","",IF(W488&lt;&gt;"",W488,IF(I488="","Awaiting",I488)))</f>
        <v/>
      </c>
      <c r="C488" s="60">
        <f>IF(OR(B488="Awaiting",B488="Not sure yet"),IF(AD488&lt;&gt;"",HYPERLINK(AD488,"💬 Remind"),"add mobile"),"")</f>
        <v/>
      </c>
      <c r="D488" s="58" t="n"/>
      <c r="E488" s="10" t="n"/>
      <c r="F488" s="10" t="n"/>
      <c r="G488" s="10" t="n"/>
      <c r="H488" s="10" t="n"/>
      <c r="I488" s="10" t="n"/>
      <c r="J488" s="10" t="n"/>
      <c r="K488" s="10" t="n"/>
      <c r="L488" s="56" t="n"/>
      <c r="M488" s="10" t="n"/>
      <c r="N488" s="12" t="n"/>
      <c r="O488" s="10" t="n"/>
      <c r="P488" s="10" t="n"/>
      <c r="Q488" s="61">
        <f>IF(V488="","",IF(T488="","Covered by "&amp;INDEX('Form Calc'!$B:$B,V488)&amp;"'s reply (same party)","Replied "&amp;TEXT(INDEX('Form Calc'!$A:$A,T488),"mm/dd")&amp;" · "&amp;INDEX('Form Calc'!$H:$H,T488)&amp;" adult(s), "&amp;INDEX('Form Calc'!$I:$I,T488)&amp;" child(ren)"&amp;IF(INDEX('Form Calc'!$K:$K,T488)&lt;&gt;""," · "&amp;INDEX('Form Calc'!$K:$K,T488),"")&amp;IF(INDEX('Form Calc'!$M:$M,T488)&lt;&gt;""," · “"&amp;INDEX('Form Calc'!$M:$M,T488)&amp;"”","")))</f>
        <v/>
      </c>
      <c r="R488" s="32">
        <f>SUBSTITUTE(SUBSTITUTE(SUBSTITUTE(SUBSTITUTE(SUBSTITUTE(SUBSTITUTE(SUBSTITUTE(SUBSTITUTE(D488&amp;""," ",""),"-",""),"(",""),")",""),".",""),"+",""),"/",""),CHAR(160),"")</f>
        <v/>
      </c>
      <c r="S488" s="32">
        <f>IF(LEN(R488)&gt;=10,RIGHT(R488,10),R488)</f>
        <v/>
      </c>
      <c r="T488" s="32">
        <f>IF(TRIM(A488&amp;"")="","",IF(S488&lt;&gt;"",IFERROR(MATCH(S488,'Form Calc'!$P:$P,0),IFERROR(MATCH(TRIM(A488&amp;""),'Form Calc'!$Q:$Q,0),"")),IFERROR(MATCH(TRIM(A488&amp;""),'Form Calc'!$Q:$Q,0),"")))</f>
        <v/>
      </c>
      <c r="U488" s="32">
        <f>IF(AND(T488&lt;&gt;"",TRIM(E488&amp;"")&lt;&gt;""),TRIM(E488&amp;""),"")</f>
        <v/>
      </c>
      <c r="V488" s="32">
        <f>IF(TRIM(A488&amp;"")="","",IF(T488&lt;&gt;"",T488,IF(TRIM(E488&amp;"")="","",IFERROR(INDEX($T$6:$T$505,MATCH(TRIM(E488&amp;""),$U$6:$U$505,0)),""))))</f>
        <v/>
      </c>
      <c r="W488" s="32">
        <f>IF(V488="","",INDEX('Form Calc'!$G:$G,V488))</f>
        <v/>
      </c>
      <c r="X488" s="32">
        <f>IF(TRIM(A488&amp;"")="","",IF(T488&lt;&gt;"",IF(INDEX('Form Calc'!$K:$K,T488)&lt;&gt;"",INDEX('Form Calc'!$K:$K,T488),J488&amp;""),J488&amp;""))</f>
        <v/>
      </c>
      <c r="Y488" s="32">
        <f>IF(TRIM(A488&amp;"")="","",IF(TRIM(D488&amp;"")&lt;&gt;"",TRIM(D488&amp;""),IF(T488&lt;&gt;"",INDEX('Form Calc'!$C:$C,T488)&amp;"","")))</f>
        <v/>
      </c>
      <c r="Z488" s="32">
        <f>SUBSTITUTE(SUBSTITUTE(SUBSTITUTE(SUBSTITUTE(SUBSTITUTE(SUBSTITUTE(SUBSTITUTE(SUBSTITUTE(Y488," ",""),"-",""),"(",""),")",""),".",""),"+",""),"/",""),CHAR(160),"")</f>
        <v/>
      </c>
      <c r="AA488" s="32">
        <f>IF(Z488="","",IF(LEN(Z488)=10,"+1"&amp;Z488,IF(AND(LEN(Z488)=11,LEFT(Z488,1)="1"),"+"&amp;Z488,IF(LEFT(Y488,1)="+","+"&amp;Z488,Z488))))</f>
        <v/>
      </c>
      <c r="AB488" s="32">
        <f>IF(TRIM(A488&amp;"")="","",IF(TRIM(M488&amp;"")&lt;&gt;"",TRIM(M488&amp;""),IFERROR(LEFT(TRIM(A488&amp;""),FIND(" ",TRIM(A488&amp;""))-1),TRIM(A488&amp;""))))</f>
        <v/>
      </c>
      <c r="AC488" s="32">
        <f>SUBSTITUTE(SUBSTITUTE(SUBSTITUTE(SUBSTITUTE(SUBSTITUTE(SUBSTITUTE(SUBSTITUTE(SUBSTITUTE(SUBSTITUTE(SUBSTITUTE(AB488,"%","%25"),"&amp;","%26"),"#","%23"),"+","%2B"),"=","%3D"),"?","%3F"),CHAR(34),"%22"),CHAR(10),"%0A"),CHAR(13),"")," ","+")</f>
        <v/>
      </c>
      <c r="AD488" s="32">
        <f>IF(OR(AA488="",AB488=""),"",'Start Here'!$B$20&amp;"#p="&amp;SUBSTITUTE(AA488,"+","%2B")&amp;"&amp;n="&amp;AC488&amp;"&amp;m="&amp;SUBSTITUTE('Start Here'!$B$24,"{name}",AC488))</f>
        <v/>
      </c>
      <c r="AE488" s="32">
        <f>LEN(AD488)</f>
        <v/>
      </c>
      <c r="AF488" s="32">
        <f>IF(AND(TRIM(A488&amp;"")&lt;&gt;"",OR(B488="Awaiting",B488="Not sure yet")),1,0)</f>
        <v/>
      </c>
      <c r="AG488" s="32">
        <f>N(AG487)+AF488</f>
        <v/>
      </c>
      <c r="AH488" s="32">
        <f>IF(AF488=1,AG488,"")</f>
        <v/>
      </c>
      <c r="AI488" s="32">
        <f>IF(AND(TRIM(A488&amp;"")&lt;&gt;"",L488&amp;""&lt;&gt;"",L488&amp;""=Seating!$I$3&amp;"",B488&lt;&gt;"Declined"),1,0)</f>
        <v/>
      </c>
      <c r="AJ488" s="32">
        <f>N(AJ487)+AI488</f>
        <v/>
      </c>
      <c r="AK488" s="32">
        <f>IF(AI488=1,AJ488,"")</f>
        <v/>
      </c>
    </row>
    <row r="489">
      <c r="A489" s="10" t="n"/>
      <c r="B489" s="47">
        <f>IF(TRIM(A489&amp;"")="","",IF(W489&lt;&gt;"",W489,IF(I489="","Awaiting",I489)))</f>
        <v/>
      </c>
      <c r="C489" s="60">
        <f>IF(OR(B489="Awaiting",B489="Not sure yet"),IF(AD489&lt;&gt;"",HYPERLINK(AD489,"💬 Remind"),"add mobile"),"")</f>
        <v/>
      </c>
      <c r="D489" s="58" t="n"/>
      <c r="E489" s="10" t="n"/>
      <c r="F489" s="10" t="n"/>
      <c r="G489" s="10" t="n"/>
      <c r="H489" s="10" t="n"/>
      <c r="I489" s="10" t="n"/>
      <c r="J489" s="10" t="n"/>
      <c r="K489" s="10" t="n"/>
      <c r="L489" s="56" t="n"/>
      <c r="M489" s="10" t="n"/>
      <c r="N489" s="12" t="n"/>
      <c r="O489" s="10" t="n"/>
      <c r="P489" s="10" t="n"/>
      <c r="Q489" s="61">
        <f>IF(V489="","",IF(T489="","Covered by "&amp;INDEX('Form Calc'!$B:$B,V489)&amp;"'s reply (same party)","Replied "&amp;TEXT(INDEX('Form Calc'!$A:$A,T489),"mm/dd")&amp;" · "&amp;INDEX('Form Calc'!$H:$H,T489)&amp;" adult(s), "&amp;INDEX('Form Calc'!$I:$I,T489)&amp;" child(ren)"&amp;IF(INDEX('Form Calc'!$K:$K,T489)&lt;&gt;""," · "&amp;INDEX('Form Calc'!$K:$K,T489),"")&amp;IF(INDEX('Form Calc'!$M:$M,T489)&lt;&gt;""," · “"&amp;INDEX('Form Calc'!$M:$M,T489)&amp;"”","")))</f>
        <v/>
      </c>
      <c r="R489" s="32">
        <f>SUBSTITUTE(SUBSTITUTE(SUBSTITUTE(SUBSTITUTE(SUBSTITUTE(SUBSTITUTE(SUBSTITUTE(SUBSTITUTE(D489&amp;""," ",""),"-",""),"(",""),")",""),".",""),"+",""),"/",""),CHAR(160),"")</f>
        <v/>
      </c>
      <c r="S489" s="32">
        <f>IF(LEN(R489)&gt;=10,RIGHT(R489,10),R489)</f>
        <v/>
      </c>
      <c r="T489" s="32">
        <f>IF(TRIM(A489&amp;"")="","",IF(S489&lt;&gt;"",IFERROR(MATCH(S489,'Form Calc'!$P:$P,0),IFERROR(MATCH(TRIM(A489&amp;""),'Form Calc'!$Q:$Q,0),"")),IFERROR(MATCH(TRIM(A489&amp;""),'Form Calc'!$Q:$Q,0),"")))</f>
        <v/>
      </c>
      <c r="U489" s="32">
        <f>IF(AND(T489&lt;&gt;"",TRIM(E489&amp;"")&lt;&gt;""),TRIM(E489&amp;""),"")</f>
        <v/>
      </c>
      <c r="V489" s="32">
        <f>IF(TRIM(A489&amp;"")="","",IF(T489&lt;&gt;"",T489,IF(TRIM(E489&amp;"")="","",IFERROR(INDEX($T$6:$T$505,MATCH(TRIM(E489&amp;""),$U$6:$U$505,0)),""))))</f>
        <v/>
      </c>
      <c r="W489" s="32">
        <f>IF(V489="","",INDEX('Form Calc'!$G:$G,V489))</f>
        <v/>
      </c>
      <c r="X489" s="32">
        <f>IF(TRIM(A489&amp;"")="","",IF(T489&lt;&gt;"",IF(INDEX('Form Calc'!$K:$K,T489)&lt;&gt;"",INDEX('Form Calc'!$K:$K,T489),J489&amp;""),J489&amp;""))</f>
        <v/>
      </c>
      <c r="Y489" s="32">
        <f>IF(TRIM(A489&amp;"")="","",IF(TRIM(D489&amp;"")&lt;&gt;"",TRIM(D489&amp;""),IF(T489&lt;&gt;"",INDEX('Form Calc'!$C:$C,T489)&amp;"","")))</f>
        <v/>
      </c>
      <c r="Z489" s="32">
        <f>SUBSTITUTE(SUBSTITUTE(SUBSTITUTE(SUBSTITUTE(SUBSTITUTE(SUBSTITUTE(SUBSTITUTE(SUBSTITUTE(Y489," ",""),"-",""),"(",""),")",""),".",""),"+",""),"/",""),CHAR(160),"")</f>
        <v/>
      </c>
      <c r="AA489" s="32">
        <f>IF(Z489="","",IF(LEN(Z489)=10,"+1"&amp;Z489,IF(AND(LEN(Z489)=11,LEFT(Z489,1)="1"),"+"&amp;Z489,IF(LEFT(Y489,1)="+","+"&amp;Z489,Z489))))</f>
        <v/>
      </c>
      <c r="AB489" s="32">
        <f>IF(TRIM(A489&amp;"")="","",IF(TRIM(M489&amp;"")&lt;&gt;"",TRIM(M489&amp;""),IFERROR(LEFT(TRIM(A489&amp;""),FIND(" ",TRIM(A489&amp;""))-1),TRIM(A489&amp;""))))</f>
        <v/>
      </c>
      <c r="AC489" s="32">
        <f>SUBSTITUTE(SUBSTITUTE(SUBSTITUTE(SUBSTITUTE(SUBSTITUTE(SUBSTITUTE(SUBSTITUTE(SUBSTITUTE(SUBSTITUTE(SUBSTITUTE(AB489,"%","%25"),"&amp;","%26"),"#","%23"),"+","%2B"),"=","%3D"),"?","%3F"),CHAR(34),"%22"),CHAR(10),"%0A"),CHAR(13),"")," ","+")</f>
        <v/>
      </c>
      <c r="AD489" s="32">
        <f>IF(OR(AA489="",AB489=""),"",'Start Here'!$B$20&amp;"#p="&amp;SUBSTITUTE(AA489,"+","%2B")&amp;"&amp;n="&amp;AC489&amp;"&amp;m="&amp;SUBSTITUTE('Start Here'!$B$24,"{name}",AC489))</f>
        <v/>
      </c>
      <c r="AE489" s="32">
        <f>LEN(AD489)</f>
        <v/>
      </c>
      <c r="AF489" s="32">
        <f>IF(AND(TRIM(A489&amp;"")&lt;&gt;"",OR(B489="Awaiting",B489="Not sure yet")),1,0)</f>
        <v/>
      </c>
      <c r="AG489" s="32">
        <f>N(AG488)+AF489</f>
        <v/>
      </c>
      <c r="AH489" s="32">
        <f>IF(AF489=1,AG489,"")</f>
        <v/>
      </c>
      <c r="AI489" s="32">
        <f>IF(AND(TRIM(A489&amp;"")&lt;&gt;"",L489&amp;""&lt;&gt;"",L489&amp;""=Seating!$I$3&amp;"",B489&lt;&gt;"Declined"),1,0)</f>
        <v/>
      </c>
      <c r="AJ489" s="32">
        <f>N(AJ488)+AI489</f>
        <v/>
      </c>
      <c r="AK489" s="32">
        <f>IF(AI489=1,AJ489,"")</f>
        <v/>
      </c>
    </row>
    <row r="490">
      <c r="A490" s="10" t="n"/>
      <c r="B490" s="47">
        <f>IF(TRIM(A490&amp;"")="","",IF(W490&lt;&gt;"",W490,IF(I490="","Awaiting",I490)))</f>
        <v/>
      </c>
      <c r="C490" s="60">
        <f>IF(OR(B490="Awaiting",B490="Not sure yet"),IF(AD490&lt;&gt;"",HYPERLINK(AD490,"💬 Remind"),"add mobile"),"")</f>
        <v/>
      </c>
      <c r="D490" s="58" t="n"/>
      <c r="E490" s="10" t="n"/>
      <c r="F490" s="10" t="n"/>
      <c r="G490" s="10" t="n"/>
      <c r="H490" s="10" t="n"/>
      <c r="I490" s="10" t="n"/>
      <c r="J490" s="10" t="n"/>
      <c r="K490" s="10" t="n"/>
      <c r="L490" s="56" t="n"/>
      <c r="M490" s="10" t="n"/>
      <c r="N490" s="12" t="n"/>
      <c r="O490" s="10" t="n"/>
      <c r="P490" s="10" t="n"/>
      <c r="Q490" s="61">
        <f>IF(V490="","",IF(T490="","Covered by "&amp;INDEX('Form Calc'!$B:$B,V490)&amp;"'s reply (same party)","Replied "&amp;TEXT(INDEX('Form Calc'!$A:$A,T490),"mm/dd")&amp;" · "&amp;INDEX('Form Calc'!$H:$H,T490)&amp;" adult(s), "&amp;INDEX('Form Calc'!$I:$I,T490)&amp;" child(ren)"&amp;IF(INDEX('Form Calc'!$K:$K,T490)&lt;&gt;""," · "&amp;INDEX('Form Calc'!$K:$K,T490),"")&amp;IF(INDEX('Form Calc'!$M:$M,T490)&lt;&gt;""," · “"&amp;INDEX('Form Calc'!$M:$M,T490)&amp;"”","")))</f>
        <v/>
      </c>
      <c r="R490" s="32">
        <f>SUBSTITUTE(SUBSTITUTE(SUBSTITUTE(SUBSTITUTE(SUBSTITUTE(SUBSTITUTE(SUBSTITUTE(SUBSTITUTE(D490&amp;""," ",""),"-",""),"(",""),")",""),".",""),"+",""),"/",""),CHAR(160),"")</f>
        <v/>
      </c>
      <c r="S490" s="32">
        <f>IF(LEN(R490)&gt;=10,RIGHT(R490,10),R490)</f>
        <v/>
      </c>
      <c r="T490" s="32">
        <f>IF(TRIM(A490&amp;"")="","",IF(S490&lt;&gt;"",IFERROR(MATCH(S490,'Form Calc'!$P:$P,0),IFERROR(MATCH(TRIM(A490&amp;""),'Form Calc'!$Q:$Q,0),"")),IFERROR(MATCH(TRIM(A490&amp;""),'Form Calc'!$Q:$Q,0),"")))</f>
        <v/>
      </c>
      <c r="U490" s="32">
        <f>IF(AND(T490&lt;&gt;"",TRIM(E490&amp;"")&lt;&gt;""),TRIM(E490&amp;""),"")</f>
        <v/>
      </c>
      <c r="V490" s="32">
        <f>IF(TRIM(A490&amp;"")="","",IF(T490&lt;&gt;"",T490,IF(TRIM(E490&amp;"")="","",IFERROR(INDEX($T$6:$T$505,MATCH(TRIM(E490&amp;""),$U$6:$U$505,0)),""))))</f>
        <v/>
      </c>
      <c r="W490" s="32">
        <f>IF(V490="","",INDEX('Form Calc'!$G:$G,V490))</f>
        <v/>
      </c>
      <c r="X490" s="32">
        <f>IF(TRIM(A490&amp;"")="","",IF(T490&lt;&gt;"",IF(INDEX('Form Calc'!$K:$K,T490)&lt;&gt;"",INDEX('Form Calc'!$K:$K,T490),J490&amp;""),J490&amp;""))</f>
        <v/>
      </c>
      <c r="Y490" s="32">
        <f>IF(TRIM(A490&amp;"")="","",IF(TRIM(D490&amp;"")&lt;&gt;"",TRIM(D490&amp;""),IF(T490&lt;&gt;"",INDEX('Form Calc'!$C:$C,T490)&amp;"","")))</f>
        <v/>
      </c>
      <c r="Z490" s="32">
        <f>SUBSTITUTE(SUBSTITUTE(SUBSTITUTE(SUBSTITUTE(SUBSTITUTE(SUBSTITUTE(SUBSTITUTE(SUBSTITUTE(Y490," ",""),"-",""),"(",""),")",""),".",""),"+",""),"/",""),CHAR(160),"")</f>
        <v/>
      </c>
      <c r="AA490" s="32">
        <f>IF(Z490="","",IF(LEN(Z490)=10,"+1"&amp;Z490,IF(AND(LEN(Z490)=11,LEFT(Z490,1)="1"),"+"&amp;Z490,IF(LEFT(Y490,1)="+","+"&amp;Z490,Z490))))</f>
        <v/>
      </c>
      <c r="AB490" s="32">
        <f>IF(TRIM(A490&amp;"")="","",IF(TRIM(M490&amp;"")&lt;&gt;"",TRIM(M490&amp;""),IFERROR(LEFT(TRIM(A490&amp;""),FIND(" ",TRIM(A490&amp;""))-1),TRIM(A490&amp;""))))</f>
        <v/>
      </c>
      <c r="AC490" s="32">
        <f>SUBSTITUTE(SUBSTITUTE(SUBSTITUTE(SUBSTITUTE(SUBSTITUTE(SUBSTITUTE(SUBSTITUTE(SUBSTITUTE(SUBSTITUTE(SUBSTITUTE(AB490,"%","%25"),"&amp;","%26"),"#","%23"),"+","%2B"),"=","%3D"),"?","%3F"),CHAR(34),"%22"),CHAR(10),"%0A"),CHAR(13),"")," ","+")</f>
        <v/>
      </c>
      <c r="AD490" s="32">
        <f>IF(OR(AA490="",AB490=""),"",'Start Here'!$B$20&amp;"#p="&amp;SUBSTITUTE(AA490,"+","%2B")&amp;"&amp;n="&amp;AC490&amp;"&amp;m="&amp;SUBSTITUTE('Start Here'!$B$24,"{name}",AC490))</f>
        <v/>
      </c>
      <c r="AE490" s="32">
        <f>LEN(AD490)</f>
        <v/>
      </c>
      <c r="AF490" s="32">
        <f>IF(AND(TRIM(A490&amp;"")&lt;&gt;"",OR(B490="Awaiting",B490="Not sure yet")),1,0)</f>
        <v/>
      </c>
      <c r="AG490" s="32">
        <f>N(AG489)+AF490</f>
        <v/>
      </c>
      <c r="AH490" s="32">
        <f>IF(AF490=1,AG490,"")</f>
        <v/>
      </c>
      <c r="AI490" s="32">
        <f>IF(AND(TRIM(A490&amp;"")&lt;&gt;"",L490&amp;""&lt;&gt;"",L490&amp;""=Seating!$I$3&amp;"",B490&lt;&gt;"Declined"),1,0)</f>
        <v/>
      </c>
      <c r="AJ490" s="32">
        <f>N(AJ489)+AI490</f>
        <v/>
      </c>
      <c r="AK490" s="32">
        <f>IF(AI490=1,AJ490,"")</f>
        <v/>
      </c>
    </row>
    <row r="491">
      <c r="A491" s="10" t="n"/>
      <c r="B491" s="47">
        <f>IF(TRIM(A491&amp;"")="","",IF(W491&lt;&gt;"",W491,IF(I491="","Awaiting",I491)))</f>
        <v/>
      </c>
      <c r="C491" s="60">
        <f>IF(OR(B491="Awaiting",B491="Not sure yet"),IF(AD491&lt;&gt;"",HYPERLINK(AD491,"💬 Remind"),"add mobile"),"")</f>
        <v/>
      </c>
      <c r="D491" s="58" t="n"/>
      <c r="E491" s="10" t="n"/>
      <c r="F491" s="10" t="n"/>
      <c r="G491" s="10" t="n"/>
      <c r="H491" s="10" t="n"/>
      <c r="I491" s="10" t="n"/>
      <c r="J491" s="10" t="n"/>
      <c r="K491" s="10" t="n"/>
      <c r="L491" s="56" t="n"/>
      <c r="M491" s="10" t="n"/>
      <c r="N491" s="12" t="n"/>
      <c r="O491" s="10" t="n"/>
      <c r="P491" s="10" t="n"/>
      <c r="Q491" s="61">
        <f>IF(V491="","",IF(T491="","Covered by "&amp;INDEX('Form Calc'!$B:$B,V491)&amp;"'s reply (same party)","Replied "&amp;TEXT(INDEX('Form Calc'!$A:$A,T491),"mm/dd")&amp;" · "&amp;INDEX('Form Calc'!$H:$H,T491)&amp;" adult(s), "&amp;INDEX('Form Calc'!$I:$I,T491)&amp;" child(ren)"&amp;IF(INDEX('Form Calc'!$K:$K,T491)&lt;&gt;""," · "&amp;INDEX('Form Calc'!$K:$K,T491),"")&amp;IF(INDEX('Form Calc'!$M:$M,T491)&lt;&gt;""," · “"&amp;INDEX('Form Calc'!$M:$M,T491)&amp;"”","")))</f>
        <v/>
      </c>
      <c r="R491" s="32">
        <f>SUBSTITUTE(SUBSTITUTE(SUBSTITUTE(SUBSTITUTE(SUBSTITUTE(SUBSTITUTE(SUBSTITUTE(SUBSTITUTE(D491&amp;""," ",""),"-",""),"(",""),")",""),".",""),"+",""),"/",""),CHAR(160),"")</f>
        <v/>
      </c>
      <c r="S491" s="32">
        <f>IF(LEN(R491)&gt;=10,RIGHT(R491,10),R491)</f>
        <v/>
      </c>
      <c r="T491" s="32">
        <f>IF(TRIM(A491&amp;"")="","",IF(S491&lt;&gt;"",IFERROR(MATCH(S491,'Form Calc'!$P:$P,0),IFERROR(MATCH(TRIM(A491&amp;""),'Form Calc'!$Q:$Q,0),"")),IFERROR(MATCH(TRIM(A491&amp;""),'Form Calc'!$Q:$Q,0),"")))</f>
        <v/>
      </c>
      <c r="U491" s="32">
        <f>IF(AND(T491&lt;&gt;"",TRIM(E491&amp;"")&lt;&gt;""),TRIM(E491&amp;""),"")</f>
        <v/>
      </c>
      <c r="V491" s="32">
        <f>IF(TRIM(A491&amp;"")="","",IF(T491&lt;&gt;"",T491,IF(TRIM(E491&amp;"")="","",IFERROR(INDEX($T$6:$T$505,MATCH(TRIM(E491&amp;""),$U$6:$U$505,0)),""))))</f>
        <v/>
      </c>
      <c r="W491" s="32">
        <f>IF(V491="","",INDEX('Form Calc'!$G:$G,V491))</f>
        <v/>
      </c>
      <c r="X491" s="32">
        <f>IF(TRIM(A491&amp;"")="","",IF(T491&lt;&gt;"",IF(INDEX('Form Calc'!$K:$K,T491)&lt;&gt;"",INDEX('Form Calc'!$K:$K,T491),J491&amp;""),J491&amp;""))</f>
        <v/>
      </c>
      <c r="Y491" s="32">
        <f>IF(TRIM(A491&amp;"")="","",IF(TRIM(D491&amp;"")&lt;&gt;"",TRIM(D491&amp;""),IF(T491&lt;&gt;"",INDEX('Form Calc'!$C:$C,T491)&amp;"","")))</f>
        <v/>
      </c>
      <c r="Z491" s="32">
        <f>SUBSTITUTE(SUBSTITUTE(SUBSTITUTE(SUBSTITUTE(SUBSTITUTE(SUBSTITUTE(SUBSTITUTE(SUBSTITUTE(Y491," ",""),"-",""),"(",""),")",""),".",""),"+",""),"/",""),CHAR(160),"")</f>
        <v/>
      </c>
      <c r="AA491" s="32">
        <f>IF(Z491="","",IF(LEN(Z491)=10,"+1"&amp;Z491,IF(AND(LEN(Z491)=11,LEFT(Z491,1)="1"),"+"&amp;Z491,IF(LEFT(Y491,1)="+","+"&amp;Z491,Z491))))</f>
        <v/>
      </c>
      <c r="AB491" s="32">
        <f>IF(TRIM(A491&amp;"")="","",IF(TRIM(M491&amp;"")&lt;&gt;"",TRIM(M491&amp;""),IFERROR(LEFT(TRIM(A491&amp;""),FIND(" ",TRIM(A491&amp;""))-1),TRIM(A491&amp;""))))</f>
        <v/>
      </c>
      <c r="AC491" s="32">
        <f>SUBSTITUTE(SUBSTITUTE(SUBSTITUTE(SUBSTITUTE(SUBSTITUTE(SUBSTITUTE(SUBSTITUTE(SUBSTITUTE(SUBSTITUTE(SUBSTITUTE(AB491,"%","%25"),"&amp;","%26"),"#","%23"),"+","%2B"),"=","%3D"),"?","%3F"),CHAR(34),"%22"),CHAR(10),"%0A"),CHAR(13),"")," ","+")</f>
        <v/>
      </c>
      <c r="AD491" s="32">
        <f>IF(OR(AA491="",AB491=""),"",'Start Here'!$B$20&amp;"#p="&amp;SUBSTITUTE(AA491,"+","%2B")&amp;"&amp;n="&amp;AC491&amp;"&amp;m="&amp;SUBSTITUTE('Start Here'!$B$24,"{name}",AC491))</f>
        <v/>
      </c>
      <c r="AE491" s="32">
        <f>LEN(AD491)</f>
        <v/>
      </c>
      <c r="AF491" s="32">
        <f>IF(AND(TRIM(A491&amp;"")&lt;&gt;"",OR(B491="Awaiting",B491="Not sure yet")),1,0)</f>
        <v/>
      </c>
      <c r="AG491" s="32">
        <f>N(AG490)+AF491</f>
        <v/>
      </c>
      <c r="AH491" s="32">
        <f>IF(AF491=1,AG491,"")</f>
        <v/>
      </c>
      <c r="AI491" s="32">
        <f>IF(AND(TRIM(A491&amp;"")&lt;&gt;"",L491&amp;""&lt;&gt;"",L491&amp;""=Seating!$I$3&amp;"",B491&lt;&gt;"Declined"),1,0)</f>
        <v/>
      </c>
      <c r="AJ491" s="32">
        <f>N(AJ490)+AI491</f>
        <v/>
      </c>
      <c r="AK491" s="32">
        <f>IF(AI491=1,AJ491,"")</f>
        <v/>
      </c>
    </row>
    <row r="492">
      <c r="A492" s="10" t="n"/>
      <c r="B492" s="47">
        <f>IF(TRIM(A492&amp;"")="","",IF(W492&lt;&gt;"",W492,IF(I492="","Awaiting",I492)))</f>
        <v/>
      </c>
      <c r="C492" s="60">
        <f>IF(OR(B492="Awaiting",B492="Not sure yet"),IF(AD492&lt;&gt;"",HYPERLINK(AD492,"💬 Remind"),"add mobile"),"")</f>
        <v/>
      </c>
      <c r="D492" s="58" t="n"/>
      <c r="E492" s="10" t="n"/>
      <c r="F492" s="10" t="n"/>
      <c r="G492" s="10" t="n"/>
      <c r="H492" s="10" t="n"/>
      <c r="I492" s="10" t="n"/>
      <c r="J492" s="10" t="n"/>
      <c r="K492" s="10" t="n"/>
      <c r="L492" s="56" t="n"/>
      <c r="M492" s="10" t="n"/>
      <c r="N492" s="12" t="n"/>
      <c r="O492" s="10" t="n"/>
      <c r="P492" s="10" t="n"/>
      <c r="Q492" s="61">
        <f>IF(V492="","",IF(T492="","Covered by "&amp;INDEX('Form Calc'!$B:$B,V492)&amp;"'s reply (same party)","Replied "&amp;TEXT(INDEX('Form Calc'!$A:$A,T492),"mm/dd")&amp;" · "&amp;INDEX('Form Calc'!$H:$H,T492)&amp;" adult(s), "&amp;INDEX('Form Calc'!$I:$I,T492)&amp;" child(ren)"&amp;IF(INDEX('Form Calc'!$K:$K,T492)&lt;&gt;""," · "&amp;INDEX('Form Calc'!$K:$K,T492),"")&amp;IF(INDEX('Form Calc'!$M:$M,T492)&lt;&gt;""," · “"&amp;INDEX('Form Calc'!$M:$M,T492)&amp;"”","")))</f>
        <v/>
      </c>
      <c r="R492" s="32">
        <f>SUBSTITUTE(SUBSTITUTE(SUBSTITUTE(SUBSTITUTE(SUBSTITUTE(SUBSTITUTE(SUBSTITUTE(SUBSTITUTE(D492&amp;""," ",""),"-",""),"(",""),")",""),".",""),"+",""),"/",""),CHAR(160),"")</f>
        <v/>
      </c>
      <c r="S492" s="32">
        <f>IF(LEN(R492)&gt;=10,RIGHT(R492,10),R492)</f>
        <v/>
      </c>
      <c r="T492" s="32">
        <f>IF(TRIM(A492&amp;"")="","",IF(S492&lt;&gt;"",IFERROR(MATCH(S492,'Form Calc'!$P:$P,0),IFERROR(MATCH(TRIM(A492&amp;""),'Form Calc'!$Q:$Q,0),"")),IFERROR(MATCH(TRIM(A492&amp;""),'Form Calc'!$Q:$Q,0),"")))</f>
        <v/>
      </c>
      <c r="U492" s="32">
        <f>IF(AND(T492&lt;&gt;"",TRIM(E492&amp;"")&lt;&gt;""),TRIM(E492&amp;""),"")</f>
        <v/>
      </c>
      <c r="V492" s="32">
        <f>IF(TRIM(A492&amp;"")="","",IF(T492&lt;&gt;"",T492,IF(TRIM(E492&amp;"")="","",IFERROR(INDEX($T$6:$T$505,MATCH(TRIM(E492&amp;""),$U$6:$U$505,0)),""))))</f>
        <v/>
      </c>
      <c r="W492" s="32">
        <f>IF(V492="","",INDEX('Form Calc'!$G:$G,V492))</f>
        <v/>
      </c>
      <c r="X492" s="32">
        <f>IF(TRIM(A492&amp;"")="","",IF(T492&lt;&gt;"",IF(INDEX('Form Calc'!$K:$K,T492)&lt;&gt;"",INDEX('Form Calc'!$K:$K,T492),J492&amp;""),J492&amp;""))</f>
        <v/>
      </c>
      <c r="Y492" s="32">
        <f>IF(TRIM(A492&amp;"")="","",IF(TRIM(D492&amp;"")&lt;&gt;"",TRIM(D492&amp;""),IF(T492&lt;&gt;"",INDEX('Form Calc'!$C:$C,T492)&amp;"","")))</f>
        <v/>
      </c>
      <c r="Z492" s="32">
        <f>SUBSTITUTE(SUBSTITUTE(SUBSTITUTE(SUBSTITUTE(SUBSTITUTE(SUBSTITUTE(SUBSTITUTE(SUBSTITUTE(Y492," ",""),"-",""),"(",""),")",""),".",""),"+",""),"/",""),CHAR(160),"")</f>
        <v/>
      </c>
      <c r="AA492" s="32">
        <f>IF(Z492="","",IF(LEN(Z492)=10,"+1"&amp;Z492,IF(AND(LEN(Z492)=11,LEFT(Z492,1)="1"),"+"&amp;Z492,IF(LEFT(Y492,1)="+","+"&amp;Z492,Z492))))</f>
        <v/>
      </c>
      <c r="AB492" s="32">
        <f>IF(TRIM(A492&amp;"")="","",IF(TRIM(M492&amp;"")&lt;&gt;"",TRIM(M492&amp;""),IFERROR(LEFT(TRIM(A492&amp;""),FIND(" ",TRIM(A492&amp;""))-1),TRIM(A492&amp;""))))</f>
        <v/>
      </c>
      <c r="AC492" s="32">
        <f>SUBSTITUTE(SUBSTITUTE(SUBSTITUTE(SUBSTITUTE(SUBSTITUTE(SUBSTITUTE(SUBSTITUTE(SUBSTITUTE(SUBSTITUTE(SUBSTITUTE(AB492,"%","%25"),"&amp;","%26"),"#","%23"),"+","%2B"),"=","%3D"),"?","%3F"),CHAR(34),"%22"),CHAR(10),"%0A"),CHAR(13),"")," ","+")</f>
        <v/>
      </c>
      <c r="AD492" s="32">
        <f>IF(OR(AA492="",AB492=""),"",'Start Here'!$B$20&amp;"#p="&amp;SUBSTITUTE(AA492,"+","%2B")&amp;"&amp;n="&amp;AC492&amp;"&amp;m="&amp;SUBSTITUTE('Start Here'!$B$24,"{name}",AC492))</f>
        <v/>
      </c>
      <c r="AE492" s="32">
        <f>LEN(AD492)</f>
        <v/>
      </c>
      <c r="AF492" s="32">
        <f>IF(AND(TRIM(A492&amp;"")&lt;&gt;"",OR(B492="Awaiting",B492="Not sure yet")),1,0)</f>
        <v/>
      </c>
      <c r="AG492" s="32">
        <f>N(AG491)+AF492</f>
        <v/>
      </c>
      <c r="AH492" s="32">
        <f>IF(AF492=1,AG492,"")</f>
        <v/>
      </c>
      <c r="AI492" s="32">
        <f>IF(AND(TRIM(A492&amp;"")&lt;&gt;"",L492&amp;""&lt;&gt;"",L492&amp;""=Seating!$I$3&amp;"",B492&lt;&gt;"Declined"),1,0)</f>
        <v/>
      </c>
      <c r="AJ492" s="32">
        <f>N(AJ491)+AI492</f>
        <v/>
      </c>
      <c r="AK492" s="32">
        <f>IF(AI492=1,AJ492,"")</f>
        <v/>
      </c>
    </row>
    <row r="493">
      <c r="A493" s="10" t="n"/>
      <c r="B493" s="47">
        <f>IF(TRIM(A493&amp;"")="","",IF(W493&lt;&gt;"",W493,IF(I493="","Awaiting",I493)))</f>
        <v/>
      </c>
      <c r="C493" s="60">
        <f>IF(OR(B493="Awaiting",B493="Not sure yet"),IF(AD493&lt;&gt;"",HYPERLINK(AD493,"💬 Remind"),"add mobile"),"")</f>
        <v/>
      </c>
      <c r="D493" s="58" t="n"/>
      <c r="E493" s="10" t="n"/>
      <c r="F493" s="10" t="n"/>
      <c r="G493" s="10" t="n"/>
      <c r="H493" s="10" t="n"/>
      <c r="I493" s="10" t="n"/>
      <c r="J493" s="10" t="n"/>
      <c r="K493" s="10" t="n"/>
      <c r="L493" s="56" t="n"/>
      <c r="M493" s="10" t="n"/>
      <c r="N493" s="12" t="n"/>
      <c r="O493" s="10" t="n"/>
      <c r="P493" s="10" t="n"/>
      <c r="Q493" s="61">
        <f>IF(V493="","",IF(T493="","Covered by "&amp;INDEX('Form Calc'!$B:$B,V493)&amp;"'s reply (same party)","Replied "&amp;TEXT(INDEX('Form Calc'!$A:$A,T493),"mm/dd")&amp;" · "&amp;INDEX('Form Calc'!$H:$H,T493)&amp;" adult(s), "&amp;INDEX('Form Calc'!$I:$I,T493)&amp;" child(ren)"&amp;IF(INDEX('Form Calc'!$K:$K,T493)&lt;&gt;""," · "&amp;INDEX('Form Calc'!$K:$K,T493),"")&amp;IF(INDEX('Form Calc'!$M:$M,T493)&lt;&gt;""," · “"&amp;INDEX('Form Calc'!$M:$M,T493)&amp;"”","")))</f>
        <v/>
      </c>
      <c r="R493" s="32">
        <f>SUBSTITUTE(SUBSTITUTE(SUBSTITUTE(SUBSTITUTE(SUBSTITUTE(SUBSTITUTE(SUBSTITUTE(SUBSTITUTE(D493&amp;""," ",""),"-",""),"(",""),")",""),".",""),"+",""),"/",""),CHAR(160),"")</f>
        <v/>
      </c>
      <c r="S493" s="32">
        <f>IF(LEN(R493)&gt;=10,RIGHT(R493,10),R493)</f>
        <v/>
      </c>
      <c r="T493" s="32">
        <f>IF(TRIM(A493&amp;"")="","",IF(S493&lt;&gt;"",IFERROR(MATCH(S493,'Form Calc'!$P:$P,0),IFERROR(MATCH(TRIM(A493&amp;""),'Form Calc'!$Q:$Q,0),"")),IFERROR(MATCH(TRIM(A493&amp;""),'Form Calc'!$Q:$Q,0),"")))</f>
        <v/>
      </c>
      <c r="U493" s="32">
        <f>IF(AND(T493&lt;&gt;"",TRIM(E493&amp;"")&lt;&gt;""),TRIM(E493&amp;""),"")</f>
        <v/>
      </c>
      <c r="V493" s="32">
        <f>IF(TRIM(A493&amp;"")="","",IF(T493&lt;&gt;"",T493,IF(TRIM(E493&amp;"")="","",IFERROR(INDEX($T$6:$T$505,MATCH(TRIM(E493&amp;""),$U$6:$U$505,0)),""))))</f>
        <v/>
      </c>
      <c r="W493" s="32">
        <f>IF(V493="","",INDEX('Form Calc'!$G:$G,V493))</f>
        <v/>
      </c>
      <c r="X493" s="32">
        <f>IF(TRIM(A493&amp;"")="","",IF(T493&lt;&gt;"",IF(INDEX('Form Calc'!$K:$K,T493)&lt;&gt;"",INDEX('Form Calc'!$K:$K,T493),J493&amp;""),J493&amp;""))</f>
        <v/>
      </c>
      <c r="Y493" s="32">
        <f>IF(TRIM(A493&amp;"")="","",IF(TRIM(D493&amp;"")&lt;&gt;"",TRIM(D493&amp;""),IF(T493&lt;&gt;"",INDEX('Form Calc'!$C:$C,T493)&amp;"","")))</f>
        <v/>
      </c>
      <c r="Z493" s="32">
        <f>SUBSTITUTE(SUBSTITUTE(SUBSTITUTE(SUBSTITUTE(SUBSTITUTE(SUBSTITUTE(SUBSTITUTE(SUBSTITUTE(Y493," ",""),"-",""),"(",""),")",""),".",""),"+",""),"/",""),CHAR(160),"")</f>
        <v/>
      </c>
      <c r="AA493" s="32">
        <f>IF(Z493="","",IF(LEN(Z493)=10,"+1"&amp;Z493,IF(AND(LEN(Z493)=11,LEFT(Z493,1)="1"),"+"&amp;Z493,IF(LEFT(Y493,1)="+","+"&amp;Z493,Z493))))</f>
        <v/>
      </c>
      <c r="AB493" s="32">
        <f>IF(TRIM(A493&amp;"")="","",IF(TRIM(M493&amp;"")&lt;&gt;"",TRIM(M493&amp;""),IFERROR(LEFT(TRIM(A493&amp;""),FIND(" ",TRIM(A493&amp;""))-1),TRIM(A493&amp;""))))</f>
        <v/>
      </c>
      <c r="AC493" s="32">
        <f>SUBSTITUTE(SUBSTITUTE(SUBSTITUTE(SUBSTITUTE(SUBSTITUTE(SUBSTITUTE(SUBSTITUTE(SUBSTITUTE(SUBSTITUTE(SUBSTITUTE(AB493,"%","%25"),"&amp;","%26"),"#","%23"),"+","%2B"),"=","%3D"),"?","%3F"),CHAR(34),"%22"),CHAR(10),"%0A"),CHAR(13),"")," ","+")</f>
        <v/>
      </c>
      <c r="AD493" s="32">
        <f>IF(OR(AA493="",AB493=""),"",'Start Here'!$B$20&amp;"#p="&amp;SUBSTITUTE(AA493,"+","%2B")&amp;"&amp;n="&amp;AC493&amp;"&amp;m="&amp;SUBSTITUTE('Start Here'!$B$24,"{name}",AC493))</f>
        <v/>
      </c>
      <c r="AE493" s="32">
        <f>LEN(AD493)</f>
        <v/>
      </c>
      <c r="AF493" s="32">
        <f>IF(AND(TRIM(A493&amp;"")&lt;&gt;"",OR(B493="Awaiting",B493="Not sure yet")),1,0)</f>
        <v/>
      </c>
      <c r="AG493" s="32">
        <f>N(AG492)+AF493</f>
        <v/>
      </c>
      <c r="AH493" s="32">
        <f>IF(AF493=1,AG493,"")</f>
        <v/>
      </c>
      <c r="AI493" s="32">
        <f>IF(AND(TRIM(A493&amp;"")&lt;&gt;"",L493&amp;""&lt;&gt;"",L493&amp;""=Seating!$I$3&amp;"",B493&lt;&gt;"Declined"),1,0)</f>
        <v/>
      </c>
      <c r="AJ493" s="32">
        <f>N(AJ492)+AI493</f>
        <v/>
      </c>
      <c r="AK493" s="32">
        <f>IF(AI493=1,AJ493,"")</f>
        <v/>
      </c>
    </row>
    <row r="494">
      <c r="A494" s="10" t="n"/>
      <c r="B494" s="47">
        <f>IF(TRIM(A494&amp;"")="","",IF(W494&lt;&gt;"",W494,IF(I494="","Awaiting",I494)))</f>
        <v/>
      </c>
      <c r="C494" s="60">
        <f>IF(OR(B494="Awaiting",B494="Not sure yet"),IF(AD494&lt;&gt;"",HYPERLINK(AD494,"💬 Remind"),"add mobile"),"")</f>
        <v/>
      </c>
      <c r="D494" s="58" t="n"/>
      <c r="E494" s="10" t="n"/>
      <c r="F494" s="10" t="n"/>
      <c r="G494" s="10" t="n"/>
      <c r="H494" s="10" t="n"/>
      <c r="I494" s="10" t="n"/>
      <c r="J494" s="10" t="n"/>
      <c r="K494" s="10" t="n"/>
      <c r="L494" s="56" t="n"/>
      <c r="M494" s="10" t="n"/>
      <c r="N494" s="12" t="n"/>
      <c r="O494" s="10" t="n"/>
      <c r="P494" s="10" t="n"/>
      <c r="Q494" s="61">
        <f>IF(V494="","",IF(T494="","Covered by "&amp;INDEX('Form Calc'!$B:$B,V494)&amp;"'s reply (same party)","Replied "&amp;TEXT(INDEX('Form Calc'!$A:$A,T494),"mm/dd")&amp;" · "&amp;INDEX('Form Calc'!$H:$H,T494)&amp;" adult(s), "&amp;INDEX('Form Calc'!$I:$I,T494)&amp;" child(ren)"&amp;IF(INDEX('Form Calc'!$K:$K,T494)&lt;&gt;""," · "&amp;INDEX('Form Calc'!$K:$K,T494),"")&amp;IF(INDEX('Form Calc'!$M:$M,T494)&lt;&gt;""," · “"&amp;INDEX('Form Calc'!$M:$M,T494)&amp;"”","")))</f>
        <v/>
      </c>
      <c r="R494" s="32">
        <f>SUBSTITUTE(SUBSTITUTE(SUBSTITUTE(SUBSTITUTE(SUBSTITUTE(SUBSTITUTE(SUBSTITUTE(SUBSTITUTE(D494&amp;""," ",""),"-",""),"(",""),")",""),".",""),"+",""),"/",""),CHAR(160),"")</f>
        <v/>
      </c>
      <c r="S494" s="32">
        <f>IF(LEN(R494)&gt;=10,RIGHT(R494,10),R494)</f>
        <v/>
      </c>
      <c r="T494" s="32">
        <f>IF(TRIM(A494&amp;"")="","",IF(S494&lt;&gt;"",IFERROR(MATCH(S494,'Form Calc'!$P:$P,0),IFERROR(MATCH(TRIM(A494&amp;""),'Form Calc'!$Q:$Q,0),"")),IFERROR(MATCH(TRIM(A494&amp;""),'Form Calc'!$Q:$Q,0),"")))</f>
        <v/>
      </c>
      <c r="U494" s="32">
        <f>IF(AND(T494&lt;&gt;"",TRIM(E494&amp;"")&lt;&gt;""),TRIM(E494&amp;""),"")</f>
        <v/>
      </c>
      <c r="V494" s="32">
        <f>IF(TRIM(A494&amp;"")="","",IF(T494&lt;&gt;"",T494,IF(TRIM(E494&amp;"")="","",IFERROR(INDEX($T$6:$T$505,MATCH(TRIM(E494&amp;""),$U$6:$U$505,0)),""))))</f>
        <v/>
      </c>
      <c r="W494" s="32">
        <f>IF(V494="","",INDEX('Form Calc'!$G:$G,V494))</f>
        <v/>
      </c>
      <c r="X494" s="32">
        <f>IF(TRIM(A494&amp;"")="","",IF(T494&lt;&gt;"",IF(INDEX('Form Calc'!$K:$K,T494)&lt;&gt;"",INDEX('Form Calc'!$K:$K,T494),J494&amp;""),J494&amp;""))</f>
        <v/>
      </c>
      <c r="Y494" s="32">
        <f>IF(TRIM(A494&amp;"")="","",IF(TRIM(D494&amp;"")&lt;&gt;"",TRIM(D494&amp;""),IF(T494&lt;&gt;"",INDEX('Form Calc'!$C:$C,T494)&amp;"","")))</f>
        <v/>
      </c>
      <c r="Z494" s="32">
        <f>SUBSTITUTE(SUBSTITUTE(SUBSTITUTE(SUBSTITUTE(SUBSTITUTE(SUBSTITUTE(SUBSTITUTE(SUBSTITUTE(Y494," ",""),"-",""),"(",""),")",""),".",""),"+",""),"/",""),CHAR(160),"")</f>
        <v/>
      </c>
      <c r="AA494" s="32">
        <f>IF(Z494="","",IF(LEN(Z494)=10,"+1"&amp;Z494,IF(AND(LEN(Z494)=11,LEFT(Z494,1)="1"),"+"&amp;Z494,IF(LEFT(Y494,1)="+","+"&amp;Z494,Z494))))</f>
        <v/>
      </c>
      <c r="AB494" s="32">
        <f>IF(TRIM(A494&amp;"")="","",IF(TRIM(M494&amp;"")&lt;&gt;"",TRIM(M494&amp;""),IFERROR(LEFT(TRIM(A494&amp;""),FIND(" ",TRIM(A494&amp;""))-1),TRIM(A494&amp;""))))</f>
        <v/>
      </c>
      <c r="AC494" s="32">
        <f>SUBSTITUTE(SUBSTITUTE(SUBSTITUTE(SUBSTITUTE(SUBSTITUTE(SUBSTITUTE(SUBSTITUTE(SUBSTITUTE(SUBSTITUTE(SUBSTITUTE(AB494,"%","%25"),"&amp;","%26"),"#","%23"),"+","%2B"),"=","%3D"),"?","%3F"),CHAR(34),"%22"),CHAR(10),"%0A"),CHAR(13),"")," ","+")</f>
        <v/>
      </c>
      <c r="AD494" s="32">
        <f>IF(OR(AA494="",AB494=""),"",'Start Here'!$B$20&amp;"#p="&amp;SUBSTITUTE(AA494,"+","%2B")&amp;"&amp;n="&amp;AC494&amp;"&amp;m="&amp;SUBSTITUTE('Start Here'!$B$24,"{name}",AC494))</f>
        <v/>
      </c>
      <c r="AE494" s="32">
        <f>LEN(AD494)</f>
        <v/>
      </c>
      <c r="AF494" s="32">
        <f>IF(AND(TRIM(A494&amp;"")&lt;&gt;"",OR(B494="Awaiting",B494="Not sure yet")),1,0)</f>
        <v/>
      </c>
      <c r="AG494" s="32">
        <f>N(AG493)+AF494</f>
        <v/>
      </c>
      <c r="AH494" s="32">
        <f>IF(AF494=1,AG494,"")</f>
        <v/>
      </c>
      <c r="AI494" s="32">
        <f>IF(AND(TRIM(A494&amp;"")&lt;&gt;"",L494&amp;""&lt;&gt;"",L494&amp;""=Seating!$I$3&amp;"",B494&lt;&gt;"Declined"),1,0)</f>
        <v/>
      </c>
      <c r="AJ494" s="32">
        <f>N(AJ493)+AI494</f>
        <v/>
      </c>
      <c r="AK494" s="32">
        <f>IF(AI494=1,AJ494,"")</f>
        <v/>
      </c>
    </row>
    <row r="495">
      <c r="A495" s="10" t="n"/>
      <c r="B495" s="47">
        <f>IF(TRIM(A495&amp;"")="","",IF(W495&lt;&gt;"",W495,IF(I495="","Awaiting",I495)))</f>
        <v/>
      </c>
      <c r="C495" s="60">
        <f>IF(OR(B495="Awaiting",B495="Not sure yet"),IF(AD495&lt;&gt;"",HYPERLINK(AD495,"💬 Remind"),"add mobile"),"")</f>
        <v/>
      </c>
      <c r="D495" s="58" t="n"/>
      <c r="E495" s="10" t="n"/>
      <c r="F495" s="10" t="n"/>
      <c r="G495" s="10" t="n"/>
      <c r="H495" s="10" t="n"/>
      <c r="I495" s="10" t="n"/>
      <c r="J495" s="10" t="n"/>
      <c r="K495" s="10" t="n"/>
      <c r="L495" s="56" t="n"/>
      <c r="M495" s="10" t="n"/>
      <c r="N495" s="12" t="n"/>
      <c r="O495" s="10" t="n"/>
      <c r="P495" s="10" t="n"/>
      <c r="Q495" s="61">
        <f>IF(V495="","",IF(T495="","Covered by "&amp;INDEX('Form Calc'!$B:$B,V495)&amp;"'s reply (same party)","Replied "&amp;TEXT(INDEX('Form Calc'!$A:$A,T495),"mm/dd")&amp;" · "&amp;INDEX('Form Calc'!$H:$H,T495)&amp;" adult(s), "&amp;INDEX('Form Calc'!$I:$I,T495)&amp;" child(ren)"&amp;IF(INDEX('Form Calc'!$K:$K,T495)&lt;&gt;""," · "&amp;INDEX('Form Calc'!$K:$K,T495),"")&amp;IF(INDEX('Form Calc'!$M:$M,T495)&lt;&gt;""," · “"&amp;INDEX('Form Calc'!$M:$M,T495)&amp;"”","")))</f>
        <v/>
      </c>
      <c r="R495" s="32">
        <f>SUBSTITUTE(SUBSTITUTE(SUBSTITUTE(SUBSTITUTE(SUBSTITUTE(SUBSTITUTE(SUBSTITUTE(SUBSTITUTE(D495&amp;""," ",""),"-",""),"(",""),")",""),".",""),"+",""),"/",""),CHAR(160),"")</f>
        <v/>
      </c>
      <c r="S495" s="32">
        <f>IF(LEN(R495)&gt;=10,RIGHT(R495,10),R495)</f>
        <v/>
      </c>
      <c r="T495" s="32">
        <f>IF(TRIM(A495&amp;"")="","",IF(S495&lt;&gt;"",IFERROR(MATCH(S495,'Form Calc'!$P:$P,0),IFERROR(MATCH(TRIM(A495&amp;""),'Form Calc'!$Q:$Q,0),"")),IFERROR(MATCH(TRIM(A495&amp;""),'Form Calc'!$Q:$Q,0),"")))</f>
        <v/>
      </c>
      <c r="U495" s="32">
        <f>IF(AND(T495&lt;&gt;"",TRIM(E495&amp;"")&lt;&gt;""),TRIM(E495&amp;""),"")</f>
        <v/>
      </c>
      <c r="V495" s="32">
        <f>IF(TRIM(A495&amp;"")="","",IF(T495&lt;&gt;"",T495,IF(TRIM(E495&amp;"")="","",IFERROR(INDEX($T$6:$T$505,MATCH(TRIM(E495&amp;""),$U$6:$U$505,0)),""))))</f>
        <v/>
      </c>
      <c r="W495" s="32">
        <f>IF(V495="","",INDEX('Form Calc'!$G:$G,V495))</f>
        <v/>
      </c>
      <c r="X495" s="32">
        <f>IF(TRIM(A495&amp;"")="","",IF(T495&lt;&gt;"",IF(INDEX('Form Calc'!$K:$K,T495)&lt;&gt;"",INDEX('Form Calc'!$K:$K,T495),J495&amp;""),J495&amp;""))</f>
        <v/>
      </c>
      <c r="Y495" s="32">
        <f>IF(TRIM(A495&amp;"")="","",IF(TRIM(D495&amp;"")&lt;&gt;"",TRIM(D495&amp;""),IF(T495&lt;&gt;"",INDEX('Form Calc'!$C:$C,T495)&amp;"","")))</f>
        <v/>
      </c>
      <c r="Z495" s="32">
        <f>SUBSTITUTE(SUBSTITUTE(SUBSTITUTE(SUBSTITUTE(SUBSTITUTE(SUBSTITUTE(SUBSTITUTE(SUBSTITUTE(Y495," ",""),"-",""),"(",""),")",""),".",""),"+",""),"/",""),CHAR(160),"")</f>
        <v/>
      </c>
      <c r="AA495" s="32">
        <f>IF(Z495="","",IF(LEN(Z495)=10,"+1"&amp;Z495,IF(AND(LEN(Z495)=11,LEFT(Z495,1)="1"),"+"&amp;Z495,IF(LEFT(Y495,1)="+","+"&amp;Z495,Z495))))</f>
        <v/>
      </c>
      <c r="AB495" s="32">
        <f>IF(TRIM(A495&amp;"")="","",IF(TRIM(M495&amp;"")&lt;&gt;"",TRIM(M495&amp;""),IFERROR(LEFT(TRIM(A495&amp;""),FIND(" ",TRIM(A495&amp;""))-1),TRIM(A495&amp;""))))</f>
        <v/>
      </c>
      <c r="AC495" s="32">
        <f>SUBSTITUTE(SUBSTITUTE(SUBSTITUTE(SUBSTITUTE(SUBSTITUTE(SUBSTITUTE(SUBSTITUTE(SUBSTITUTE(SUBSTITUTE(SUBSTITUTE(AB495,"%","%25"),"&amp;","%26"),"#","%23"),"+","%2B"),"=","%3D"),"?","%3F"),CHAR(34),"%22"),CHAR(10),"%0A"),CHAR(13),"")," ","+")</f>
        <v/>
      </c>
      <c r="AD495" s="32">
        <f>IF(OR(AA495="",AB495=""),"",'Start Here'!$B$20&amp;"#p="&amp;SUBSTITUTE(AA495,"+","%2B")&amp;"&amp;n="&amp;AC495&amp;"&amp;m="&amp;SUBSTITUTE('Start Here'!$B$24,"{name}",AC495))</f>
        <v/>
      </c>
      <c r="AE495" s="32">
        <f>LEN(AD495)</f>
        <v/>
      </c>
      <c r="AF495" s="32">
        <f>IF(AND(TRIM(A495&amp;"")&lt;&gt;"",OR(B495="Awaiting",B495="Not sure yet")),1,0)</f>
        <v/>
      </c>
      <c r="AG495" s="32">
        <f>N(AG494)+AF495</f>
        <v/>
      </c>
      <c r="AH495" s="32">
        <f>IF(AF495=1,AG495,"")</f>
        <v/>
      </c>
      <c r="AI495" s="32">
        <f>IF(AND(TRIM(A495&amp;"")&lt;&gt;"",L495&amp;""&lt;&gt;"",L495&amp;""=Seating!$I$3&amp;"",B495&lt;&gt;"Declined"),1,0)</f>
        <v/>
      </c>
      <c r="AJ495" s="32">
        <f>N(AJ494)+AI495</f>
        <v/>
      </c>
      <c r="AK495" s="32">
        <f>IF(AI495=1,AJ495,"")</f>
        <v/>
      </c>
    </row>
    <row r="496">
      <c r="A496" s="10" t="n"/>
      <c r="B496" s="47">
        <f>IF(TRIM(A496&amp;"")="","",IF(W496&lt;&gt;"",W496,IF(I496="","Awaiting",I496)))</f>
        <v/>
      </c>
      <c r="C496" s="60">
        <f>IF(OR(B496="Awaiting",B496="Not sure yet"),IF(AD496&lt;&gt;"",HYPERLINK(AD496,"💬 Remind"),"add mobile"),"")</f>
        <v/>
      </c>
      <c r="D496" s="58" t="n"/>
      <c r="E496" s="10" t="n"/>
      <c r="F496" s="10" t="n"/>
      <c r="G496" s="10" t="n"/>
      <c r="H496" s="10" t="n"/>
      <c r="I496" s="10" t="n"/>
      <c r="J496" s="10" t="n"/>
      <c r="K496" s="10" t="n"/>
      <c r="L496" s="56" t="n"/>
      <c r="M496" s="10" t="n"/>
      <c r="N496" s="12" t="n"/>
      <c r="O496" s="10" t="n"/>
      <c r="P496" s="10" t="n"/>
      <c r="Q496" s="61">
        <f>IF(V496="","",IF(T496="","Covered by "&amp;INDEX('Form Calc'!$B:$B,V496)&amp;"'s reply (same party)","Replied "&amp;TEXT(INDEX('Form Calc'!$A:$A,T496),"mm/dd")&amp;" · "&amp;INDEX('Form Calc'!$H:$H,T496)&amp;" adult(s), "&amp;INDEX('Form Calc'!$I:$I,T496)&amp;" child(ren)"&amp;IF(INDEX('Form Calc'!$K:$K,T496)&lt;&gt;""," · "&amp;INDEX('Form Calc'!$K:$K,T496),"")&amp;IF(INDEX('Form Calc'!$M:$M,T496)&lt;&gt;""," · “"&amp;INDEX('Form Calc'!$M:$M,T496)&amp;"”","")))</f>
        <v/>
      </c>
      <c r="R496" s="32">
        <f>SUBSTITUTE(SUBSTITUTE(SUBSTITUTE(SUBSTITUTE(SUBSTITUTE(SUBSTITUTE(SUBSTITUTE(SUBSTITUTE(D496&amp;""," ",""),"-",""),"(",""),")",""),".",""),"+",""),"/",""),CHAR(160),"")</f>
        <v/>
      </c>
      <c r="S496" s="32">
        <f>IF(LEN(R496)&gt;=10,RIGHT(R496,10),R496)</f>
        <v/>
      </c>
      <c r="T496" s="32">
        <f>IF(TRIM(A496&amp;"")="","",IF(S496&lt;&gt;"",IFERROR(MATCH(S496,'Form Calc'!$P:$P,0),IFERROR(MATCH(TRIM(A496&amp;""),'Form Calc'!$Q:$Q,0),"")),IFERROR(MATCH(TRIM(A496&amp;""),'Form Calc'!$Q:$Q,0),"")))</f>
        <v/>
      </c>
      <c r="U496" s="32">
        <f>IF(AND(T496&lt;&gt;"",TRIM(E496&amp;"")&lt;&gt;""),TRIM(E496&amp;""),"")</f>
        <v/>
      </c>
      <c r="V496" s="32">
        <f>IF(TRIM(A496&amp;"")="","",IF(T496&lt;&gt;"",T496,IF(TRIM(E496&amp;"")="","",IFERROR(INDEX($T$6:$T$505,MATCH(TRIM(E496&amp;""),$U$6:$U$505,0)),""))))</f>
        <v/>
      </c>
      <c r="W496" s="32">
        <f>IF(V496="","",INDEX('Form Calc'!$G:$G,V496))</f>
        <v/>
      </c>
      <c r="X496" s="32">
        <f>IF(TRIM(A496&amp;"")="","",IF(T496&lt;&gt;"",IF(INDEX('Form Calc'!$K:$K,T496)&lt;&gt;"",INDEX('Form Calc'!$K:$K,T496),J496&amp;""),J496&amp;""))</f>
        <v/>
      </c>
      <c r="Y496" s="32">
        <f>IF(TRIM(A496&amp;"")="","",IF(TRIM(D496&amp;"")&lt;&gt;"",TRIM(D496&amp;""),IF(T496&lt;&gt;"",INDEX('Form Calc'!$C:$C,T496)&amp;"","")))</f>
        <v/>
      </c>
      <c r="Z496" s="32">
        <f>SUBSTITUTE(SUBSTITUTE(SUBSTITUTE(SUBSTITUTE(SUBSTITUTE(SUBSTITUTE(SUBSTITUTE(SUBSTITUTE(Y496," ",""),"-",""),"(",""),")",""),".",""),"+",""),"/",""),CHAR(160),"")</f>
        <v/>
      </c>
      <c r="AA496" s="32">
        <f>IF(Z496="","",IF(LEN(Z496)=10,"+1"&amp;Z496,IF(AND(LEN(Z496)=11,LEFT(Z496,1)="1"),"+"&amp;Z496,IF(LEFT(Y496,1)="+","+"&amp;Z496,Z496))))</f>
        <v/>
      </c>
      <c r="AB496" s="32">
        <f>IF(TRIM(A496&amp;"")="","",IF(TRIM(M496&amp;"")&lt;&gt;"",TRIM(M496&amp;""),IFERROR(LEFT(TRIM(A496&amp;""),FIND(" ",TRIM(A496&amp;""))-1),TRIM(A496&amp;""))))</f>
        <v/>
      </c>
      <c r="AC496" s="32">
        <f>SUBSTITUTE(SUBSTITUTE(SUBSTITUTE(SUBSTITUTE(SUBSTITUTE(SUBSTITUTE(SUBSTITUTE(SUBSTITUTE(SUBSTITUTE(SUBSTITUTE(AB496,"%","%25"),"&amp;","%26"),"#","%23"),"+","%2B"),"=","%3D"),"?","%3F"),CHAR(34),"%22"),CHAR(10),"%0A"),CHAR(13),"")," ","+")</f>
        <v/>
      </c>
      <c r="AD496" s="32">
        <f>IF(OR(AA496="",AB496=""),"",'Start Here'!$B$20&amp;"#p="&amp;SUBSTITUTE(AA496,"+","%2B")&amp;"&amp;n="&amp;AC496&amp;"&amp;m="&amp;SUBSTITUTE('Start Here'!$B$24,"{name}",AC496))</f>
        <v/>
      </c>
      <c r="AE496" s="32">
        <f>LEN(AD496)</f>
        <v/>
      </c>
      <c r="AF496" s="32">
        <f>IF(AND(TRIM(A496&amp;"")&lt;&gt;"",OR(B496="Awaiting",B496="Not sure yet")),1,0)</f>
        <v/>
      </c>
      <c r="AG496" s="32">
        <f>N(AG495)+AF496</f>
        <v/>
      </c>
      <c r="AH496" s="32">
        <f>IF(AF496=1,AG496,"")</f>
        <v/>
      </c>
      <c r="AI496" s="32">
        <f>IF(AND(TRIM(A496&amp;"")&lt;&gt;"",L496&amp;""&lt;&gt;"",L496&amp;""=Seating!$I$3&amp;"",B496&lt;&gt;"Declined"),1,0)</f>
        <v/>
      </c>
      <c r="AJ496" s="32">
        <f>N(AJ495)+AI496</f>
        <v/>
      </c>
      <c r="AK496" s="32">
        <f>IF(AI496=1,AJ496,"")</f>
        <v/>
      </c>
    </row>
    <row r="497">
      <c r="A497" s="10" t="n"/>
      <c r="B497" s="47">
        <f>IF(TRIM(A497&amp;"")="","",IF(W497&lt;&gt;"",W497,IF(I497="","Awaiting",I497)))</f>
        <v/>
      </c>
      <c r="C497" s="60">
        <f>IF(OR(B497="Awaiting",B497="Not sure yet"),IF(AD497&lt;&gt;"",HYPERLINK(AD497,"💬 Remind"),"add mobile"),"")</f>
        <v/>
      </c>
      <c r="D497" s="58" t="n"/>
      <c r="E497" s="10" t="n"/>
      <c r="F497" s="10" t="n"/>
      <c r="G497" s="10" t="n"/>
      <c r="H497" s="10" t="n"/>
      <c r="I497" s="10" t="n"/>
      <c r="J497" s="10" t="n"/>
      <c r="K497" s="10" t="n"/>
      <c r="L497" s="56" t="n"/>
      <c r="M497" s="10" t="n"/>
      <c r="N497" s="12" t="n"/>
      <c r="O497" s="10" t="n"/>
      <c r="P497" s="10" t="n"/>
      <c r="Q497" s="61">
        <f>IF(V497="","",IF(T497="","Covered by "&amp;INDEX('Form Calc'!$B:$B,V497)&amp;"'s reply (same party)","Replied "&amp;TEXT(INDEX('Form Calc'!$A:$A,T497),"mm/dd")&amp;" · "&amp;INDEX('Form Calc'!$H:$H,T497)&amp;" adult(s), "&amp;INDEX('Form Calc'!$I:$I,T497)&amp;" child(ren)"&amp;IF(INDEX('Form Calc'!$K:$K,T497)&lt;&gt;""," · "&amp;INDEX('Form Calc'!$K:$K,T497),"")&amp;IF(INDEX('Form Calc'!$M:$M,T497)&lt;&gt;""," · “"&amp;INDEX('Form Calc'!$M:$M,T497)&amp;"”","")))</f>
        <v/>
      </c>
      <c r="R497" s="32">
        <f>SUBSTITUTE(SUBSTITUTE(SUBSTITUTE(SUBSTITUTE(SUBSTITUTE(SUBSTITUTE(SUBSTITUTE(SUBSTITUTE(D497&amp;""," ",""),"-",""),"(",""),")",""),".",""),"+",""),"/",""),CHAR(160),"")</f>
        <v/>
      </c>
      <c r="S497" s="32">
        <f>IF(LEN(R497)&gt;=10,RIGHT(R497,10),R497)</f>
        <v/>
      </c>
      <c r="T497" s="32">
        <f>IF(TRIM(A497&amp;"")="","",IF(S497&lt;&gt;"",IFERROR(MATCH(S497,'Form Calc'!$P:$P,0),IFERROR(MATCH(TRIM(A497&amp;""),'Form Calc'!$Q:$Q,0),"")),IFERROR(MATCH(TRIM(A497&amp;""),'Form Calc'!$Q:$Q,0),"")))</f>
        <v/>
      </c>
      <c r="U497" s="32">
        <f>IF(AND(T497&lt;&gt;"",TRIM(E497&amp;"")&lt;&gt;""),TRIM(E497&amp;""),"")</f>
        <v/>
      </c>
      <c r="V497" s="32">
        <f>IF(TRIM(A497&amp;"")="","",IF(T497&lt;&gt;"",T497,IF(TRIM(E497&amp;"")="","",IFERROR(INDEX($T$6:$T$505,MATCH(TRIM(E497&amp;""),$U$6:$U$505,0)),""))))</f>
        <v/>
      </c>
      <c r="W497" s="32">
        <f>IF(V497="","",INDEX('Form Calc'!$G:$G,V497))</f>
        <v/>
      </c>
      <c r="X497" s="32">
        <f>IF(TRIM(A497&amp;"")="","",IF(T497&lt;&gt;"",IF(INDEX('Form Calc'!$K:$K,T497)&lt;&gt;"",INDEX('Form Calc'!$K:$K,T497),J497&amp;""),J497&amp;""))</f>
        <v/>
      </c>
      <c r="Y497" s="32">
        <f>IF(TRIM(A497&amp;"")="","",IF(TRIM(D497&amp;"")&lt;&gt;"",TRIM(D497&amp;""),IF(T497&lt;&gt;"",INDEX('Form Calc'!$C:$C,T497)&amp;"","")))</f>
        <v/>
      </c>
      <c r="Z497" s="32">
        <f>SUBSTITUTE(SUBSTITUTE(SUBSTITUTE(SUBSTITUTE(SUBSTITUTE(SUBSTITUTE(SUBSTITUTE(SUBSTITUTE(Y497," ",""),"-",""),"(",""),")",""),".",""),"+",""),"/",""),CHAR(160),"")</f>
        <v/>
      </c>
      <c r="AA497" s="32">
        <f>IF(Z497="","",IF(LEN(Z497)=10,"+1"&amp;Z497,IF(AND(LEN(Z497)=11,LEFT(Z497,1)="1"),"+"&amp;Z497,IF(LEFT(Y497,1)="+","+"&amp;Z497,Z497))))</f>
        <v/>
      </c>
      <c r="AB497" s="32">
        <f>IF(TRIM(A497&amp;"")="","",IF(TRIM(M497&amp;"")&lt;&gt;"",TRIM(M497&amp;""),IFERROR(LEFT(TRIM(A497&amp;""),FIND(" ",TRIM(A497&amp;""))-1),TRIM(A497&amp;""))))</f>
        <v/>
      </c>
      <c r="AC497" s="32">
        <f>SUBSTITUTE(SUBSTITUTE(SUBSTITUTE(SUBSTITUTE(SUBSTITUTE(SUBSTITUTE(SUBSTITUTE(SUBSTITUTE(SUBSTITUTE(SUBSTITUTE(AB497,"%","%25"),"&amp;","%26"),"#","%23"),"+","%2B"),"=","%3D"),"?","%3F"),CHAR(34),"%22"),CHAR(10),"%0A"),CHAR(13),"")," ","+")</f>
        <v/>
      </c>
      <c r="AD497" s="32">
        <f>IF(OR(AA497="",AB497=""),"",'Start Here'!$B$20&amp;"#p="&amp;SUBSTITUTE(AA497,"+","%2B")&amp;"&amp;n="&amp;AC497&amp;"&amp;m="&amp;SUBSTITUTE('Start Here'!$B$24,"{name}",AC497))</f>
        <v/>
      </c>
      <c r="AE497" s="32">
        <f>LEN(AD497)</f>
        <v/>
      </c>
      <c r="AF497" s="32">
        <f>IF(AND(TRIM(A497&amp;"")&lt;&gt;"",OR(B497="Awaiting",B497="Not sure yet")),1,0)</f>
        <v/>
      </c>
      <c r="AG497" s="32">
        <f>N(AG496)+AF497</f>
        <v/>
      </c>
      <c r="AH497" s="32">
        <f>IF(AF497=1,AG497,"")</f>
        <v/>
      </c>
      <c r="AI497" s="32">
        <f>IF(AND(TRIM(A497&amp;"")&lt;&gt;"",L497&amp;""&lt;&gt;"",L497&amp;""=Seating!$I$3&amp;"",B497&lt;&gt;"Declined"),1,0)</f>
        <v/>
      </c>
      <c r="AJ497" s="32">
        <f>N(AJ496)+AI497</f>
        <v/>
      </c>
      <c r="AK497" s="32">
        <f>IF(AI497=1,AJ497,"")</f>
        <v/>
      </c>
    </row>
    <row r="498">
      <c r="A498" s="10" t="n"/>
      <c r="B498" s="47">
        <f>IF(TRIM(A498&amp;"")="","",IF(W498&lt;&gt;"",W498,IF(I498="","Awaiting",I498)))</f>
        <v/>
      </c>
      <c r="C498" s="60">
        <f>IF(OR(B498="Awaiting",B498="Not sure yet"),IF(AD498&lt;&gt;"",HYPERLINK(AD498,"💬 Remind"),"add mobile"),"")</f>
        <v/>
      </c>
      <c r="D498" s="58" t="n"/>
      <c r="E498" s="10" t="n"/>
      <c r="F498" s="10" t="n"/>
      <c r="G498" s="10" t="n"/>
      <c r="H498" s="10" t="n"/>
      <c r="I498" s="10" t="n"/>
      <c r="J498" s="10" t="n"/>
      <c r="K498" s="10" t="n"/>
      <c r="L498" s="56" t="n"/>
      <c r="M498" s="10" t="n"/>
      <c r="N498" s="12" t="n"/>
      <c r="O498" s="10" t="n"/>
      <c r="P498" s="10" t="n"/>
      <c r="Q498" s="61">
        <f>IF(V498="","",IF(T498="","Covered by "&amp;INDEX('Form Calc'!$B:$B,V498)&amp;"'s reply (same party)","Replied "&amp;TEXT(INDEX('Form Calc'!$A:$A,T498),"mm/dd")&amp;" · "&amp;INDEX('Form Calc'!$H:$H,T498)&amp;" adult(s), "&amp;INDEX('Form Calc'!$I:$I,T498)&amp;" child(ren)"&amp;IF(INDEX('Form Calc'!$K:$K,T498)&lt;&gt;""," · "&amp;INDEX('Form Calc'!$K:$K,T498),"")&amp;IF(INDEX('Form Calc'!$M:$M,T498)&lt;&gt;""," · “"&amp;INDEX('Form Calc'!$M:$M,T498)&amp;"”","")))</f>
        <v/>
      </c>
      <c r="R498" s="32">
        <f>SUBSTITUTE(SUBSTITUTE(SUBSTITUTE(SUBSTITUTE(SUBSTITUTE(SUBSTITUTE(SUBSTITUTE(SUBSTITUTE(D498&amp;""," ",""),"-",""),"(",""),")",""),".",""),"+",""),"/",""),CHAR(160),"")</f>
        <v/>
      </c>
      <c r="S498" s="32">
        <f>IF(LEN(R498)&gt;=10,RIGHT(R498,10),R498)</f>
        <v/>
      </c>
      <c r="T498" s="32">
        <f>IF(TRIM(A498&amp;"")="","",IF(S498&lt;&gt;"",IFERROR(MATCH(S498,'Form Calc'!$P:$P,0),IFERROR(MATCH(TRIM(A498&amp;""),'Form Calc'!$Q:$Q,0),"")),IFERROR(MATCH(TRIM(A498&amp;""),'Form Calc'!$Q:$Q,0),"")))</f>
        <v/>
      </c>
      <c r="U498" s="32">
        <f>IF(AND(T498&lt;&gt;"",TRIM(E498&amp;"")&lt;&gt;""),TRIM(E498&amp;""),"")</f>
        <v/>
      </c>
      <c r="V498" s="32">
        <f>IF(TRIM(A498&amp;"")="","",IF(T498&lt;&gt;"",T498,IF(TRIM(E498&amp;"")="","",IFERROR(INDEX($T$6:$T$505,MATCH(TRIM(E498&amp;""),$U$6:$U$505,0)),""))))</f>
        <v/>
      </c>
      <c r="W498" s="32">
        <f>IF(V498="","",INDEX('Form Calc'!$G:$G,V498))</f>
        <v/>
      </c>
      <c r="X498" s="32">
        <f>IF(TRIM(A498&amp;"")="","",IF(T498&lt;&gt;"",IF(INDEX('Form Calc'!$K:$K,T498)&lt;&gt;"",INDEX('Form Calc'!$K:$K,T498),J498&amp;""),J498&amp;""))</f>
        <v/>
      </c>
      <c r="Y498" s="32">
        <f>IF(TRIM(A498&amp;"")="","",IF(TRIM(D498&amp;"")&lt;&gt;"",TRIM(D498&amp;""),IF(T498&lt;&gt;"",INDEX('Form Calc'!$C:$C,T498)&amp;"","")))</f>
        <v/>
      </c>
      <c r="Z498" s="32">
        <f>SUBSTITUTE(SUBSTITUTE(SUBSTITUTE(SUBSTITUTE(SUBSTITUTE(SUBSTITUTE(SUBSTITUTE(SUBSTITUTE(Y498," ",""),"-",""),"(",""),")",""),".",""),"+",""),"/",""),CHAR(160),"")</f>
        <v/>
      </c>
      <c r="AA498" s="32">
        <f>IF(Z498="","",IF(LEN(Z498)=10,"+1"&amp;Z498,IF(AND(LEN(Z498)=11,LEFT(Z498,1)="1"),"+"&amp;Z498,IF(LEFT(Y498,1)="+","+"&amp;Z498,Z498))))</f>
        <v/>
      </c>
      <c r="AB498" s="32">
        <f>IF(TRIM(A498&amp;"")="","",IF(TRIM(M498&amp;"")&lt;&gt;"",TRIM(M498&amp;""),IFERROR(LEFT(TRIM(A498&amp;""),FIND(" ",TRIM(A498&amp;""))-1),TRIM(A498&amp;""))))</f>
        <v/>
      </c>
      <c r="AC498" s="32">
        <f>SUBSTITUTE(SUBSTITUTE(SUBSTITUTE(SUBSTITUTE(SUBSTITUTE(SUBSTITUTE(SUBSTITUTE(SUBSTITUTE(SUBSTITUTE(SUBSTITUTE(AB498,"%","%25"),"&amp;","%26"),"#","%23"),"+","%2B"),"=","%3D"),"?","%3F"),CHAR(34),"%22"),CHAR(10),"%0A"),CHAR(13),"")," ","+")</f>
        <v/>
      </c>
      <c r="AD498" s="32">
        <f>IF(OR(AA498="",AB498=""),"",'Start Here'!$B$20&amp;"#p="&amp;SUBSTITUTE(AA498,"+","%2B")&amp;"&amp;n="&amp;AC498&amp;"&amp;m="&amp;SUBSTITUTE('Start Here'!$B$24,"{name}",AC498))</f>
        <v/>
      </c>
      <c r="AE498" s="32">
        <f>LEN(AD498)</f>
        <v/>
      </c>
      <c r="AF498" s="32">
        <f>IF(AND(TRIM(A498&amp;"")&lt;&gt;"",OR(B498="Awaiting",B498="Not sure yet")),1,0)</f>
        <v/>
      </c>
      <c r="AG498" s="32">
        <f>N(AG497)+AF498</f>
        <v/>
      </c>
      <c r="AH498" s="32">
        <f>IF(AF498=1,AG498,"")</f>
        <v/>
      </c>
      <c r="AI498" s="32">
        <f>IF(AND(TRIM(A498&amp;"")&lt;&gt;"",L498&amp;""&lt;&gt;"",L498&amp;""=Seating!$I$3&amp;"",B498&lt;&gt;"Declined"),1,0)</f>
        <v/>
      </c>
      <c r="AJ498" s="32">
        <f>N(AJ497)+AI498</f>
        <v/>
      </c>
      <c r="AK498" s="32">
        <f>IF(AI498=1,AJ498,"")</f>
        <v/>
      </c>
    </row>
    <row r="499">
      <c r="A499" s="10" t="n"/>
      <c r="B499" s="47">
        <f>IF(TRIM(A499&amp;"")="","",IF(W499&lt;&gt;"",W499,IF(I499="","Awaiting",I499)))</f>
        <v/>
      </c>
      <c r="C499" s="60">
        <f>IF(OR(B499="Awaiting",B499="Not sure yet"),IF(AD499&lt;&gt;"",HYPERLINK(AD499,"💬 Remind"),"add mobile"),"")</f>
        <v/>
      </c>
      <c r="D499" s="58" t="n"/>
      <c r="E499" s="10" t="n"/>
      <c r="F499" s="10" t="n"/>
      <c r="G499" s="10" t="n"/>
      <c r="H499" s="10" t="n"/>
      <c r="I499" s="10" t="n"/>
      <c r="J499" s="10" t="n"/>
      <c r="K499" s="10" t="n"/>
      <c r="L499" s="56" t="n"/>
      <c r="M499" s="10" t="n"/>
      <c r="N499" s="12" t="n"/>
      <c r="O499" s="10" t="n"/>
      <c r="P499" s="10" t="n"/>
      <c r="Q499" s="61">
        <f>IF(V499="","",IF(T499="","Covered by "&amp;INDEX('Form Calc'!$B:$B,V499)&amp;"'s reply (same party)","Replied "&amp;TEXT(INDEX('Form Calc'!$A:$A,T499),"mm/dd")&amp;" · "&amp;INDEX('Form Calc'!$H:$H,T499)&amp;" adult(s), "&amp;INDEX('Form Calc'!$I:$I,T499)&amp;" child(ren)"&amp;IF(INDEX('Form Calc'!$K:$K,T499)&lt;&gt;""," · "&amp;INDEX('Form Calc'!$K:$K,T499),"")&amp;IF(INDEX('Form Calc'!$M:$M,T499)&lt;&gt;""," · “"&amp;INDEX('Form Calc'!$M:$M,T499)&amp;"”","")))</f>
        <v/>
      </c>
      <c r="R499" s="32">
        <f>SUBSTITUTE(SUBSTITUTE(SUBSTITUTE(SUBSTITUTE(SUBSTITUTE(SUBSTITUTE(SUBSTITUTE(SUBSTITUTE(D499&amp;""," ",""),"-",""),"(",""),")",""),".",""),"+",""),"/",""),CHAR(160),"")</f>
        <v/>
      </c>
      <c r="S499" s="32">
        <f>IF(LEN(R499)&gt;=10,RIGHT(R499,10),R499)</f>
        <v/>
      </c>
      <c r="T499" s="32">
        <f>IF(TRIM(A499&amp;"")="","",IF(S499&lt;&gt;"",IFERROR(MATCH(S499,'Form Calc'!$P:$P,0),IFERROR(MATCH(TRIM(A499&amp;""),'Form Calc'!$Q:$Q,0),"")),IFERROR(MATCH(TRIM(A499&amp;""),'Form Calc'!$Q:$Q,0),"")))</f>
        <v/>
      </c>
      <c r="U499" s="32">
        <f>IF(AND(T499&lt;&gt;"",TRIM(E499&amp;"")&lt;&gt;""),TRIM(E499&amp;""),"")</f>
        <v/>
      </c>
      <c r="V499" s="32">
        <f>IF(TRIM(A499&amp;"")="","",IF(T499&lt;&gt;"",T499,IF(TRIM(E499&amp;"")="","",IFERROR(INDEX($T$6:$T$505,MATCH(TRIM(E499&amp;""),$U$6:$U$505,0)),""))))</f>
        <v/>
      </c>
      <c r="W499" s="32">
        <f>IF(V499="","",INDEX('Form Calc'!$G:$G,V499))</f>
        <v/>
      </c>
      <c r="X499" s="32">
        <f>IF(TRIM(A499&amp;"")="","",IF(T499&lt;&gt;"",IF(INDEX('Form Calc'!$K:$K,T499)&lt;&gt;"",INDEX('Form Calc'!$K:$K,T499),J499&amp;""),J499&amp;""))</f>
        <v/>
      </c>
      <c r="Y499" s="32">
        <f>IF(TRIM(A499&amp;"")="","",IF(TRIM(D499&amp;"")&lt;&gt;"",TRIM(D499&amp;""),IF(T499&lt;&gt;"",INDEX('Form Calc'!$C:$C,T499)&amp;"","")))</f>
        <v/>
      </c>
      <c r="Z499" s="32">
        <f>SUBSTITUTE(SUBSTITUTE(SUBSTITUTE(SUBSTITUTE(SUBSTITUTE(SUBSTITUTE(SUBSTITUTE(SUBSTITUTE(Y499," ",""),"-",""),"(",""),")",""),".",""),"+",""),"/",""),CHAR(160),"")</f>
        <v/>
      </c>
      <c r="AA499" s="32">
        <f>IF(Z499="","",IF(LEN(Z499)=10,"+1"&amp;Z499,IF(AND(LEN(Z499)=11,LEFT(Z499,1)="1"),"+"&amp;Z499,IF(LEFT(Y499,1)="+","+"&amp;Z499,Z499))))</f>
        <v/>
      </c>
      <c r="AB499" s="32">
        <f>IF(TRIM(A499&amp;"")="","",IF(TRIM(M499&amp;"")&lt;&gt;"",TRIM(M499&amp;""),IFERROR(LEFT(TRIM(A499&amp;""),FIND(" ",TRIM(A499&amp;""))-1),TRIM(A499&amp;""))))</f>
        <v/>
      </c>
      <c r="AC499" s="32">
        <f>SUBSTITUTE(SUBSTITUTE(SUBSTITUTE(SUBSTITUTE(SUBSTITUTE(SUBSTITUTE(SUBSTITUTE(SUBSTITUTE(SUBSTITUTE(SUBSTITUTE(AB499,"%","%25"),"&amp;","%26"),"#","%23"),"+","%2B"),"=","%3D"),"?","%3F"),CHAR(34),"%22"),CHAR(10),"%0A"),CHAR(13),"")," ","+")</f>
        <v/>
      </c>
      <c r="AD499" s="32">
        <f>IF(OR(AA499="",AB499=""),"",'Start Here'!$B$20&amp;"#p="&amp;SUBSTITUTE(AA499,"+","%2B")&amp;"&amp;n="&amp;AC499&amp;"&amp;m="&amp;SUBSTITUTE('Start Here'!$B$24,"{name}",AC499))</f>
        <v/>
      </c>
      <c r="AE499" s="32">
        <f>LEN(AD499)</f>
        <v/>
      </c>
      <c r="AF499" s="32">
        <f>IF(AND(TRIM(A499&amp;"")&lt;&gt;"",OR(B499="Awaiting",B499="Not sure yet")),1,0)</f>
        <v/>
      </c>
      <c r="AG499" s="32">
        <f>N(AG498)+AF499</f>
        <v/>
      </c>
      <c r="AH499" s="32">
        <f>IF(AF499=1,AG499,"")</f>
        <v/>
      </c>
      <c r="AI499" s="32">
        <f>IF(AND(TRIM(A499&amp;"")&lt;&gt;"",L499&amp;""&lt;&gt;"",L499&amp;""=Seating!$I$3&amp;"",B499&lt;&gt;"Declined"),1,0)</f>
        <v/>
      </c>
      <c r="AJ499" s="32">
        <f>N(AJ498)+AI499</f>
        <v/>
      </c>
      <c r="AK499" s="32">
        <f>IF(AI499=1,AJ499,"")</f>
        <v/>
      </c>
    </row>
    <row r="500">
      <c r="A500" s="10" t="n"/>
      <c r="B500" s="47">
        <f>IF(TRIM(A500&amp;"")="","",IF(W500&lt;&gt;"",W500,IF(I500="","Awaiting",I500)))</f>
        <v/>
      </c>
      <c r="C500" s="60">
        <f>IF(OR(B500="Awaiting",B500="Not sure yet"),IF(AD500&lt;&gt;"",HYPERLINK(AD500,"💬 Remind"),"add mobile"),"")</f>
        <v/>
      </c>
      <c r="D500" s="58" t="n"/>
      <c r="E500" s="10" t="n"/>
      <c r="F500" s="10" t="n"/>
      <c r="G500" s="10" t="n"/>
      <c r="H500" s="10" t="n"/>
      <c r="I500" s="10" t="n"/>
      <c r="J500" s="10" t="n"/>
      <c r="K500" s="10" t="n"/>
      <c r="L500" s="56" t="n"/>
      <c r="M500" s="10" t="n"/>
      <c r="N500" s="12" t="n"/>
      <c r="O500" s="10" t="n"/>
      <c r="P500" s="10" t="n"/>
      <c r="Q500" s="61">
        <f>IF(V500="","",IF(T500="","Covered by "&amp;INDEX('Form Calc'!$B:$B,V500)&amp;"'s reply (same party)","Replied "&amp;TEXT(INDEX('Form Calc'!$A:$A,T500),"mm/dd")&amp;" · "&amp;INDEX('Form Calc'!$H:$H,T500)&amp;" adult(s), "&amp;INDEX('Form Calc'!$I:$I,T500)&amp;" child(ren)"&amp;IF(INDEX('Form Calc'!$K:$K,T500)&lt;&gt;""," · "&amp;INDEX('Form Calc'!$K:$K,T500),"")&amp;IF(INDEX('Form Calc'!$M:$M,T500)&lt;&gt;""," · “"&amp;INDEX('Form Calc'!$M:$M,T500)&amp;"”","")))</f>
        <v/>
      </c>
      <c r="R500" s="32">
        <f>SUBSTITUTE(SUBSTITUTE(SUBSTITUTE(SUBSTITUTE(SUBSTITUTE(SUBSTITUTE(SUBSTITUTE(SUBSTITUTE(D500&amp;""," ",""),"-",""),"(",""),")",""),".",""),"+",""),"/",""),CHAR(160),"")</f>
        <v/>
      </c>
      <c r="S500" s="32">
        <f>IF(LEN(R500)&gt;=10,RIGHT(R500,10),R500)</f>
        <v/>
      </c>
      <c r="T500" s="32">
        <f>IF(TRIM(A500&amp;"")="","",IF(S500&lt;&gt;"",IFERROR(MATCH(S500,'Form Calc'!$P:$P,0),IFERROR(MATCH(TRIM(A500&amp;""),'Form Calc'!$Q:$Q,0),"")),IFERROR(MATCH(TRIM(A500&amp;""),'Form Calc'!$Q:$Q,0),"")))</f>
        <v/>
      </c>
      <c r="U500" s="32">
        <f>IF(AND(T500&lt;&gt;"",TRIM(E500&amp;"")&lt;&gt;""),TRIM(E500&amp;""),"")</f>
        <v/>
      </c>
      <c r="V500" s="32">
        <f>IF(TRIM(A500&amp;"")="","",IF(T500&lt;&gt;"",T500,IF(TRIM(E500&amp;"")="","",IFERROR(INDEX($T$6:$T$505,MATCH(TRIM(E500&amp;""),$U$6:$U$505,0)),""))))</f>
        <v/>
      </c>
      <c r="W500" s="32">
        <f>IF(V500="","",INDEX('Form Calc'!$G:$G,V500))</f>
        <v/>
      </c>
      <c r="X500" s="32">
        <f>IF(TRIM(A500&amp;"")="","",IF(T500&lt;&gt;"",IF(INDEX('Form Calc'!$K:$K,T500)&lt;&gt;"",INDEX('Form Calc'!$K:$K,T500),J500&amp;""),J500&amp;""))</f>
        <v/>
      </c>
      <c r="Y500" s="32">
        <f>IF(TRIM(A500&amp;"")="","",IF(TRIM(D500&amp;"")&lt;&gt;"",TRIM(D500&amp;""),IF(T500&lt;&gt;"",INDEX('Form Calc'!$C:$C,T500)&amp;"","")))</f>
        <v/>
      </c>
      <c r="Z500" s="32">
        <f>SUBSTITUTE(SUBSTITUTE(SUBSTITUTE(SUBSTITUTE(SUBSTITUTE(SUBSTITUTE(SUBSTITUTE(SUBSTITUTE(Y500," ",""),"-",""),"(",""),")",""),".",""),"+",""),"/",""),CHAR(160),"")</f>
        <v/>
      </c>
      <c r="AA500" s="32">
        <f>IF(Z500="","",IF(LEN(Z500)=10,"+1"&amp;Z500,IF(AND(LEN(Z500)=11,LEFT(Z500,1)="1"),"+"&amp;Z500,IF(LEFT(Y500,1)="+","+"&amp;Z500,Z500))))</f>
        <v/>
      </c>
      <c r="AB500" s="32">
        <f>IF(TRIM(A500&amp;"")="","",IF(TRIM(M500&amp;"")&lt;&gt;"",TRIM(M500&amp;""),IFERROR(LEFT(TRIM(A500&amp;""),FIND(" ",TRIM(A500&amp;""))-1),TRIM(A500&amp;""))))</f>
        <v/>
      </c>
      <c r="AC500" s="32">
        <f>SUBSTITUTE(SUBSTITUTE(SUBSTITUTE(SUBSTITUTE(SUBSTITUTE(SUBSTITUTE(SUBSTITUTE(SUBSTITUTE(SUBSTITUTE(SUBSTITUTE(AB500,"%","%25"),"&amp;","%26"),"#","%23"),"+","%2B"),"=","%3D"),"?","%3F"),CHAR(34),"%22"),CHAR(10),"%0A"),CHAR(13),"")," ","+")</f>
        <v/>
      </c>
      <c r="AD500" s="32">
        <f>IF(OR(AA500="",AB500=""),"",'Start Here'!$B$20&amp;"#p="&amp;SUBSTITUTE(AA500,"+","%2B")&amp;"&amp;n="&amp;AC500&amp;"&amp;m="&amp;SUBSTITUTE('Start Here'!$B$24,"{name}",AC500))</f>
        <v/>
      </c>
      <c r="AE500" s="32">
        <f>LEN(AD500)</f>
        <v/>
      </c>
      <c r="AF500" s="32">
        <f>IF(AND(TRIM(A500&amp;"")&lt;&gt;"",OR(B500="Awaiting",B500="Not sure yet")),1,0)</f>
        <v/>
      </c>
      <c r="AG500" s="32">
        <f>N(AG499)+AF500</f>
        <v/>
      </c>
      <c r="AH500" s="32">
        <f>IF(AF500=1,AG500,"")</f>
        <v/>
      </c>
      <c r="AI500" s="32">
        <f>IF(AND(TRIM(A500&amp;"")&lt;&gt;"",L500&amp;""&lt;&gt;"",L500&amp;""=Seating!$I$3&amp;"",B500&lt;&gt;"Declined"),1,0)</f>
        <v/>
      </c>
      <c r="AJ500" s="32">
        <f>N(AJ499)+AI500</f>
        <v/>
      </c>
      <c r="AK500" s="32">
        <f>IF(AI500=1,AJ500,"")</f>
        <v/>
      </c>
    </row>
    <row r="501">
      <c r="A501" s="10" t="n"/>
      <c r="B501" s="47">
        <f>IF(TRIM(A501&amp;"")="","",IF(W501&lt;&gt;"",W501,IF(I501="","Awaiting",I501)))</f>
        <v/>
      </c>
      <c r="C501" s="60">
        <f>IF(OR(B501="Awaiting",B501="Not sure yet"),IF(AD501&lt;&gt;"",HYPERLINK(AD501,"💬 Remind"),"add mobile"),"")</f>
        <v/>
      </c>
      <c r="D501" s="58" t="n"/>
      <c r="E501" s="10" t="n"/>
      <c r="F501" s="10" t="n"/>
      <c r="G501" s="10" t="n"/>
      <c r="H501" s="10" t="n"/>
      <c r="I501" s="10" t="n"/>
      <c r="J501" s="10" t="n"/>
      <c r="K501" s="10" t="n"/>
      <c r="L501" s="56" t="n"/>
      <c r="M501" s="10" t="n"/>
      <c r="N501" s="12" t="n"/>
      <c r="O501" s="10" t="n"/>
      <c r="P501" s="10" t="n"/>
      <c r="Q501" s="61">
        <f>IF(V501="","",IF(T501="","Covered by "&amp;INDEX('Form Calc'!$B:$B,V501)&amp;"'s reply (same party)","Replied "&amp;TEXT(INDEX('Form Calc'!$A:$A,T501),"mm/dd")&amp;" · "&amp;INDEX('Form Calc'!$H:$H,T501)&amp;" adult(s), "&amp;INDEX('Form Calc'!$I:$I,T501)&amp;" child(ren)"&amp;IF(INDEX('Form Calc'!$K:$K,T501)&lt;&gt;""," · "&amp;INDEX('Form Calc'!$K:$K,T501),"")&amp;IF(INDEX('Form Calc'!$M:$M,T501)&lt;&gt;""," · “"&amp;INDEX('Form Calc'!$M:$M,T501)&amp;"”","")))</f>
        <v/>
      </c>
      <c r="R501" s="32">
        <f>SUBSTITUTE(SUBSTITUTE(SUBSTITUTE(SUBSTITUTE(SUBSTITUTE(SUBSTITUTE(SUBSTITUTE(SUBSTITUTE(D501&amp;""," ",""),"-",""),"(",""),")",""),".",""),"+",""),"/",""),CHAR(160),"")</f>
        <v/>
      </c>
      <c r="S501" s="32">
        <f>IF(LEN(R501)&gt;=10,RIGHT(R501,10),R501)</f>
        <v/>
      </c>
      <c r="T501" s="32">
        <f>IF(TRIM(A501&amp;"")="","",IF(S501&lt;&gt;"",IFERROR(MATCH(S501,'Form Calc'!$P:$P,0),IFERROR(MATCH(TRIM(A501&amp;""),'Form Calc'!$Q:$Q,0),"")),IFERROR(MATCH(TRIM(A501&amp;""),'Form Calc'!$Q:$Q,0),"")))</f>
        <v/>
      </c>
      <c r="U501" s="32">
        <f>IF(AND(T501&lt;&gt;"",TRIM(E501&amp;"")&lt;&gt;""),TRIM(E501&amp;""),"")</f>
        <v/>
      </c>
      <c r="V501" s="32">
        <f>IF(TRIM(A501&amp;"")="","",IF(T501&lt;&gt;"",T501,IF(TRIM(E501&amp;"")="","",IFERROR(INDEX($T$6:$T$505,MATCH(TRIM(E501&amp;""),$U$6:$U$505,0)),""))))</f>
        <v/>
      </c>
      <c r="W501" s="32">
        <f>IF(V501="","",INDEX('Form Calc'!$G:$G,V501))</f>
        <v/>
      </c>
      <c r="X501" s="32">
        <f>IF(TRIM(A501&amp;"")="","",IF(T501&lt;&gt;"",IF(INDEX('Form Calc'!$K:$K,T501)&lt;&gt;"",INDEX('Form Calc'!$K:$K,T501),J501&amp;""),J501&amp;""))</f>
        <v/>
      </c>
      <c r="Y501" s="32">
        <f>IF(TRIM(A501&amp;"")="","",IF(TRIM(D501&amp;"")&lt;&gt;"",TRIM(D501&amp;""),IF(T501&lt;&gt;"",INDEX('Form Calc'!$C:$C,T501)&amp;"","")))</f>
        <v/>
      </c>
      <c r="Z501" s="32">
        <f>SUBSTITUTE(SUBSTITUTE(SUBSTITUTE(SUBSTITUTE(SUBSTITUTE(SUBSTITUTE(SUBSTITUTE(SUBSTITUTE(Y501," ",""),"-",""),"(",""),")",""),".",""),"+",""),"/",""),CHAR(160),"")</f>
        <v/>
      </c>
      <c r="AA501" s="32">
        <f>IF(Z501="","",IF(LEN(Z501)=10,"+1"&amp;Z501,IF(AND(LEN(Z501)=11,LEFT(Z501,1)="1"),"+"&amp;Z501,IF(LEFT(Y501,1)="+","+"&amp;Z501,Z501))))</f>
        <v/>
      </c>
      <c r="AB501" s="32">
        <f>IF(TRIM(A501&amp;"")="","",IF(TRIM(M501&amp;"")&lt;&gt;"",TRIM(M501&amp;""),IFERROR(LEFT(TRIM(A501&amp;""),FIND(" ",TRIM(A501&amp;""))-1),TRIM(A501&amp;""))))</f>
        <v/>
      </c>
      <c r="AC501" s="32">
        <f>SUBSTITUTE(SUBSTITUTE(SUBSTITUTE(SUBSTITUTE(SUBSTITUTE(SUBSTITUTE(SUBSTITUTE(SUBSTITUTE(SUBSTITUTE(SUBSTITUTE(AB501,"%","%25"),"&amp;","%26"),"#","%23"),"+","%2B"),"=","%3D"),"?","%3F"),CHAR(34),"%22"),CHAR(10),"%0A"),CHAR(13),"")," ","+")</f>
        <v/>
      </c>
      <c r="AD501" s="32">
        <f>IF(OR(AA501="",AB501=""),"",'Start Here'!$B$20&amp;"#p="&amp;SUBSTITUTE(AA501,"+","%2B")&amp;"&amp;n="&amp;AC501&amp;"&amp;m="&amp;SUBSTITUTE('Start Here'!$B$24,"{name}",AC501))</f>
        <v/>
      </c>
      <c r="AE501" s="32">
        <f>LEN(AD501)</f>
        <v/>
      </c>
      <c r="AF501" s="32">
        <f>IF(AND(TRIM(A501&amp;"")&lt;&gt;"",OR(B501="Awaiting",B501="Not sure yet")),1,0)</f>
        <v/>
      </c>
      <c r="AG501" s="32">
        <f>N(AG500)+AF501</f>
        <v/>
      </c>
      <c r="AH501" s="32">
        <f>IF(AF501=1,AG501,"")</f>
        <v/>
      </c>
      <c r="AI501" s="32">
        <f>IF(AND(TRIM(A501&amp;"")&lt;&gt;"",L501&amp;""&lt;&gt;"",L501&amp;""=Seating!$I$3&amp;"",B501&lt;&gt;"Declined"),1,0)</f>
        <v/>
      </c>
      <c r="AJ501" s="32">
        <f>N(AJ500)+AI501</f>
        <v/>
      </c>
      <c r="AK501" s="32">
        <f>IF(AI501=1,AJ501,"")</f>
        <v/>
      </c>
    </row>
    <row r="502">
      <c r="A502" s="10" t="n"/>
      <c r="B502" s="47">
        <f>IF(TRIM(A502&amp;"")="","",IF(W502&lt;&gt;"",W502,IF(I502="","Awaiting",I502)))</f>
        <v/>
      </c>
      <c r="C502" s="60">
        <f>IF(OR(B502="Awaiting",B502="Not sure yet"),IF(AD502&lt;&gt;"",HYPERLINK(AD502,"💬 Remind"),"add mobile"),"")</f>
        <v/>
      </c>
      <c r="D502" s="58" t="n"/>
      <c r="E502" s="10" t="n"/>
      <c r="F502" s="10" t="n"/>
      <c r="G502" s="10" t="n"/>
      <c r="H502" s="10" t="n"/>
      <c r="I502" s="10" t="n"/>
      <c r="J502" s="10" t="n"/>
      <c r="K502" s="10" t="n"/>
      <c r="L502" s="56" t="n"/>
      <c r="M502" s="10" t="n"/>
      <c r="N502" s="12" t="n"/>
      <c r="O502" s="10" t="n"/>
      <c r="P502" s="10" t="n"/>
      <c r="Q502" s="61">
        <f>IF(V502="","",IF(T502="","Covered by "&amp;INDEX('Form Calc'!$B:$B,V502)&amp;"'s reply (same party)","Replied "&amp;TEXT(INDEX('Form Calc'!$A:$A,T502),"mm/dd")&amp;" · "&amp;INDEX('Form Calc'!$H:$H,T502)&amp;" adult(s), "&amp;INDEX('Form Calc'!$I:$I,T502)&amp;" child(ren)"&amp;IF(INDEX('Form Calc'!$K:$K,T502)&lt;&gt;""," · "&amp;INDEX('Form Calc'!$K:$K,T502),"")&amp;IF(INDEX('Form Calc'!$M:$M,T502)&lt;&gt;""," · “"&amp;INDEX('Form Calc'!$M:$M,T502)&amp;"”","")))</f>
        <v/>
      </c>
      <c r="R502" s="32">
        <f>SUBSTITUTE(SUBSTITUTE(SUBSTITUTE(SUBSTITUTE(SUBSTITUTE(SUBSTITUTE(SUBSTITUTE(SUBSTITUTE(D502&amp;""," ",""),"-",""),"(",""),")",""),".",""),"+",""),"/",""),CHAR(160),"")</f>
        <v/>
      </c>
      <c r="S502" s="32">
        <f>IF(LEN(R502)&gt;=10,RIGHT(R502,10),R502)</f>
        <v/>
      </c>
      <c r="T502" s="32">
        <f>IF(TRIM(A502&amp;"")="","",IF(S502&lt;&gt;"",IFERROR(MATCH(S502,'Form Calc'!$P:$P,0),IFERROR(MATCH(TRIM(A502&amp;""),'Form Calc'!$Q:$Q,0),"")),IFERROR(MATCH(TRIM(A502&amp;""),'Form Calc'!$Q:$Q,0),"")))</f>
        <v/>
      </c>
      <c r="U502" s="32">
        <f>IF(AND(T502&lt;&gt;"",TRIM(E502&amp;"")&lt;&gt;""),TRIM(E502&amp;""),"")</f>
        <v/>
      </c>
      <c r="V502" s="32">
        <f>IF(TRIM(A502&amp;"")="","",IF(T502&lt;&gt;"",T502,IF(TRIM(E502&amp;"")="","",IFERROR(INDEX($T$6:$T$505,MATCH(TRIM(E502&amp;""),$U$6:$U$505,0)),""))))</f>
        <v/>
      </c>
      <c r="W502" s="32">
        <f>IF(V502="","",INDEX('Form Calc'!$G:$G,V502))</f>
        <v/>
      </c>
      <c r="X502" s="32">
        <f>IF(TRIM(A502&amp;"")="","",IF(T502&lt;&gt;"",IF(INDEX('Form Calc'!$K:$K,T502)&lt;&gt;"",INDEX('Form Calc'!$K:$K,T502),J502&amp;""),J502&amp;""))</f>
        <v/>
      </c>
      <c r="Y502" s="32">
        <f>IF(TRIM(A502&amp;"")="","",IF(TRIM(D502&amp;"")&lt;&gt;"",TRIM(D502&amp;""),IF(T502&lt;&gt;"",INDEX('Form Calc'!$C:$C,T502)&amp;"","")))</f>
        <v/>
      </c>
      <c r="Z502" s="32">
        <f>SUBSTITUTE(SUBSTITUTE(SUBSTITUTE(SUBSTITUTE(SUBSTITUTE(SUBSTITUTE(SUBSTITUTE(SUBSTITUTE(Y502," ",""),"-",""),"(",""),")",""),".",""),"+",""),"/",""),CHAR(160),"")</f>
        <v/>
      </c>
      <c r="AA502" s="32">
        <f>IF(Z502="","",IF(LEN(Z502)=10,"+1"&amp;Z502,IF(AND(LEN(Z502)=11,LEFT(Z502,1)="1"),"+"&amp;Z502,IF(LEFT(Y502,1)="+","+"&amp;Z502,Z502))))</f>
        <v/>
      </c>
      <c r="AB502" s="32">
        <f>IF(TRIM(A502&amp;"")="","",IF(TRIM(M502&amp;"")&lt;&gt;"",TRIM(M502&amp;""),IFERROR(LEFT(TRIM(A502&amp;""),FIND(" ",TRIM(A502&amp;""))-1),TRIM(A502&amp;""))))</f>
        <v/>
      </c>
      <c r="AC502" s="32">
        <f>SUBSTITUTE(SUBSTITUTE(SUBSTITUTE(SUBSTITUTE(SUBSTITUTE(SUBSTITUTE(SUBSTITUTE(SUBSTITUTE(SUBSTITUTE(SUBSTITUTE(AB502,"%","%25"),"&amp;","%26"),"#","%23"),"+","%2B"),"=","%3D"),"?","%3F"),CHAR(34),"%22"),CHAR(10),"%0A"),CHAR(13),"")," ","+")</f>
        <v/>
      </c>
      <c r="AD502" s="32">
        <f>IF(OR(AA502="",AB502=""),"",'Start Here'!$B$20&amp;"#p="&amp;SUBSTITUTE(AA502,"+","%2B")&amp;"&amp;n="&amp;AC502&amp;"&amp;m="&amp;SUBSTITUTE('Start Here'!$B$24,"{name}",AC502))</f>
        <v/>
      </c>
      <c r="AE502" s="32">
        <f>LEN(AD502)</f>
        <v/>
      </c>
      <c r="AF502" s="32">
        <f>IF(AND(TRIM(A502&amp;"")&lt;&gt;"",OR(B502="Awaiting",B502="Not sure yet")),1,0)</f>
        <v/>
      </c>
      <c r="AG502" s="32">
        <f>N(AG501)+AF502</f>
        <v/>
      </c>
      <c r="AH502" s="32">
        <f>IF(AF502=1,AG502,"")</f>
        <v/>
      </c>
      <c r="AI502" s="32">
        <f>IF(AND(TRIM(A502&amp;"")&lt;&gt;"",L502&amp;""&lt;&gt;"",L502&amp;""=Seating!$I$3&amp;"",B502&lt;&gt;"Declined"),1,0)</f>
        <v/>
      </c>
      <c r="AJ502" s="32">
        <f>N(AJ501)+AI502</f>
        <v/>
      </c>
      <c r="AK502" s="32">
        <f>IF(AI502=1,AJ502,"")</f>
        <v/>
      </c>
    </row>
    <row r="503">
      <c r="A503" s="10" t="n"/>
      <c r="B503" s="47">
        <f>IF(TRIM(A503&amp;"")="","",IF(W503&lt;&gt;"",W503,IF(I503="","Awaiting",I503)))</f>
        <v/>
      </c>
      <c r="C503" s="60">
        <f>IF(OR(B503="Awaiting",B503="Not sure yet"),IF(AD503&lt;&gt;"",HYPERLINK(AD503,"💬 Remind"),"add mobile"),"")</f>
        <v/>
      </c>
      <c r="D503" s="58" t="n"/>
      <c r="E503" s="10" t="n"/>
      <c r="F503" s="10" t="n"/>
      <c r="G503" s="10" t="n"/>
      <c r="H503" s="10" t="n"/>
      <c r="I503" s="10" t="n"/>
      <c r="J503" s="10" t="n"/>
      <c r="K503" s="10" t="n"/>
      <c r="L503" s="56" t="n"/>
      <c r="M503" s="10" t="n"/>
      <c r="N503" s="12" t="n"/>
      <c r="O503" s="10" t="n"/>
      <c r="P503" s="10" t="n"/>
      <c r="Q503" s="61">
        <f>IF(V503="","",IF(T503="","Covered by "&amp;INDEX('Form Calc'!$B:$B,V503)&amp;"'s reply (same party)","Replied "&amp;TEXT(INDEX('Form Calc'!$A:$A,T503),"mm/dd")&amp;" · "&amp;INDEX('Form Calc'!$H:$H,T503)&amp;" adult(s), "&amp;INDEX('Form Calc'!$I:$I,T503)&amp;" child(ren)"&amp;IF(INDEX('Form Calc'!$K:$K,T503)&lt;&gt;""," · "&amp;INDEX('Form Calc'!$K:$K,T503),"")&amp;IF(INDEX('Form Calc'!$M:$M,T503)&lt;&gt;""," · “"&amp;INDEX('Form Calc'!$M:$M,T503)&amp;"”","")))</f>
        <v/>
      </c>
      <c r="R503" s="32">
        <f>SUBSTITUTE(SUBSTITUTE(SUBSTITUTE(SUBSTITUTE(SUBSTITUTE(SUBSTITUTE(SUBSTITUTE(SUBSTITUTE(D503&amp;""," ",""),"-",""),"(",""),")",""),".",""),"+",""),"/",""),CHAR(160),"")</f>
        <v/>
      </c>
      <c r="S503" s="32">
        <f>IF(LEN(R503)&gt;=10,RIGHT(R503,10),R503)</f>
        <v/>
      </c>
      <c r="T503" s="32">
        <f>IF(TRIM(A503&amp;"")="","",IF(S503&lt;&gt;"",IFERROR(MATCH(S503,'Form Calc'!$P:$P,0),IFERROR(MATCH(TRIM(A503&amp;""),'Form Calc'!$Q:$Q,0),"")),IFERROR(MATCH(TRIM(A503&amp;""),'Form Calc'!$Q:$Q,0),"")))</f>
        <v/>
      </c>
      <c r="U503" s="32">
        <f>IF(AND(T503&lt;&gt;"",TRIM(E503&amp;"")&lt;&gt;""),TRIM(E503&amp;""),"")</f>
        <v/>
      </c>
      <c r="V503" s="32">
        <f>IF(TRIM(A503&amp;"")="","",IF(T503&lt;&gt;"",T503,IF(TRIM(E503&amp;"")="","",IFERROR(INDEX($T$6:$T$505,MATCH(TRIM(E503&amp;""),$U$6:$U$505,0)),""))))</f>
        <v/>
      </c>
      <c r="W503" s="32">
        <f>IF(V503="","",INDEX('Form Calc'!$G:$G,V503))</f>
        <v/>
      </c>
      <c r="X503" s="32">
        <f>IF(TRIM(A503&amp;"")="","",IF(T503&lt;&gt;"",IF(INDEX('Form Calc'!$K:$K,T503)&lt;&gt;"",INDEX('Form Calc'!$K:$K,T503),J503&amp;""),J503&amp;""))</f>
        <v/>
      </c>
      <c r="Y503" s="32">
        <f>IF(TRIM(A503&amp;"")="","",IF(TRIM(D503&amp;"")&lt;&gt;"",TRIM(D503&amp;""),IF(T503&lt;&gt;"",INDEX('Form Calc'!$C:$C,T503)&amp;"","")))</f>
        <v/>
      </c>
      <c r="Z503" s="32">
        <f>SUBSTITUTE(SUBSTITUTE(SUBSTITUTE(SUBSTITUTE(SUBSTITUTE(SUBSTITUTE(SUBSTITUTE(SUBSTITUTE(Y503," ",""),"-",""),"(",""),")",""),".",""),"+",""),"/",""),CHAR(160),"")</f>
        <v/>
      </c>
      <c r="AA503" s="32">
        <f>IF(Z503="","",IF(LEN(Z503)=10,"+1"&amp;Z503,IF(AND(LEN(Z503)=11,LEFT(Z503,1)="1"),"+"&amp;Z503,IF(LEFT(Y503,1)="+","+"&amp;Z503,Z503))))</f>
        <v/>
      </c>
      <c r="AB503" s="32">
        <f>IF(TRIM(A503&amp;"")="","",IF(TRIM(M503&amp;"")&lt;&gt;"",TRIM(M503&amp;""),IFERROR(LEFT(TRIM(A503&amp;""),FIND(" ",TRIM(A503&amp;""))-1),TRIM(A503&amp;""))))</f>
        <v/>
      </c>
      <c r="AC503" s="32">
        <f>SUBSTITUTE(SUBSTITUTE(SUBSTITUTE(SUBSTITUTE(SUBSTITUTE(SUBSTITUTE(SUBSTITUTE(SUBSTITUTE(SUBSTITUTE(SUBSTITUTE(AB503,"%","%25"),"&amp;","%26"),"#","%23"),"+","%2B"),"=","%3D"),"?","%3F"),CHAR(34),"%22"),CHAR(10),"%0A"),CHAR(13),"")," ","+")</f>
        <v/>
      </c>
      <c r="AD503" s="32">
        <f>IF(OR(AA503="",AB503=""),"",'Start Here'!$B$20&amp;"#p="&amp;SUBSTITUTE(AA503,"+","%2B")&amp;"&amp;n="&amp;AC503&amp;"&amp;m="&amp;SUBSTITUTE('Start Here'!$B$24,"{name}",AC503))</f>
        <v/>
      </c>
      <c r="AE503" s="32">
        <f>LEN(AD503)</f>
        <v/>
      </c>
      <c r="AF503" s="32">
        <f>IF(AND(TRIM(A503&amp;"")&lt;&gt;"",OR(B503="Awaiting",B503="Not sure yet")),1,0)</f>
        <v/>
      </c>
      <c r="AG503" s="32">
        <f>N(AG502)+AF503</f>
        <v/>
      </c>
      <c r="AH503" s="32">
        <f>IF(AF503=1,AG503,"")</f>
        <v/>
      </c>
      <c r="AI503" s="32">
        <f>IF(AND(TRIM(A503&amp;"")&lt;&gt;"",L503&amp;""&lt;&gt;"",L503&amp;""=Seating!$I$3&amp;"",B503&lt;&gt;"Declined"),1,0)</f>
        <v/>
      </c>
      <c r="AJ503" s="32">
        <f>N(AJ502)+AI503</f>
        <v/>
      </c>
      <c r="AK503" s="32">
        <f>IF(AI503=1,AJ503,"")</f>
        <v/>
      </c>
    </row>
    <row r="504">
      <c r="A504" s="10" t="n"/>
      <c r="B504" s="47">
        <f>IF(TRIM(A504&amp;"")="","",IF(W504&lt;&gt;"",W504,IF(I504="","Awaiting",I504)))</f>
        <v/>
      </c>
      <c r="C504" s="60">
        <f>IF(OR(B504="Awaiting",B504="Not sure yet"),IF(AD504&lt;&gt;"",HYPERLINK(AD504,"💬 Remind"),"add mobile"),"")</f>
        <v/>
      </c>
      <c r="D504" s="58" t="n"/>
      <c r="E504" s="10" t="n"/>
      <c r="F504" s="10" t="n"/>
      <c r="G504" s="10" t="n"/>
      <c r="H504" s="10" t="n"/>
      <c r="I504" s="10" t="n"/>
      <c r="J504" s="10" t="n"/>
      <c r="K504" s="10" t="n"/>
      <c r="L504" s="56" t="n"/>
      <c r="M504" s="10" t="n"/>
      <c r="N504" s="12" t="n"/>
      <c r="O504" s="10" t="n"/>
      <c r="P504" s="10" t="n"/>
      <c r="Q504" s="61">
        <f>IF(V504="","",IF(T504="","Covered by "&amp;INDEX('Form Calc'!$B:$B,V504)&amp;"'s reply (same party)","Replied "&amp;TEXT(INDEX('Form Calc'!$A:$A,T504),"mm/dd")&amp;" · "&amp;INDEX('Form Calc'!$H:$H,T504)&amp;" adult(s), "&amp;INDEX('Form Calc'!$I:$I,T504)&amp;" child(ren)"&amp;IF(INDEX('Form Calc'!$K:$K,T504)&lt;&gt;""," · "&amp;INDEX('Form Calc'!$K:$K,T504),"")&amp;IF(INDEX('Form Calc'!$M:$M,T504)&lt;&gt;""," · “"&amp;INDEX('Form Calc'!$M:$M,T504)&amp;"”","")))</f>
        <v/>
      </c>
      <c r="R504" s="32">
        <f>SUBSTITUTE(SUBSTITUTE(SUBSTITUTE(SUBSTITUTE(SUBSTITUTE(SUBSTITUTE(SUBSTITUTE(SUBSTITUTE(D504&amp;""," ",""),"-",""),"(",""),")",""),".",""),"+",""),"/",""),CHAR(160),"")</f>
        <v/>
      </c>
      <c r="S504" s="32">
        <f>IF(LEN(R504)&gt;=10,RIGHT(R504,10),R504)</f>
        <v/>
      </c>
      <c r="T504" s="32">
        <f>IF(TRIM(A504&amp;"")="","",IF(S504&lt;&gt;"",IFERROR(MATCH(S504,'Form Calc'!$P:$P,0),IFERROR(MATCH(TRIM(A504&amp;""),'Form Calc'!$Q:$Q,0),"")),IFERROR(MATCH(TRIM(A504&amp;""),'Form Calc'!$Q:$Q,0),"")))</f>
        <v/>
      </c>
      <c r="U504" s="32">
        <f>IF(AND(T504&lt;&gt;"",TRIM(E504&amp;"")&lt;&gt;""),TRIM(E504&amp;""),"")</f>
        <v/>
      </c>
      <c r="V504" s="32">
        <f>IF(TRIM(A504&amp;"")="","",IF(T504&lt;&gt;"",T504,IF(TRIM(E504&amp;"")="","",IFERROR(INDEX($T$6:$T$505,MATCH(TRIM(E504&amp;""),$U$6:$U$505,0)),""))))</f>
        <v/>
      </c>
      <c r="W504" s="32">
        <f>IF(V504="","",INDEX('Form Calc'!$G:$G,V504))</f>
        <v/>
      </c>
      <c r="X504" s="32">
        <f>IF(TRIM(A504&amp;"")="","",IF(T504&lt;&gt;"",IF(INDEX('Form Calc'!$K:$K,T504)&lt;&gt;"",INDEX('Form Calc'!$K:$K,T504),J504&amp;""),J504&amp;""))</f>
        <v/>
      </c>
      <c r="Y504" s="32">
        <f>IF(TRIM(A504&amp;"")="","",IF(TRIM(D504&amp;"")&lt;&gt;"",TRIM(D504&amp;""),IF(T504&lt;&gt;"",INDEX('Form Calc'!$C:$C,T504)&amp;"","")))</f>
        <v/>
      </c>
      <c r="Z504" s="32">
        <f>SUBSTITUTE(SUBSTITUTE(SUBSTITUTE(SUBSTITUTE(SUBSTITUTE(SUBSTITUTE(SUBSTITUTE(SUBSTITUTE(Y504," ",""),"-",""),"(",""),")",""),".",""),"+",""),"/",""),CHAR(160),"")</f>
        <v/>
      </c>
      <c r="AA504" s="32">
        <f>IF(Z504="","",IF(LEN(Z504)=10,"+1"&amp;Z504,IF(AND(LEN(Z504)=11,LEFT(Z504,1)="1"),"+"&amp;Z504,IF(LEFT(Y504,1)="+","+"&amp;Z504,Z504))))</f>
        <v/>
      </c>
      <c r="AB504" s="32">
        <f>IF(TRIM(A504&amp;"")="","",IF(TRIM(M504&amp;"")&lt;&gt;"",TRIM(M504&amp;""),IFERROR(LEFT(TRIM(A504&amp;""),FIND(" ",TRIM(A504&amp;""))-1),TRIM(A504&amp;""))))</f>
        <v/>
      </c>
      <c r="AC504" s="32">
        <f>SUBSTITUTE(SUBSTITUTE(SUBSTITUTE(SUBSTITUTE(SUBSTITUTE(SUBSTITUTE(SUBSTITUTE(SUBSTITUTE(SUBSTITUTE(SUBSTITUTE(AB504,"%","%25"),"&amp;","%26"),"#","%23"),"+","%2B"),"=","%3D"),"?","%3F"),CHAR(34),"%22"),CHAR(10),"%0A"),CHAR(13),"")," ","+")</f>
        <v/>
      </c>
      <c r="AD504" s="32">
        <f>IF(OR(AA504="",AB504=""),"",'Start Here'!$B$20&amp;"#p="&amp;SUBSTITUTE(AA504,"+","%2B")&amp;"&amp;n="&amp;AC504&amp;"&amp;m="&amp;SUBSTITUTE('Start Here'!$B$24,"{name}",AC504))</f>
        <v/>
      </c>
      <c r="AE504" s="32">
        <f>LEN(AD504)</f>
        <v/>
      </c>
      <c r="AF504" s="32">
        <f>IF(AND(TRIM(A504&amp;"")&lt;&gt;"",OR(B504="Awaiting",B504="Not sure yet")),1,0)</f>
        <v/>
      </c>
      <c r="AG504" s="32">
        <f>N(AG503)+AF504</f>
        <v/>
      </c>
      <c r="AH504" s="32">
        <f>IF(AF504=1,AG504,"")</f>
        <v/>
      </c>
      <c r="AI504" s="32">
        <f>IF(AND(TRIM(A504&amp;"")&lt;&gt;"",L504&amp;""&lt;&gt;"",L504&amp;""=Seating!$I$3&amp;"",B504&lt;&gt;"Declined"),1,0)</f>
        <v/>
      </c>
      <c r="AJ504" s="32">
        <f>N(AJ503)+AI504</f>
        <v/>
      </c>
      <c r="AK504" s="32">
        <f>IF(AI504=1,AJ504,"")</f>
        <v/>
      </c>
    </row>
    <row r="505">
      <c r="A505" s="10" t="n"/>
      <c r="B505" s="47">
        <f>IF(TRIM(A505&amp;"")="","",IF(W505&lt;&gt;"",W505,IF(I505="","Awaiting",I505)))</f>
        <v/>
      </c>
      <c r="C505" s="60">
        <f>IF(OR(B505="Awaiting",B505="Not sure yet"),IF(AD505&lt;&gt;"",HYPERLINK(AD505,"💬 Remind"),"add mobile"),"")</f>
        <v/>
      </c>
      <c r="D505" s="58" t="n"/>
      <c r="E505" s="10" t="n"/>
      <c r="F505" s="10" t="n"/>
      <c r="G505" s="10" t="n"/>
      <c r="H505" s="10" t="n"/>
      <c r="I505" s="10" t="n"/>
      <c r="J505" s="10" t="n"/>
      <c r="K505" s="10" t="n"/>
      <c r="L505" s="56" t="n"/>
      <c r="M505" s="10" t="n"/>
      <c r="N505" s="12" t="n"/>
      <c r="O505" s="10" t="n"/>
      <c r="P505" s="10" t="n"/>
      <c r="Q505" s="61">
        <f>IF(V505="","",IF(T505="","Covered by "&amp;INDEX('Form Calc'!$B:$B,V505)&amp;"'s reply (same party)","Replied "&amp;TEXT(INDEX('Form Calc'!$A:$A,T505),"mm/dd")&amp;" · "&amp;INDEX('Form Calc'!$H:$H,T505)&amp;" adult(s), "&amp;INDEX('Form Calc'!$I:$I,T505)&amp;" child(ren)"&amp;IF(INDEX('Form Calc'!$K:$K,T505)&lt;&gt;""," · "&amp;INDEX('Form Calc'!$K:$K,T505),"")&amp;IF(INDEX('Form Calc'!$M:$M,T505)&lt;&gt;""," · “"&amp;INDEX('Form Calc'!$M:$M,T505)&amp;"”","")))</f>
        <v/>
      </c>
      <c r="R505" s="32">
        <f>SUBSTITUTE(SUBSTITUTE(SUBSTITUTE(SUBSTITUTE(SUBSTITUTE(SUBSTITUTE(SUBSTITUTE(SUBSTITUTE(D505&amp;""," ",""),"-",""),"(",""),")",""),".",""),"+",""),"/",""),CHAR(160),"")</f>
        <v/>
      </c>
      <c r="S505" s="32">
        <f>IF(LEN(R505)&gt;=10,RIGHT(R505,10),R505)</f>
        <v/>
      </c>
      <c r="T505" s="32">
        <f>IF(TRIM(A505&amp;"")="","",IF(S505&lt;&gt;"",IFERROR(MATCH(S505,'Form Calc'!$P:$P,0),IFERROR(MATCH(TRIM(A505&amp;""),'Form Calc'!$Q:$Q,0),"")),IFERROR(MATCH(TRIM(A505&amp;""),'Form Calc'!$Q:$Q,0),"")))</f>
        <v/>
      </c>
      <c r="U505" s="32">
        <f>IF(AND(T505&lt;&gt;"",TRIM(E505&amp;"")&lt;&gt;""),TRIM(E505&amp;""),"")</f>
        <v/>
      </c>
      <c r="V505" s="32">
        <f>IF(TRIM(A505&amp;"")="","",IF(T505&lt;&gt;"",T505,IF(TRIM(E505&amp;"")="","",IFERROR(INDEX($T$6:$T$505,MATCH(TRIM(E505&amp;""),$U$6:$U$505,0)),""))))</f>
        <v/>
      </c>
      <c r="W505" s="32">
        <f>IF(V505="","",INDEX('Form Calc'!$G:$G,V505))</f>
        <v/>
      </c>
      <c r="X505" s="32">
        <f>IF(TRIM(A505&amp;"")="","",IF(T505&lt;&gt;"",IF(INDEX('Form Calc'!$K:$K,T505)&lt;&gt;"",INDEX('Form Calc'!$K:$K,T505),J505&amp;""),J505&amp;""))</f>
        <v/>
      </c>
      <c r="Y505" s="32">
        <f>IF(TRIM(A505&amp;"")="","",IF(TRIM(D505&amp;"")&lt;&gt;"",TRIM(D505&amp;""),IF(T505&lt;&gt;"",INDEX('Form Calc'!$C:$C,T505)&amp;"","")))</f>
        <v/>
      </c>
      <c r="Z505" s="32">
        <f>SUBSTITUTE(SUBSTITUTE(SUBSTITUTE(SUBSTITUTE(SUBSTITUTE(SUBSTITUTE(SUBSTITUTE(SUBSTITUTE(Y505," ",""),"-",""),"(",""),")",""),".",""),"+",""),"/",""),CHAR(160),"")</f>
        <v/>
      </c>
      <c r="AA505" s="32">
        <f>IF(Z505="","",IF(LEN(Z505)=10,"+1"&amp;Z505,IF(AND(LEN(Z505)=11,LEFT(Z505,1)="1"),"+"&amp;Z505,IF(LEFT(Y505,1)="+","+"&amp;Z505,Z505))))</f>
        <v/>
      </c>
      <c r="AB505" s="32">
        <f>IF(TRIM(A505&amp;"")="","",IF(TRIM(M505&amp;"")&lt;&gt;"",TRIM(M505&amp;""),IFERROR(LEFT(TRIM(A505&amp;""),FIND(" ",TRIM(A505&amp;""))-1),TRIM(A505&amp;""))))</f>
        <v/>
      </c>
      <c r="AC505" s="32">
        <f>SUBSTITUTE(SUBSTITUTE(SUBSTITUTE(SUBSTITUTE(SUBSTITUTE(SUBSTITUTE(SUBSTITUTE(SUBSTITUTE(SUBSTITUTE(SUBSTITUTE(AB505,"%","%25"),"&amp;","%26"),"#","%23"),"+","%2B"),"=","%3D"),"?","%3F"),CHAR(34),"%22"),CHAR(10),"%0A"),CHAR(13),"")," ","+")</f>
        <v/>
      </c>
      <c r="AD505" s="32">
        <f>IF(OR(AA505="",AB505=""),"",'Start Here'!$B$20&amp;"#p="&amp;SUBSTITUTE(AA505,"+","%2B")&amp;"&amp;n="&amp;AC505&amp;"&amp;m="&amp;SUBSTITUTE('Start Here'!$B$24,"{name}",AC505))</f>
        <v/>
      </c>
      <c r="AE505" s="32">
        <f>LEN(AD505)</f>
        <v/>
      </c>
      <c r="AF505" s="32">
        <f>IF(AND(TRIM(A505&amp;"")&lt;&gt;"",OR(B505="Awaiting",B505="Not sure yet")),1,0)</f>
        <v/>
      </c>
      <c r="AG505" s="32">
        <f>N(AG504)+AF505</f>
        <v/>
      </c>
      <c r="AH505" s="32">
        <f>IF(AF505=1,AG505,"")</f>
        <v/>
      </c>
      <c r="AI505" s="32">
        <f>IF(AND(TRIM(A505&amp;"")&lt;&gt;"",L505&amp;""&lt;&gt;"",L505&amp;""=Seating!$I$3&amp;"",B505&lt;&gt;"Declined"),1,0)</f>
        <v/>
      </c>
      <c r="AJ505" s="32">
        <f>N(AJ504)+AI505</f>
        <v/>
      </c>
      <c r="AK505" s="32">
        <f>IF(AI505=1,AJ505,"")</f>
        <v/>
      </c>
    </row>
  </sheetData>
  <conditionalFormatting sqref="B6:B505">
    <cfRule type="expression" priority="1" dxfId="4" stopIfTrue="0">
      <formula>$B6="Attending"</formula>
    </cfRule>
    <cfRule type="expression" priority="2" dxfId="1" stopIfTrue="0">
      <formula>$B6="Declined"</formula>
    </cfRule>
    <cfRule type="expression" priority="3" dxfId="2" stopIfTrue="0">
      <formula>$B6="Not sure yet"</formula>
    </cfRule>
    <cfRule type="expression" priority="4" dxfId="3" stopIfTrue="0">
      <formula>$B6="Awaiting"</formula>
    </cfRule>
  </conditionalFormatting>
  <conditionalFormatting sqref="I6:I505">
    <cfRule type="expression" priority="5" dxfId="4" stopIfTrue="0">
      <formula>$I6="Attending"</formula>
    </cfRule>
    <cfRule type="expression" priority="6" dxfId="1" stopIfTrue="0">
      <formula>$I6="Declined"</formula>
    </cfRule>
    <cfRule type="expression" priority="7" dxfId="2" stopIfTrue="0">
      <formula>$I6="Not sure yet"</formula>
    </cfRule>
    <cfRule type="expression" priority="8" dxfId="3" stopIfTrue="0">
      <formula>$I6="Awaiting"</formula>
    </cfRule>
  </conditionalFormatting>
  <conditionalFormatting sqref="C6:C505">
    <cfRule type="expression" priority="9" dxfId="7" stopIfTrue="0">
      <formula>$C6="add mobile"</formula>
    </cfRule>
  </conditionalFormatting>
  <dataValidations count="5">
    <dataValidation sqref="F6:F505" showDropDown="0" showInputMessage="0" showErrorMessage="0" allowBlank="1" type="list">
      <formula1>=Lists!$B$5:$B$16</formula1>
    </dataValidation>
    <dataValidation sqref="G6:G505" showDropDown="0" showInputMessage="0" showErrorMessage="0" allowBlank="1" type="list">
      <formula1>=Lists!$C$5:$C$16</formula1>
    </dataValidation>
    <dataValidation sqref="H6:H505" showDropDown="0" showInputMessage="0" showErrorMessage="0" allowBlank="1" type="list">
      <formula1>=Lists!$D$5:$D$16</formula1>
    </dataValidation>
    <dataValidation sqref="I6:I505" showDropDown="0" showInputMessage="0" showErrorMessage="0" allowBlank="1" type="list">
      <formula1>=Lists!$F$5:$F$8</formula1>
    </dataValidation>
    <dataValidation sqref="J6:J505" showDropDown="0" showInputMessage="0" showErrorMessage="0" allowBlank="1" type="list">
      <formula1>=Lists!$E$5:$E$16</formula1>
    </dataValidation>
  </dataValidations>
  <pageMargins left="0.5" right="0.5" top="0.6" bottom="0.6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B5C4A8"/>
    <outlinePr summaryBelow="1" summaryRight="1"/>
    <pageSetUpPr fitToPage="1"/>
  </sheetPr>
  <dimension ref="A1:M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8" customWidth="1" min="3" max="3"/>
    <col width="7" customWidth="1" min="4" max="4"/>
    <col width="12" customWidth="1" min="5" max="5"/>
    <col width="15" customWidth="1" min="6" max="6"/>
    <col width="12" customWidth="1" min="7" max="7"/>
    <col width="12" customWidth="1" min="8" max="8"/>
    <col width="24" customWidth="1" min="9" max="9"/>
    <col width="18" customWidth="1" min="10" max="10"/>
    <col width="30" customWidth="1" min="11" max="11"/>
    <col width="22" customWidth="1" min="12" max="12"/>
    <col hidden="1" width="13" customWidth="1" min="13" max="13"/>
  </cols>
  <sheetData>
    <row r="1" ht="30" customHeight="1">
      <c r="A1" s="1" t="inlineStr">
        <is>
          <t>RSVP Inbox</t>
        </is>
      </c>
    </row>
    <row r="2">
      <c r="A2" s="11" t="inlineStr">
        <is>
          <t>Every RSVP form reply (latest answer per person), newest first. NEW = not on your Guests list yet — add them there to seat them.</t>
        </is>
      </c>
    </row>
    <row r="3">
      <c r="A3" s="42">
        <f>MAX('Form Calc'!$Y$2:$Y$601)&amp;" replies · "&amp;SUM('Form Calc'!$W$2:$W$601)&amp;" NEW · attending via form: "&amp;(SUMIFS('Form Calc'!$X$2:$X$601,'Form Calc'!$O$2:$O$601,1,'Form Calc'!$G$2:$G$601,"Attending"))&amp;" people"</f>
        <v/>
      </c>
    </row>
    <row r="4"/>
    <row r="5" ht="30" customHeight="1">
      <c r="A5" s="43" t="inlineStr">
        <is>
          <t>Name</t>
        </is>
      </c>
      <c r="B5" s="43" t="inlineStr">
        <is>
          <t>Reply</t>
        </is>
      </c>
      <c r="C5" s="43" t="inlineStr">
        <is>
          <t>Adults</t>
        </is>
      </c>
      <c r="D5" s="43" t="inlineStr">
        <is>
          <t>Kids</t>
        </is>
      </c>
      <c r="E5" s="43" t="inlineStr">
        <is>
          <t>Meal</t>
        </is>
      </c>
      <c r="F5" s="43" t="inlineStr">
        <is>
          <t>Mobile</t>
        </is>
      </c>
      <c r="G5" s="43" t="inlineStr">
        <is>
          <t>On Guests?</t>
        </is>
      </c>
      <c r="H5" s="43" t="inlineStr">
        <is>
          <t>Received</t>
        </is>
      </c>
      <c r="I5" s="43" t="inlineStr">
        <is>
          <t>Others in party</t>
        </is>
      </c>
      <c r="J5" s="43" t="inlineStr">
        <is>
          <t>Dietary needs</t>
        </is>
      </c>
      <c r="K5" s="43" t="inlineStr">
        <is>
          <t>Message to you</t>
        </is>
      </c>
      <c r="L5" s="43" t="inlineStr">
        <is>
          <t>Email</t>
        </is>
      </c>
    </row>
    <row r="6">
      <c r="A6" s="62">
        <f>IF($M6="","",INDEX('Form Calc'!$B:$B,$M6))</f>
        <v/>
      </c>
      <c r="B6" s="47">
        <f>IF($M6="","",INDEX('Form Calc'!$G:$G,$M6))</f>
        <v/>
      </c>
      <c r="C6" s="47">
        <f>IF($M6="","",INDEX('Form Calc'!$H:$H,$M6))</f>
        <v/>
      </c>
      <c r="D6" s="47">
        <f>IF($M6="","",INDEX('Form Calc'!$I:$I,$M6))</f>
        <v/>
      </c>
      <c r="E6" s="47">
        <f>IF($M6="","",INDEX('Form Calc'!$K:$K,$M6))</f>
        <v/>
      </c>
      <c r="F6" s="47">
        <f>IF($M6="","",INDEX('Form Calc'!$C:$C,$M6))</f>
        <v/>
      </c>
      <c r="G6" s="47">
        <f>IF($M6="","",IF(INDEX('Form Calc'!$R:$R,$M6)="","NEW","✓ yes"))</f>
        <v/>
      </c>
      <c r="H6" s="44">
        <f>IF($M6="","",INDEX('Form Calc'!$A:$A,$M6))</f>
        <v/>
      </c>
      <c r="I6" s="63">
        <f>IF($M6="","",INDEX('Form Calc'!$J:$J,$M6))</f>
        <v/>
      </c>
      <c r="J6" s="63">
        <f>IF($M6="","",INDEX('Form Calc'!$L:$L,$M6))</f>
        <v/>
      </c>
      <c r="K6" s="63">
        <f>IF($M6="","",INDEX('Form Calc'!$M:$M,$M6))</f>
        <v/>
      </c>
      <c r="L6" s="47">
        <f>IF($M6="","",INDEX('Form Calc'!$F:$F,$M6))</f>
        <v/>
      </c>
      <c r="M6" s="32">
        <f>IF(1&gt;MAX('Form Calc'!$Y$2:$Y$601),"",IFERROR(MATCH(MAX('Form Calc'!$Y$2:$Y$601)+1-1,'Form Calc'!$Z:$Z,0),""))</f>
        <v/>
      </c>
    </row>
    <row r="7">
      <c r="A7" s="62">
        <f>IF($M7="","",INDEX('Form Calc'!$B:$B,$M7))</f>
        <v/>
      </c>
      <c r="B7" s="47">
        <f>IF($M7="","",INDEX('Form Calc'!$G:$G,$M7))</f>
        <v/>
      </c>
      <c r="C7" s="47">
        <f>IF($M7="","",INDEX('Form Calc'!$H:$H,$M7))</f>
        <v/>
      </c>
      <c r="D7" s="47">
        <f>IF($M7="","",INDEX('Form Calc'!$I:$I,$M7))</f>
        <v/>
      </c>
      <c r="E7" s="47">
        <f>IF($M7="","",INDEX('Form Calc'!$K:$K,$M7))</f>
        <v/>
      </c>
      <c r="F7" s="47">
        <f>IF($M7="","",INDEX('Form Calc'!$C:$C,$M7))</f>
        <v/>
      </c>
      <c r="G7" s="47">
        <f>IF($M7="","",IF(INDEX('Form Calc'!$R:$R,$M7)="","NEW","✓ yes"))</f>
        <v/>
      </c>
      <c r="H7" s="44">
        <f>IF($M7="","",INDEX('Form Calc'!$A:$A,$M7))</f>
        <v/>
      </c>
      <c r="I7" s="63">
        <f>IF($M7="","",INDEX('Form Calc'!$J:$J,$M7))</f>
        <v/>
      </c>
      <c r="J7" s="63">
        <f>IF($M7="","",INDEX('Form Calc'!$L:$L,$M7))</f>
        <v/>
      </c>
      <c r="K7" s="63">
        <f>IF($M7="","",INDEX('Form Calc'!$M:$M,$M7))</f>
        <v/>
      </c>
      <c r="L7" s="47">
        <f>IF($M7="","",INDEX('Form Calc'!$F:$F,$M7))</f>
        <v/>
      </c>
      <c r="M7" s="32">
        <f>IF(2&gt;MAX('Form Calc'!$Y$2:$Y$601),"",IFERROR(MATCH(MAX('Form Calc'!$Y$2:$Y$601)+1-2,'Form Calc'!$Z:$Z,0),""))</f>
        <v/>
      </c>
    </row>
    <row r="8">
      <c r="A8" s="62">
        <f>IF($M8="","",INDEX('Form Calc'!$B:$B,$M8))</f>
        <v/>
      </c>
      <c r="B8" s="47">
        <f>IF($M8="","",INDEX('Form Calc'!$G:$G,$M8))</f>
        <v/>
      </c>
      <c r="C8" s="47">
        <f>IF($M8="","",INDEX('Form Calc'!$H:$H,$M8))</f>
        <v/>
      </c>
      <c r="D8" s="47">
        <f>IF($M8="","",INDEX('Form Calc'!$I:$I,$M8))</f>
        <v/>
      </c>
      <c r="E8" s="47">
        <f>IF($M8="","",INDEX('Form Calc'!$K:$K,$M8))</f>
        <v/>
      </c>
      <c r="F8" s="47">
        <f>IF($M8="","",INDEX('Form Calc'!$C:$C,$M8))</f>
        <v/>
      </c>
      <c r="G8" s="47">
        <f>IF($M8="","",IF(INDEX('Form Calc'!$R:$R,$M8)="","NEW","✓ yes"))</f>
        <v/>
      </c>
      <c r="H8" s="44">
        <f>IF($M8="","",INDEX('Form Calc'!$A:$A,$M8))</f>
        <v/>
      </c>
      <c r="I8" s="63">
        <f>IF($M8="","",INDEX('Form Calc'!$J:$J,$M8))</f>
        <v/>
      </c>
      <c r="J8" s="63">
        <f>IF($M8="","",INDEX('Form Calc'!$L:$L,$M8))</f>
        <v/>
      </c>
      <c r="K8" s="63">
        <f>IF($M8="","",INDEX('Form Calc'!$M:$M,$M8))</f>
        <v/>
      </c>
      <c r="L8" s="47">
        <f>IF($M8="","",INDEX('Form Calc'!$F:$F,$M8))</f>
        <v/>
      </c>
      <c r="M8" s="32">
        <f>IF(3&gt;MAX('Form Calc'!$Y$2:$Y$601),"",IFERROR(MATCH(MAX('Form Calc'!$Y$2:$Y$601)+1-3,'Form Calc'!$Z:$Z,0),""))</f>
        <v/>
      </c>
    </row>
    <row r="9">
      <c r="A9" s="62">
        <f>IF($M9="","",INDEX('Form Calc'!$B:$B,$M9))</f>
        <v/>
      </c>
      <c r="B9" s="47">
        <f>IF($M9="","",INDEX('Form Calc'!$G:$G,$M9))</f>
        <v/>
      </c>
      <c r="C9" s="47">
        <f>IF($M9="","",INDEX('Form Calc'!$H:$H,$M9))</f>
        <v/>
      </c>
      <c r="D9" s="47">
        <f>IF($M9="","",INDEX('Form Calc'!$I:$I,$M9))</f>
        <v/>
      </c>
      <c r="E9" s="47">
        <f>IF($M9="","",INDEX('Form Calc'!$K:$K,$M9))</f>
        <v/>
      </c>
      <c r="F9" s="47">
        <f>IF($M9="","",INDEX('Form Calc'!$C:$C,$M9))</f>
        <v/>
      </c>
      <c r="G9" s="47">
        <f>IF($M9="","",IF(INDEX('Form Calc'!$R:$R,$M9)="","NEW","✓ yes"))</f>
        <v/>
      </c>
      <c r="H9" s="44">
        <f>IF($M9="","",INDEX('Form Calc'!$A:$A,$M9))</f>
        <v/>
      </c>
      <c r="I9" s="63">
        <f>IF($M9="","",INDEX('Form Calc'!$J:$J,$M9))</f>
        <v/>
      </c>
      <c r="J9" s="63">
        <f>IF($M9="","",INDEX('Form Calc'!$L:$L,$M9))</f>
        <v/>
      </c>
      <c r="K9" s="63">
        <f>IF($M9="","",INDEX('Form Calc'!$M:$M,$M9))</f>
        <v/>
      </c>
      <c r="L9" s="47">
        <f>IF($M9="","",INDEX('Form Calc'!$F:$F,$M9))</f>
        <v/>
      </c>
      <c r="M9" s="32">
        <f>IF(4&gt;MAX('Form Calc'!$Y$2:$Y$601),"",IFERROR(MATCH(MAX('Form Calc'!$Y$2:$Y$601)+1-4,'Form Calc'!$Z:$Z,0),""))</f>
        <v/>
      </c>
    </row>
    <row r="10">
      <c r="A10" s="62">
        <f>IF($M10="","",INDEX('Form Calc'!$B:$B,$M10))</f>
        <v/>
      </c>
      <c r="B10" s="47">
        <f>IF($M10="","",INDEX('Form Calc'!$G:$G,$M10))</f>
        <v/>
      </c>
      <c r="C10" s="47">
        <f>IF($M10="","",INDEX('Form Calc'!$H:$H,$M10))</f>
        <v/>
      </c>
      <c r="D10" s="47">
        <f>IF($M10="","",INDEX('Form Calc'!$I:$I,$M10))</f>
        <v/>
      </c>
      <c r="E10" s="47">
        <f>IF($M10="","",INDEX('Form Calc'!$K:$K,$M10))</f>
        <v/>
      </c>
      <c r="F10" s="47">
        <f>IF($M10="","",INDEX('Form Calc'!$C:$C,$M10))</f>
        <v/>
      </c>
      <c r="G10" s="47">
        <f>IF($M10="","",IF(INDEX('Form Calc'!$R:$R,$M10)="","NEW","✓ yes"))</f>
        <v/>
      </c>
      <c r="H10" s="44">
        <f>IF($M10="","",INDEX('Form Calc'!$A:$A,$M10))</f>
        <v/>
      </c>
      <c r="I10" s="63">
        <f>IF($M10="","",INDEX('Form Calc'!$J:$J,$M10))</f>
        <v/>
      </c>
      <c r="J10" s="63">
        <f>IF($M10="","",INDEX('Form Calc'!$L:$L,$M10))</f>
        <v/>
      </c>
      <c r="K10" s="63">
        <f>IF($M10="","",INDEX('Form Calc'!$M:$M,$M10))</f>
        <v/>
      </c>
      <c r="L10" s="47">
        <f>IF($M10="","",INDEX('Form Calc'!$F:$F,$M10))</f>
        <v/>
      </c>
      <c r="M10" s="32">
        <f>IF(5&gt;MAX('Form Calc'!$Y$2:$Y$601),"",IFERROR(MATCH(MAX('Form Calc'!$Y$2:$Y$601)+1-5,'Form Calc'!$Z:$Z,0),""))</f>
        <v/>
      </c>
    </row>
    <row r="11">
      <c r="A11" s="62">
        <f>IF($M11="","",INDEX('Form Calc'!$B:$B,$M11))</f>
        <v/>
      </c>
      <c r="B11" s="47">
        <f>IF($M11="","",INDEX('Form Calc'!$G:$G,$M11))</f>
        <v/>
      </c>
      <c r="C11" s="47">
        <f>IF($M11="","",INDEX('Form Calc'!$H:$H,$M11))</f>
        <v/>
      </c>
      <c r="D11" s="47">
        <f>IF($M11="","",INDEX('Form Calc'!$I:$I,$M11))</f>
        <v/>
      </c>
      <c r="E11" s="47">
        <f>IF($M11="","",INDEX('Form Calc'!$K:$K,$M11))</f>
        <v/>
      </c>
      <c r="F11" s="47">
        <f>IF($M11="","",INDEX('Form Calc'!$C:$C,$M11))</f>
        <v/>
      </c>
      <c r="G11" s="47">
        <f>IF($M11="","",IF(INDEX('Form Calc'!$R:$R,$M11)="","NEW","✓ yes"))</f>
        <v/>
      </c>
      <c r="H11" s="44">
        <f>IF($M11="","",INDEX('Form Calc'!$A:$A,$M11))</f>
        <v/>
      </c>
      <c r="I11" s="63">
        <f>IF($M11="","",INDEX('Form Calc'!$J:$J,$M11))</f>
        <v/>
      </c>
      <c r="J11" s="63">
        <f>IF($M11="","",INDEX('Form Calc'!$L:$L,$M11))</f>
        <v/>
      </c>
      <c r="K11" s="63">
        <f>IF($M11="","",INDEX('Form Calc'!$M:$M,$M11))</f>
        <v/>
      </c>
      <c r="L11" s="47">
        <f>IF($M11="","",INDEX('Form Calc'!$F:$F,$M11))</f>
        <v/>
      </c>
      <c r="M11" s="32">
        <f>IF(6&gt;MAX('Form Calc'!$Y$2:$Y$601),"",IFERROR(MATCH(MAX('Form Calc'!$Y$2:$Y$601)+1-6,'Form Calc'!$Z:$Z,0),""))</f>
        <v/>
      </c>
    </row>
    <row r="12">
      <c r="A12" s="62">
        <f>IF($M12="","",INDEX('Form Calc'!$B:$B,$M12))</f>
        <v/>
      </c>
      <c r="B12" s="47">
        <f>IF($M12="","",INDEX('Form Calc'!$G:$G,$M12))</f>
        <v/>
      </c>
      <c r="C12" s="47">
        <f>IF($M12="","",INDEX('Form Calc'!$H:$H,$M12))</f>
        <v/>
      </c>
      <c r="D12" s="47">
        <f>IF($M12="","",INDEX('Form Calc'!$I:$I,$M12))</f>
        <v/>
      </c>
      <c r="E12" s="47">
        <f>IF($M12="","",INDEX('Form Calc'!$K:$K,$M12))</f>
        <v/>
      </c>
      <c r="F12" s="47">
        <f>IF($M12="","",INDEX('Form Calc'!$C:$C,$M12))</f>
        <v/>
      </c>
      <c r="G12" s="47">
        <f>IF($M12="","",IF(INDEX('Form Calc'!$R:$R,$M12)="","NEW","✓ yes"))</f>
        <v/>
      </c>
      <c r="H12" s="44">
        <f>IF($M12="","",INDEX('Form Calc'!$A:$A,$M12))</f>
        <v/>
      </c>
      <c r="I12" s="63">
        <f>IF($M12="","",INDEX('Form Calc'!$J:$J,$M12))</f>
        <v/>
      </c>
      <c r="J12" s="63">
        <f>IF($M12="","",INDEX('Form Calc'!$L:$L,$M12))</f>
        <v/>
      </c>
      <c r="K12" s="63">
        <f>IF($M12="","",INDEX('Form Calc'!$M:$M,$M12))</f>
        <v/>
      </c>
      <c r="L12" s="47">
        <f>IF($M12="","",INDEX('Form Calc'!$F:$F,$M12))</f>
        <v/>
      </c>
      <c r="M12" s="32">
        <f>IF(7&gt;MAX('Form Calc'!$Y$2:$Y$601),"",IFERROR(MATCH(MAX('Form Calc'!$Y$2:$Y$601)+1-7,'Form Calc'!$Z:$Z,0),""))</f>
        <v/>
      </c>
    </row>
    <row r="13">
      <c r="A13" s="62">
        <f>IF($M13="","",INDEX('Form Calc'!$B:$B,$M13))</f>
        <v/>
      </c>
      <c r="B13" s="47">
        <f>IF($M13="","",INDEX('Form Calc'!$G:$G,$M13))</f>
        <v/>
      </c>
      <c r="C13" s="47">
        <f>IF($M13="","",INDEX('Form Calc'!$H:$H,$M13))</f>
        <v/>
      </c>
      <c r="D13" s="47">
        <f>IF($M13="","",INDEX('Form Calc'!$I:$I,$M13))</f>
        <v/>
      </c>
      <c r="E13" s="47">
        <f>IF($M13="","",INDEX('Form Calc'!$K:$K,$M13))</f>
        <v/>
      </c>
      <c r="F13" s="47">
        <f>IF($M13="","",INDEX('Form Calc'!$C:$C,$M13))</f>
        <v/>
      </c>
      <c r="G13" s="47">
        <f>IF($M13="","",IF(INDEX('Form Calc'!$R:$R,$M13)="","NEW","✓ yes"))</f>
        <v/>
      </c>
      <c r="H13" s="44">
        <f>IF($M13="","",INDEX('Form Calc'!$A:$A,$M13))</f>
        <v/>
      </c>
      <c r="I13" s="63">
        <f>IF($M13="","",INDEX('Form Calc'!$J:$J,$M13))</f>
        <v/>
      </c>
      <c r="J13" s="63">
        <f>IF($M13="","",INDEX('Form Calc'!$L:$L,$M13))</f>
        <v/>
      </c>
      <c r="K13" s="63">
        <f>IF($M13="","",INDEX('Form Calc'!$M:$M,$M13))</f>
        <v/>
      </c>
      <c r="L13" s="47">
        <f>IF($M13="","",INDEX('Form Calc'!$F:$F,$M13))</f>
        <v/>
      </c>
      <c r="M13" s="32">
        <f>IF(8&gt;MAX('Form Calc'!$Y$2:$Y$601),"",IFERROR(MATCH(MAX('Form Calc'!$Y$2:$Y$601)+1-8,'Form Calc'!$Z:$Z,0),""))</f>
        <v/>
      </c>
    </row>
    <row r="14">
      <c r="A14" s="62">
        <f>IF($M14="","",INDEX('Form Calc'!$B:$B,$M14))</f>
        <v/>
      </c>
      <c r="B14" s="47">
        <f>IF($M14="","",INDEX('Form Calc'!$G:$G,$M14))</f>
        <v/>
      </c>
      <c r="C14" s="47">
        <f>IF($M14="","",INDEX('Form Calc'!$H:$H,$M14))</f>
        <v/>
      </c>
      <c r="D14" s="47">
        <f>IF($M14="","",INDEX('Form Calc'!$I:$I,$M14))</f>
        <v/>
      </c>
      <c r="E14" s="47">
        <f>IF($M14="","",INDEX('Form Calc'!$K:$K,$M14))</f>
        <v/>
      </c>
      <c r="F14" s="47">
        <f>IF($M14="","",INDEX('Form Calc'!$C:$C,$M14))</f>
        <v/>
      </c>
      <c r="G14" s="47">
        <f>IF($M14="","",IF(INDEX('Form Calc'!$R:$R,$M14)="","NEW","✓ yes"))</f>
        <v/>
      </c>
      <c r="H14" s="44">
        <f>IF($M14="","",INDEX('Form Calc'!$A:$A,$M14))</f>
        <v/>
      </c>
      <c r="I14" s="63">
        <f>IF($M14="","",INDEX('Form Calc'!$J:$J,$M14))</f>
        <v/>
      </c>
      <c r="J14" s="63">
        <f>IF($M14="","",INDEX('Form Calc'!$L:$L,$M14))</f>
        <v/>
      </c>
      <c r="K14" s="63">
        <f>IF($M14="","",INDEX('Form Calc'!$M:$M,$M14))</f>
        <v/>
      </c>
      <c r="L14" s="47">
        <f>IF($M14="","",INDEX('Form Calc'!$F:$F,$M14))</f>
        <v/>
      </c>
      <c r="M14" s="32">
        <f>IF(9&gt;MAX('Form Calc'!$Y$2:$Y$601),"",IFERROR(MATCH(MAX('Form Calc'!$Y$2:$Y$601)+1-9,'Form Calc'!$Z:$Z,0),""))</f>
        <v/>
      </c>
    </row>
    <row r="15">
      <c r="A15" s="62">
        <f>IF($M15="","",INDEX('Form Calc'!$B:$B,$M15))</f>
        <v/>
      </c>
      <c r="B15" s="47">
        <f>IF($M15="","",INDEX('Form Calc'!$G:$G,$M15))</f>
        <v/>
      </c>
      <c r="C15" s="47">
        <f>IF($M15="","",INDEX('Form Calc'!$H:$H,$M15))</f>
        <v/>
      </c>
      <c r="D15" s="47">
        <f>IF($M15="","",INDEX('Form Calc'!$I:$I,$M15))</f>
        <v/>
      </c>
      <c r="E15" s="47">
        <f>IF($M15="","",INDEX('Form Calc'!$K:$K,$M15))</f>
        <v/>
      </c>
      <c r="F15" s="47">
        <f>IF($M15="","",INDEX('Form Calc'!$C:$C,$M15))</f>
        <v/>
      </c>
      <c r="G15" s="47">
        <f>IF($M15="","",IF(INDEX('Form Calc'!$R:$R,$M15)="","NEW","✓ yes"))</f>
        <v/>
      </c>
      <c r="H15" s="44">
        <f>IF($M15="","",INDEX('Form Calc'!$A:$A,$M15))</f>
        <v/>
      </c>
      <c r="I15" s="63">
        <f>IF($M15="","",INDEX('Form Calc'!$J:$J,$M15))</f>
        <v/>
      </c>
      <c r="J15" s="63">
        <f>IF($M15="","",INDEX('Form Calc'!$L:$L,$M15))</f>
        <v/>
      </c>
      <c r="K15" s="63">
        <f>IF($M15="","",INDEX('Form Calc'!$M:$M,$M15))</f>
        <v/>
      </c>
      <c r="L15" s="47">
        <f>IF($M15="","",INDEX('Form Calc'!$F:$F,$M15))</f>
        <v/>
      </c>
      <c r="M15" s="32">
        <f>IF(10&gt;MAX('Form Calc'!$Y$2:$Y$601),"",IFERROR(MATCH(MAX('Form Calc'!$Y$2:$Y$601)+1-10,'Form Calc'!$Z:$Z,0),""))</f>
        <v/>
      </c>
    </row>
    <row r="16">
      <c r="A16" s="62">
        <f>IF($M16="","",INDEX('Form Calc'!$B:$B,$M16))</f>
        <v/>
      </c>
      <c r="B16" s="47">
        <f>IF($M16="","",INDEX('Form Calc'!$G:$G,$M16))</f>
        <v/>
      </c>
      <c r="C16" s="47">
        <f>IF($M16="","",INDEX('Form Calc'!$H:$H,$M16))</f>
        <v/>
      </c>
      <c r="D16" s="47">
        <f>IF($M16="","",INDEX('Form Calc'!$I:$I,$M16))</f>
        <v/>
      </c>
      <c r="E16" s="47">
        <f>IF($M16="","",INDEX('Form Calc'!$K:$K,$M16))</f>
        <v/>
      </c>
      <c r="F16" s="47">
        <f>IF($M16="","",INDEX('Form Calc'!$C:$C,$M16))</f>
        <v/>
      </c>
      <c r="G16" s="47">
        <f>IF($M16="","",IF(INDEX('Form Calc'!$R:$R,$M16)="","NEW","✓ yes"))</f>
        <v/>
      </c>
      <c r="H16" s="44">
        <f>IF($M16="","",INDEX('Form Calc'!$A:$A,$M16))</f>
        <v/>
      </c>
      <c r="I16" s="63">
        <f>IF($M16="","",INDEX('Form Calc'!$J:$J,$M16))</f>
        <v/>
      </c>
      <c r="J16" s="63">
        <f>IF($M16="","",INDEX('Form Calc'!$L:$L,$M16))</f>
        <v/>
      </c>
      <c r="K16" s="63">
        <f>IF($M16="","",INDEX('Form Calc'!$M:$M,$M16))</f>
        <v/>
      </c>
      <c r="L16" s="47">
        <f>IF($M16="","",INDEX('Form Calc'!$F:$F,$M16))</f>
        <v/>
      </c>
      <c r="M16" s="32">
        <f>IF(11&gt;MAX('Form Calc'!$Y$2:$Y$601),"",IFERROR(MATCH(MAX('Form Calc'!$Y$2:$Y$601)+1-11,'Form Calc'!$Z:$Z,0),""))</f>
        <v/>
      </c>
    </row>
    <row r="17">
      <c r="A17" s="62">
        <f>IF($M17="","",INDEX('Form Calc'!$B:$B,$M17))</f>
        <v/>
      </c>
      <c r="B17" s="47">
        <f>IF($M17="","",INDEX('Form Calc'!$G:$G,$M17))</f>
        <v/>
      </c>
      <c r="C17" s="47">
        <f>IF($M17="","",INDEX('Form Calc'!$H:$H,$M17))</f>
        <v/>
      </c>
      <c r="D17" s="47">
        <f>IF($M17="","",INDEX('Form Calc'!$I:$I,$M17))</f>
        <v/>
      </c>
      <c r="E17" s="47">
        <f>IF($M17="","",INDEX('Form Calc'!$K:$K,$M17))</f>
        <v/>
      </c>
      <c r="F17" s="47">
        <f>IF($M17="","",INDEX('Form Calc'!$C:$C,$M17))</f>
        <v/>
      </c>
      <c r="G17" s="47">
        <f>IF($M17="","",IF(INDEX('Form Calc'!$R:$R,$M17)="","NEW","✓ yes"))</f>
        <v/>
      </c>
      <c r="H17" s="44">
        <f>IF($M17="","",INDEX('Form Calc'!$A:$A,$M17))</f>
        <v/>
      </c>
      <c r="I17" s="63">
        <f>IF($M17="","",INDEX('Form Calc'!$J:$J,$M17))</f>
        <v/>
      </c>
      <c r="J17" s="63">
        <f>IF($M17="","",INDEX('Form Calc'!$L:$L,$M17))</f>
        <v/>
      </c>
      <c r="K17" s="63">
        <f>IF($M17="","",INDEX('Form Calc'!$M:$M,$M17))</f>
        <v/>
      </c>
      <c r="L17" s="47">
        <f>IF($M17="","",INDEX('Form Calc'!$F:$F,$M17))</f>
        <v/>
      </c>
      <c r="M17" s="32">
        <f>IF(12&gt;MAX('Form Calc'!$Y$2:$Y$601),"",IFERROR(MATCH(MAX('Form Calc'!$Y$2:$Y$601)+1-12,'Form Calc'!$Z:$Z,0),""))</f>
        <v/>
      </c>
    </row>
    <row r="18">
      <c r="A18" s="62">
        <f>IF($M18="","",INDEX('Form Calc'!$B:$B,$M18))</f>
        <v/>
      </c>
      <c r="B18" s="47">
        <f>IF($M18="","",INDEX('Form Calc'!$G:$G,$M18))</f>
        <v/>
      </c>
      <c r="C18" s="47">
        <f>IF($M18="","",INDEX('Form Calc'!$H:$H,$M18))</f>
        <v/>
      </c>
      <c r="D18" s="47">
        <f>IF($M18="","",INDEX('Form Calc'!$I:$I,$M18))</f>
        <v/>
      </c>
      <c r="E18" s="47">
        <f>IF($M18="","",INDEX('Form Calc'!$K:$K,$M18))</f>
        <v/>
      </c>
      <c r="F18" s="47">
        <f>IF($M18="","",INDEX('Form Calc'!$C:$C,$M18))</f>
        <v/>
      </c>
      <c r="G18" s="47">
        <f>IF($M18="","",IF(INDEX('Form Calc'!$R:$R,$M18)="","NEW","✓ yes"))</f>
        <v/>
      </c>
      <c r="H18" s="44">
        <f>IF($M18="","",INDEX('Form Calc'!$A:$A,$M18))</f>
        <v/>
      </c>
      <c r="I18" s="63">
        <f>IF($M18="","",INDEX('Form Calc'!$J:$J,$M18))</f>
        <v/>
      </c>
      <c r="J18" s="63">
        <f>IF($M18="","",INDEX('Form Calc'!$L:$L,$M18))</f>
        <v/>
      </c>
      <c r="K18" s="63">
        <f>IF($M18="","",INDEX('Form Calc'!$M:$M,$M18))</f>
        <v/>
      </c>
      <c r="L18" s="47">
        <f>IF($M18="","",INDEX('Form Calc'!$F:$F,$M18))</f>
        <v/>
      </c>
      <c r="M18" s="32">
        <f>IF(13&gt;MAX('Form Calc'!$Y$2:$Y$601),"",IFERROR(MATCH(MAX('Form Calc'!$Y$2:$Y$601)+1-13,'Form Calc'!$Z:$Z,0),""))</f>
        <v/>
      </c>
    </row>
    <row r="19">
      <c r="A19" s="62">
        <f>IF($M19="","",INDEX('Form Calc'!$B:$B,$M19))</f>
        <v/>
      </c>
      <c r="B19" s="47">
        <f>IF($M19="","",INDEX('Form Calc'!$G:$G,$M19))</f>
        <v/>
      </c>
      <c r="C19" s="47">
        <f>IF($M19="","",INDEX('Form Calc'!$H:$H,$M19))</f>
        <v/>
      </c>
      <c r="D19" s="47">
        <f>IF($M19="","",INDEX('Form Calc'!$I:$I,$M19))</f>
        <v/>
      </c>
      <c r="E19" s="47">
        <f>IF($M19="","",INDEX('Form Calc'!$K:$K,$M19))</f>
        <v/>
      </c>
      <c r="F19" s="47">
        <f>IF($M19="","",INDEX('Form Calc'!$C:$C,$M19))</f>
        <v/>
      </c>
      <c r="G19" s="47">
        <f>IF($M19="","",IF(INDEX('Form Calc'!$R:$R,$M19)="","NEW","✓ yes"))</f>
        <v/>
      </c>
      <c r="H19" s="44">
        <f>IF($M19="","",INDEX('Form Calc'!$A:$A,$M19))</f>
        <v/>
      </c>
      <c r="I19" s="63">
        <f>IF($M19="","",INDEX('Form Calc'!$J:$J,$M19))</f>
        <v/>
      </c>
      <c r="J19" s="63">
        <f>IF($M19="","",INDEX('Form Calc'!$L:$L,$M19))</f>
        <v/>
      </c>
      <c r="K19" s="63">
        <f>IF($M19="","",INDEX('Form Calc'!$M:$M,$M19))</f>
        <v/>
      </c>
      <c r="L19" s="47">
        <f>IF($M19="","",INDEX('Form Calc'!$F:$F,$M19))</f>
        <v/>
      </c>
      <c r="M19" s="32">
        <f>IF(14&gt;MAX('Form Calc'!$Y$2:$Y$601),"",IFERROR(MATCH(MAX('Form Calc'!$Y$2:$Y$601)+1-14,'Form Calc'!$Z:$Z,0),""))</f>
        <v/>
      </c>
    </row>
    <row r="20">
      <c r="A20" s="62">
        <f>IF($M20="","",INDEX('Form Calc'!$B:$B,$M20))</f>
        <v/>
      </c>
      <c r="B20" s="47">
        <f>IF($M20="","",INDEX('Form Calc'!$G:$G,$M20))</f>
        <v/>
      </c>
      <c r="C20" s="47">
        <f>IF($M20="","",INDEX('Form Calc'!$H:$H,$M20))</f>
        <v/>
      </c>
      <c r="D20" s="47">
        <f>IF($M20="","",INDEX('Form Calc'!$I:$I,$M20))</f>
        <v/>
      </c>
      <c r="E20" s="47">
        <f>IF($M20="","",INDEX('Form Calc'!$K:$K,$M20))</f>
        <v/>
      </c>
      <c r="F20" s="47">
        <f>IF($M20="","",INDEX('Form Calc'!$C:$C,$M20))</f>
        <v/>
      </c>
      <c r="G20" s="47">
        <f>IF($M20="","",IF(INDEX('Form Calc'!$R:$R,$M20)="","NEW","✓ yes"))</f>
        <v/>
      </c>
      <c r="H20" s="44">
        <f>IF($M20="","",INDEX('Form Calc'!$A:$A,$M20))</f>
        <v/>
      </c>
      <c r="I20" s="63">
        <f>IF($M20="","",INDEX('Form Calc'!$J:$J,$M20))</f>
        <v/>
      </c>
      <c r="J20" s="63">
        <f>IF($M20="","",INDEX('Form Calc'!$L:$L,$M20))</f>
        <v/>
      </c>
      <c r="K20" s="63">
        <f>IF($M20="","",INDEX('Form Calc'!$M:$M,$M20))</f>
        <v/>
      </c>
      <c r="L20" s="47">
        <f>IF($M20="","",INDEX('Form Calc'!$F:$F,$M20))</f>
        <v/>
      </c>
      <c r="M20" s="32">
        <f>IF(15&gt;MAX('Form Calc'!$Y$2:$Y$601),"",IFERROR(MATCH(MAX('Form Calc'!$Y$2:$Y$601)+1-15,'Form Calc'!$Z:$Z,0),""))</f>
        <v/>
      </c>
    </row>
    <row r="21">
      <c r="A21" s="62">
        <f>IF($M21="","",INDEX('Form Calc'!$B:$B,$M21))</f>
        <v/>
      </c>
      <c r="B21" s="47">
        <f>IF($M21="","",INDEX('Form Calc'!$G:$G,$M21))</f>
        <v/>
      </c>
      <c r="C21" s="47">
        <f>IF($M21="","",INDEX('Form Calc'!$H:$H,$M21))</f>
        <v/>
      </c>
      <c r="D21" s="47">
        <f>IF($M21="","",INDEX('Form Calc'!$I:$I,$M21))</f>
        <v/>
      </c>
      <c r="E21" s="47">
        <f>IF($M21="","",INDEX('Form Calc'!$K:$K,$M21))</f>
        <v/>
      </c>
      <c r="F21" s="47">
        <f>IF($M21="","",INDEX('Form Calc'!$C:$C,$M21))</f>
        <v/>
      </c>
      <c r="G21" s="47">
        <f>IF($M21="","",IF(INDEX('Form Calc'!$R:$R,$M21)="","NEW","✓ yes"))</f>
        <v/>
      </c>
      <c r="H21" s="44">
        <f>IF($M21="","",INDEX('Form Calc'!$A:$A,$M21))</f>
        <v/>
      </c>
      <c r="I21" s="63">
        <f>IF($M21="","",INDEX('Form Calc'!$J:$J,$M21))</f>
        <v/>
      </c>
      <c r="J21" s="63">
        <f>IF($M21="","",INDEX('Form Calc'!$L:$L,$M21))</f>
        <v/>
      </c>
      <c r="K21" s="63">
        <f>IF($M21="","",INDEX('Form Calc'!$M:$M,$M21))</f>
        <v/>
      </c>
      <c r="L21" s="47">
        <f>IF($M21="","",INDEX('Form Calc'!$F:$F,$M21))</f>
        <v/>
      </c>
      <c r="M21" s="32">
        <f>IF(16&gt;MAX('Form Calc'!$Y$2:$Y$601),"",IFERROR(MATCH(MAX('Form Calc'!$Y$2:$Y$601)+1-16,'Form Calc'!$Z:$Z,0),""))</f>
        <v/>
      </c>
    </row>
    <row r="22">
      <c r="A22" s="62">
        <f>IF($M22="","",INDEX('Form Calc'!$B:$B,$M22))</f>
        <v/>
      </c>
      <c r="B22" s="47">
        <f>IF($M22="","",INDEX('Form Calc'!$G:$G,$M22))</f>
        <v/>
      </c>
      <c r="C22" s="47">
        <f>IF($M22="","",INDEX('Form Calc'!$H:$H,$M22))</f>
        <v/>
      </c>
      <c r="D22" s="47">
        <f>IF($M22="","",INDEX('Form Calc'!$I:$I,$M22))</f>
        <v/>
      </c>
      <c r="E22" s="47">
        <f>IF($M22="","",INDEX('Form Calc'!$K:$K,$M22))</f>
        <v/>
      </c>
      <c r="F22" s="47">
        <f>IF($M22="","",INDEX('Form Calc'!$C:$C,$M22))</f>
        <v/>
      </c>
      <c r="G22" s="47">
        <f>IF($M22="","",IF(INDEX('Form Calc'!$R:$R,$M22)="","NEW","✓ yes"))</f>
        <v/>
      </c>
      <c r="H22" s="44">
        <f>IF($M22="","",INDEX('Form Calc'!$A:$A,$M22))</f>
        <v/>
      </c>
      <c r="I22" s="63">
        <f>IF($M22="","",INDEX('Form Calc'!$J:$J,$M22))</f>
        <v/>
      </c>
      <c r="J22" s="63">
        <f>IF($M22="","",INDEX('Form Calc'!$L:$L,$M22))</f>
        <v/>
      </c>
      <c r="K22" s="63">
        <f>IF($M22="","",INDEX('Form Calc'!$M:$M,$M22))</f>
        <v/>
      </c>
      <c r="L22" s="47">
        <f>IF($M22="","",INDEX('Form Calc'!$F:$F,$M22))</f>
        <v/>
      </c>
      <c r="M22" s="32">
        <f>IF(17&gt;MAX('Form Calc'!$Y$2:$Y$601),"",IFERROR(MATCH(MAX('Form Calc'!$Y$2:$Y$601)+1-17,'Form Calc'!$Z:$Z,0),""))</f>
        <v/>
      </c>
    </row>
    <row r="23">
      <c r="A23" s="62">
        <f>IF($M23="","",INDEX('Form Calc'!$B:$B,$M23))</f>
        <v/>
      </c>
      <c r="B23" s="47">
        <f>IF($M23="","",INDEX('Form Calc'!$G:$G,$M23))</f>
        <v/>
      </c>
      <c r="C23" s="47">
        <f>IF($M23="","",INDEX('Form Calc'!$H:$H,$M23))</f>
        <v/>
      </c>
      <c r="D23" s="47">
        <f>IF($M23="","",INDEX('Form Calc'!$I:$I,$M23))</f>
        <v/>
      </c>
      <c r="E23" s="47">
        <f>IF($M23="","",INDEX('Form Calc'!$K:$K,$M23))</f>
        <v/>
      </c>
      <c r="F23" s="47">
        <f>IF($M23="","",INDEX('Form Calc'!$C:$C,$M23))</f>
        <v/>
      </c>
      <c r="G23" s="47">
        <f>IF($M23="","",IF(INDEX('Form Calc'!$R:$R,$M23)="","NEW","✓ yes"))</f>
        <v/>
      </c>
      <c r="H23" s="44">
        <f>IF($M23="","",INDEX('Form Calc'!$A:$A,$M23))</f>
        <v/>
      </c>
      <c r="I23" s="63">
        <f>IF($M23="","",INDEX('Form Calc'!$J:$J,$M23))</f>
        <v/>
      </c>
      <c r="J23" s="63">
        <f>IF($M23="","",INDEX('Form Calc'!$L:$L,$M23))</f>
        <v/>
      </c>
      <c r="K23" s="63">
        <f>IF($M23="","",INDEX('Form Calc'!$M:$M,$M23))</f>
        <v/>
      </c>
      <c r="L23" s="47">
        <f>IF($M23="","",INDEX('Form Calc'!$F:$F,$M23))</f>
        <v/>
      </c>
      <c r="M23" s="32">
        <f>IF(18&gt;MAX('Form Calc'!$Y$2:$Y$601),"",IFERROR(MATCH(MAX('Form Calc'!$Y$2:$Y$601)+1-18,'Form Calc'!$Z:$Z,0),""))</f>
        <v/>
      </c>
    </row>
    <row r="24">
      <c r="A24" s="62">
        <f>IF($M24="","",INDEX('Form Calc'!$B:$B,$M24))</f>
        <v/>
      </c>
      <c r="B24" s="47">
        <f>IF($M24="","",INDEX('Form Calc'!$G:$G,$M24))</f>
        <v/>
      </c>
      <c r="C24" s="47">
        <f>IF($M24="","",INDEX('Form Calc'!$H:$H,$M24))</f>
        <v/>
      </c>
      <c r="D24" s="47">
        <f>IF($M24="","",INDEX('Form Calc'!$I:$I,$M24))</f>
        <v/>
      </c>
      <c r="E24" s="47">
        <f>IF($M24="","",INDEX('Form Calc'!$K:$K,$M24))</f>
        <v/>
      </c>
      <c r="F24" s="47">
        <f>IF($M24="","",INDEX('Form Calc'!$C:$C,$M24))</f>
        <v/>
      </c>
      <c r="G24" s="47">
        <f>IF($M24="","",IF(INDEX('Form Calc'!$R:$R,$M24)="","NEW","✓ yes"))</f>
        <v/>
      </c>
      <c r="H24" s="44">
        <f>IF($M24="","",INDEX('Form Calc'!$A:$A,$M24))</f>
        <v/>
      </c>
      <c r="I24" s="63">
        <f>IF($M24="","",INDEX('Form Calc'!$J:$J,$M24))</f>
        <v/>
      </c>
      <c r="J24" s="63">
        <f>IF($M24="","",INDEX('Form Calc'!$L:$L,$M24))</f>
        <v/>
      </c>
      <c r="K24" s="63">
        <f>IF($M24="","",INDEX('Form Calc'!$M:$M,$M24))</f>
        <v/>
      </c>
      <c r="L24" s="47">
        <f>IF($M24="","",INDEX('Form Calc'!$F:$F,$M24))</f>
        <v/>
      </c>
      <c r="M24" s="32">
        <f>IF(19&gt;MAX('Form Calc'!$Y$2:$Y$601),"",IFERROR(MATCH(MAX('Form Calc'!$Y$2:$Y$601)+1-19,'Form Calc'!$Z:$Z,0),""))</f>
        <v/>
      </c>
    </row>
    <row r="25">
      <c r="A25" s="62">
        <f>IF($M25="","",INDEX('Form Calc'!$B:$B,$M25))</f>
        <v/>
      </c>
      <c r="B25" s="47">
        <f>IF($M25="","",INDEX('Form Calc'!$G:$G,$M25))</f>
        <v/>
      </c>
      <c r="C25" s="47">
        <f>IF($M25="","",INDEX('Form Calc'!$H:$H,$M25))</f>
        <v/>
      </c>
      <c r="D25" s="47">
        <f>IF($M25="","",INDEX('Form Calc'!$I:$I,$M25))</f>
        <v/>
      </c>
      <c r="E25" s="47">
        <f>IF($M25="","",INDEX('Form Calc'!$K:$K,$M25))</f>
        <v/>
      </c>
      <c r="F25" s="47">
        <f>IF($M25="","",INDEX('Form Calc'!$C:$C,$M25))</f>
        <v/>
      </c>
      <c r="G25" s="47">
        <f>IF($M25="","",IF(INDEX('Form Calc'!$R:$R,$M25)="","NEW","✓ yes"))</f>
        <v/>
      </c>
      <c r="H25" s="44">
        <f>IF($M25="","",INDEX('Form Calc'!$A:$A,$M25))</f>
        <v/>
      </c>
      <c r="I25" s="63">
        <f>IF($M25="","",INDEX('Form Calc'!$J:$J,$M25))</f>
        <v/>
      </c>
      <c r="J25" s="63">
        <f>IF($M25="","",INDEX('Form Calc'!$L:$L,$M25))</f>
        <v/>
      </c>
      <c r="K25" s="63">
        <f>IF($M25="","",INDEX('Form Calc'!$M:$M,$M25))</f>
        <v/>
      </c>
      <c r="L25" s="47">
        <f>IF($M25="","",INDEX('Form Calc'!$F:$F,$M25))</f>
        <v/>
      </c>
      <c r="M25" s="32">
        <f>IF(20&gt;MAX('Form Calc'!$Y$2:$Y$601),"",IFERROR(MATCH(MAX('Form Calc'!$Y$2:$Y$601)+1-20,'Form Calc'!$Z:$Z,0),""))</f>
        <v/>
      </c>
    </row>
    <row r="26">
      <c r="A26" s="62">
        <f>IF($M26="","",INDEX('Form Calc'!$B:$B,$M26))</f>
        <v/>
      </c>
      <c r="B26" s="47">
        <f>IF($M26="","",INDEX('Form Calc'!$G:$G,$M26))</f>
        <v/>
      </c>
      <c r="C26" s="47">
        <f>IF($M26="","",INDEX('Form Calc'!$H:$H,$M26))</f>
        <v/>
      </c>
      <c r="D26" s="47">
        <f>IF($M26="","",INDEX('Form Calc'!$I:$I,$M26))</f>
        <v/>
      </c>
      <c r="E26" s="47">
        <f>IF($M26="","",INDEX('Form Calc'!$K:$K,$M26))</f>
        <v/>
      </c>
      <c r="F26" s="47">
        <f>IF($M26="","",INDEX('Form Calc'!$C:$C,$M26))</f>
        <v/>
      </c>
      <c r="G26" s="47">
        <f>IF($M26="","",IF(INDEX('Form Calc'!$R:$R,$M26)="","NEW","✓ yes"))</f>
        <v/>
      </c>
      <c r="H26" s="44">
        <f>IF($M26="","",INDEX('Form Calc'!$A:$A,$M26))</f>
        <v/>
      </c>
      <c r="I26" s="63">
        <f>IF($M26="","",INDEX('Form Calc'!$J:$J,$M26))</f>
        <v/>
      </c>
      <c r="J26" s="63">
        <f>IF($M26="","",INDEX('Form Calc'!$L:$L,$M26))</f>
        <v/>
      </c>
      <c r="K26" s="63">
        <f>IF($M26="","",INDEX('Form Calc'!$M:$M,$M26))</f>
        <v/>
      </c>
      <c r="L26" s="47">
        <f>IF($M26="","",INDEX('Form Calc'!$F:$F,$M26))</f>
        <v/>
      </c>
      <c r="M26" s="32">
        <f>IF(21&gt;MAX('Form Calc'!$Y$2:$Y$601),"",IFERROR(MATCH(MAX('Form Calc'!$Y$2:$Y$601)+1-21,'Form Calc'!$Z:$Z,0),""))</f>
        <v/>
      </c>
    </row>
    <row r="27">
      <c r="A27" s="62">
        <f>IF($M27="","",INDEX('Form Calc'!$B:$B,$M27))</f>
        <v/>
      </c>
      <c r="B27" s="47">
        <f>IF($M27="","",INDEX('Form Calc'!$G:$G,$M27))</f>
        <v/>
      </c>
      <c r="C27" s="47">
        <f>IF($M27="","",INDEX('Form Calc'!$H:$H,$M27))</f>
        <v/>
      </c>
      <c r="D27" s="47">
        <f>IF($M27="","",INDEX('Form Calc'!$I:$I,$M27))</f>
        <v/>
      </c>
      <c r="E27" s="47">
        <f>IF($M27="","",INDEX('Form Calc'!$K:$K,$M27))</f>
        <v/>
      </c>
      <c r="F27" s="47">
        <f>IF($M27="","",INDEX('Form Calc'!$C:$C,$M27))</f>
        <v/>
      </c>
      <c r="G27" s="47">
        <f>IF($M27="","",IF(INDEX('Form Calc'!$R:$R,$M27)="","NEW","✓ yes"))</f>
        <v/>
      </c>
      <c r="H27" s="44">
        <f>IF($M27="","",INDEX('Form Calc'!$A:$A,$M27))</f>
        <v/>
      </c>
      <c r="I27" s="63">
        <f>IF($M27="","",INDEX('Form Calc'!$J:$J,$M27))</f>
        <v/>
      </c>
      <c r="J27" s="63">
        <f>IF($M27="","",INDEX('Form Calc'!$L:$L,$M27))</f>
        <v/>
      </c>
      <c r="K27" s="63">
        <f>IF($M27="","",INDEX('Form Calc'!$M:$M,$M27))</f>
        <v/>
      </c>
      <c r="L27" s="47">
        <f>IF($M27="","",INDEX('Form Calc'!$F:$F,$M27))</f>
        <v/>
      </c>
      <c r="M27" s="32">
        <f>IF(22&gt;MAX('Form Calc'!$Y$2:$Y$601),"",IFERROR(MATCH(MAX('Form Calc'!$Y$2:$Y$601)+1-22,'Form Calc'!$Z:$Z,0),""))</f>
        <v/>
      </c>
    </row>
    <row r="28">
      <c r="A28" s="62">
        <f>IF($M28="","",INDEX('Form Calc'!$B:$B,$M28))</f>
        <v/>
      </c>
      <c r="B28" s="47">
        <f>IF($M28="","",INDEX('Form Calc'!$G:$G,$M28))</f>
        <v/>
      </c>
      <c r="C28" s="47">
        <f>IF($M28="","",INDEX('Form Calc'!$H:$H,$M28))</f>
        <v/>
      </c>
      <c r="D28" s="47">
        <f>IF($M28="","",INDEX('Form Calc'!$I:$I,$M28))</f>
        <v/>
      </c>
      <c r="E28" s="47">
        <f>IF($M28="","",INDEX('Form Calc'!$K:$K,$M28))</f>
        <v/>
      </c>
      <c r="F28" s="47">
        <f>IF($M28="","",INDEX('Form Calc'!$C:$C,$M28))</f>
        <v/>
      </c>
      <c r="G28" s="47">
        <f>IF($M28="","",IF(INDEX('Form Calc'!$R:$R,$M28)="","NEW","✓ yes"))</f>
        <v/>
      </c>
      <c r="H28" s="44">
        <f>IF($M28="","",INDEX('Form Calc'!$A:$A,$M28))</f>
        <v/>
      </c>
      <c r="I28" s="63">
        <f>IF($M28="","",INDEX('Form Calc'!$J:$J,$M28))</f>
        <v/>
      </c>
      <c r="J28" s="63">
        <f>IF($M28="","",INDEX('Form Calc'!$L:$L,$M28))</f>
        <v/>
      </c>
      <c r="K28" s="63">
        <f>IF($M28="","",INDEX('Form Calc'!$M:$M,$M28))</f>
        <v/>
      </c>
      <c r="L28" s="47">
        <f>IF($M28="","",INDEX('Form Calc'!$F:$F,$M28))</f>
        <v/>
      </c>
      <c r="M28" s="32">
        <f>IF(23&gt;MAX('Form Calc'!$Y$2:$Y$601),"",IFERROR(MATCH(MAX('Form Calc'!$Y$2:$Y$601)+1-23,'Form Calc'!$Z:$Z,0),""))</f>
        <v/>
      </c>
    </row>
    <row r="29">
      <c r="A29" s="62">
        <f>IF($M29="","",INDEX('Form Calc'!$B:$B,$M29))</f>
        <v/>
      </c>
      <c r="B29" s="47">
        <f>IF($M29="","",INDEX('Form Calc'!$G:$G,$M29))</f>
        <v/>
      </c>
      <c r="C29" s="47">
        <f>IF($M29="","",INDEX('Form Calc'!$H:$H,$M29))</f>
        <v/>
      </c>
      <c r="D29" s="47">
        <f>IF($M29="","",INDEX('Form Calc'!$I:$I,$M29))</f>
        <v/>
      </c>
      <c r="E29" s="47">
        <f>IF($M29="","",INDEX('Form Calc'!$K:$K,$M29))</f>
        <v/>
      </c>
      <c r="F29" s="47">
        <f>IF($M29="","",INDEX('Form Calc'!$C:$C,$M29))</f>
        <v/>
      </c>
      <c r="G29" s="47">
        <f>IF($M29="","",IF(INDEX('Form Calc'!$R:$R,$M29)="","NEW","✓ yes"))</f>
        <v/>
      </c>
      <c r="H29" s="44">
        <f>IF($M29="","",INDEX('Form Calc'!$A:$A,$M29))</f>
        <v/>
      </c>
      <c r="I29" s="63">
        <f>IF($M29="","",INDEX('Form Calc'!$J:$J,$M29))</f>
        <v/>
      </c>
      <c r="J29" s="63">
        <f>IF($M29="","",INDEX('Form Calc'!$L:$L,$M29))</f>
        <v/>
      </c>
      <c r="K29" s="63">
        <f>IF($M29="","",INDEX('Form Calc'!$M:$M,$M29))</f>
        <v/>
      </c>
      <c r="L29" s="47">
        <f>IF($M29="","",INDEX('Form Calc'!$F:$F,$M29))</f>
        <v/>
      </c>
      <c r="M29" s="32">
        <f>IF(24&gt;MAX('Form Calc'!$Y$2:$Y$601),"",IFERROR(MATCH(MAX('Form Calc'!$Y$2:$Y$601)+1-24,'Form Calc'!$Z:$Z,0),""))</f>
        <v/>
      </c>
    </row>
    <row r="30">
      <c r="A30" s="62">
        <f>IF($M30="","",INDEX('Form Calc'!$B:$B,$M30))</f>
        <v/>
      </c>
      <c r="B30" s="47">
        <f>IF($M30="","",INDEX('Form Calc'!$G:$G,$M30))</f>
        <v/>
      </c>
      <c r="C30" s="47">
        <f>IF($M30="","",INDEX('Form Calc'!$H:$H,$M30))</f>
        <v/>
      </c>
      <c r="D30" s="47">
        <f>IF($M30="","",INDEX('Form Calc'!$I:$I,$M30))</f>
        <v/>
      </c>
      <c r="E30" s="47">
        <f>IF($M30="","",INDEX('Form Calc'!$K:$K,$M30))</f>
        <v/>
      </c>
      <c r="F30" s="47">
        <f>IF($M30="","",INDEX('Form Calc'!$C:$C,$M30))</f>
        <v/>
      </c>
      <c r="G30" s="47">
        <f>IF($M30="","",IF(INDEX('Form Calc'!$R:$R,$M30)="","NEW","✓ yes"))</f>
        <v/>
      </c>
      <c r="H30" s="44">
        <f>IF($M30="","",INDEX('Form Calc'!$A:$A,$M30))</f>
        <v/>
      </c>
      <c r="I30" s="63">
        <f>IF($M30="","",INDEX('Form Calc'!$J:$J,$M30))</f>
        <v/>
      </c>
      <c r="J30" s="63">
        <f>IF($M30="","",INDEX('Form Calc'!$L:$L,$M30))</f>
        <v/>
      </c>
      <c r="K30" s="63">
        <f>IF($M30="","",INDEX('Form Calc'!$M:$M,$M30))</f>
        <v/>
      </c>
      <c r="L30" s="47">
        <f>IF($M30="","",INDEX('Form Calc'!$F:$F,$M30))</f>
        <v/>
      </c>
      <c r="M30" s="32">
        <f>IF(25&gt;MAX('Form Calc'!$Y$2:$Y$601),"",IFERROR(MATCH(MAX('Form Calc'!$Y$2:$Y$601)+1-25,'Form Calc'!$Z:$Z,0),""))</f>
        <v/>
      </c>
    </row>
    <row r="31">
      <c r="A31" s="62">
        <f>IF($M31="","",INDEX('Form Calc'!$B:$B,$M31))</f>
        <v/>
      </c>
      <c r="B31" s="47">
        <f>IF($M31="","",INDEX('Form Calc'!$G:$G,$M31))</f>
        <v/>
      </c>
      <c r="C31" s="47">
        <f>IF($M31="","",INDEX('Form Calc'!$H:$H,$M31))</f>
        <v/>
      </c>
      <c r="D31" s="47">
        <f>IF($M31="","",INDEX('Form Calc'!$I:$I,$M31))</f>
        <v/>
      </c>
      <c r="E31" s="47">
        <f>IF($M31="","",INDEX('Form Calc'!$K:$K,$M31))</f>
        <v/>
      </c>
      <c r="F31" s="47">
        <f>IF($M31="","",INDEX('Form Calc'!$C:$C,$M31))</f>
        <v/>
      </c>
      <c r="G31" s="47">
        <f>IF($M31="","",IF(INDEX('Form Calc'!$R:$R,$M31)="","NEW","✓ yes"))</f>
        <v/>
      </c>
      <c r="H31" s="44">
        <f>IF($M31="","",INDEX('Form Calc'!$A:$A,$M31))</f>
        <v/>
      </c>
      <c r="I31" s="63">
        <f>IF($M31="","",INDEX('Form Calc'!$J:$J,$M31))</f>
        <v/>
      </c>
      <c r="J31" s="63">
        <f>IF($M31="","",INDEX('Form Calc'!$L:$L,$M31))</f>
        <v/>
      </c>
      <c r="K31" s="63">
        <f>IF($M31="","",INDEX('Form Calc'!$M:$M,$M31))</f>
        <v/>
      </c>
      <c r="L31" s="47">
        <f>IF($M31="","",INDEX('Form Calc'!$F:$F,$M31))</f>
        <v/>
      </c>
      <c r="M31" s="32">
        <f>IF(26&gt;MAX('Form Calc'!$Y$2:$Y$601),"",IFERROR(MATCH(MAX('Form Calc'!$Y$2:$Y$601)+1-26,'Form Calc'!$Z:$Z,0),""))</f>
        <v/>
      </c>
    </row>
    <row r="32">
      <c r="A32" s="62">
        <f>IF($M32="","",INDEX('Form Calc'!$B:$B,$M32))</f>
        <v/>
      </c>
      <c r="B32" s="47">
        <f>IF($M32="","",INDEX('Form Calc'!$G:$G,$M32))</f>
        <v/>
      </c>
      <c r="C32" s="47">
        <f>IF($M32="","",INDEX('Form Calc'!$H:$H,$M32))</f>
        <v/>
      </c>
      <c r="D32" s="47">
        <f>IF($M32="","",INDEX('Form Calc'!$I:$I,$M32))</f>
        <v/>
      </c>
      <c r="E32" s="47">
        <f>IF($M32="","",INDEX('Form Calc'!$K:$K,$M32))</f>
        <v/>
      </c>
      <c r="F32" s="47">
        <f>IF($M32="","",INDEX('Form Calc'!$C:$C,$M32))</f>
        <v/>
      </c>
      <c r="G32" s="47">
        <f>IF($M32="","",IF(INDEX('Form Calc'!$R:$R,$M32)="","NEW","✓ yes"))</f>
        <v/>
      </c>
      <c r="H32" s="44">
        <f>IF($M32="","",INDEX('Form Calc'!$A:$A,$M32))</f>
        <v/>
      </c>
      <c r="I32" s="63">
        <f>IF($M32="","",INDEX('Form Calc'!$J:$J,$M32))</f>
        <v/>
      </c>
      <c r="J32" s="63">
        <f>IF($M32="","",INDEX('Form Calc'!$L:$L,$M32))</f>
        <v/>
      </c>
      <c r="K32" s="63">
        <f>IF($M32="","",INDEX('Form Calc'!$M:$M,$M32))</f>
        <v/>
      </c>
      <c r="L32" s="47">
        <f>IF($M32="","",INDEX('Form Calc'!$F:$F,$M32))</f>
        <v/>
      </c>
      <c r="M32" s="32">
        <f>IF(27&gt;MAX('Form Calc'!$Y$2:$Y$601),"",IFERROR(MATCH(MAX('Form Calc'!$Y$2:$Y$601)+1-27,'Form Calc'!$Z:$Z,0),""))</f>
        <v/>
      </c>
    </row>
    <row r="33">
      <c r="A33" s="62">
        <f>IF($M33="","",INDEX('Form Calc'!$B:$B,$M33))</f>
        <v/>
      </c>
      <c r="B33" s="47">
        <f>IF($M33="","",INDEX('Form Calc'!$G:$G,$M33))</f>
        <v/>
      </c>
      <c r="C33" s="47">
        <f>IF($M33="","",INDEX('Form Calc'!$H:$H,$M33))</f>
        <v/>
      </c>
      <c r="D33" s="47">
        <f>IF($M33="","",INDEX('Form Calc'!$I:$I,$M33))</f>
        <v/>
      </c>
      <c r="E33" s="47">
        <f>IF($M33="","",INDEX('Form Calc'!$K:$K,$M33))</f>
        <v/>
      </c>
      <c r="F33" s="47">
        <f>IF($M33="","",INDEX('Form Calc'!$C:$C,$M33))</f>
        <v/>
      </c>
      <c r="G33" s="47">
        <f>IF($M33="","",IF(INDEX('Form Calc'!$R:$R,$M33)="","NEW","✓ yes"))</f>
        <v/>
      </c>
      <c r="H33" s="44">
        <f>IF($M33="","",INDEX('Form Calc'!$A:$A,$M33))</f>
        <v/>
      </c>
      <c r="I33" s="63">
        <f>IF($M33="","",INDEX('Form Calc'!$J:$J,$M33))</f>
        <v/>
      </c>
      <c r="J33" s="63">
        <f>IF($M33="","",INDEX('Form Calc'!$L:$L,$M33))</f>
        <v/>
      </c>
      <c r="K33" s="63">
        <f>IF($M33="","",INDEX('Form Calc'!$M:$M,$M33))</f>
        <v/>
      </c>
      <c r="L33" s="47">
        <f>IF($M33="","",INDEX('Form Calc'!$F:$F,$M33))</f>
        <v/>
      </c>
      <c r="M33" s="32">
        <f>IF(28&gt;MAX('Form Calc'!$Y$2:$Y$601),"",IFERROR(MATCH(MAX('Form Calc'!$Y$2:$Y$601)+1-28,'Form Calc'!$Z:$Z,0),""))</f>
        <v/>
      </c>
    </row>
    <row r="34">
      <c r="A34" s="62">
        <f>IF($M34="","",INDEX('Form Calc'!$B:$B,$M34))</f>
        <v/>
      </c>
      <c r="B34" s="47">
        <f>IF($M34="","",INDEX('Form Calc'!$G:$G,$M34))</f>
        <v/>
      </c>
      <c r="C34" s="47">
        <f>IF($M34="","",INDEX('Form Calc'!$H:$H,$M34))</f>
        <v/>
      </c>
      <c r="D34" s="47">
        <f>IF($M34="","",INDEX('Form Calc'!$I:$I,$M34))</f>
        <v/>
      </c>
      <c r="E34" s="47">
        <f>IF($M34="","",INDEX('Form Calc'!$K:$K,$M34))</f>
        <v/>
      </c>
      <c r="F34" s="47">
        <f>IF($M34="","",INDEX('Form Calc'!$C:$C,$M34))</f>
        <v/>
      </c>
      <c r="G34" s="47">
        <f>IF($M34="","",IF(INDEX('Form Calc'!$R:$R,$M34)="","NEW","✓ yes"))</f>
        <v/>
      </c>
      <c r="H34" s="44">
        <f>IF($M34="","",INDEX('Form Calc'!$A:$A,$M34))</f>
        <v/>
      </c>
      <c r="I34" s="63">
        <f>IF($M34="","",INDEX('Form Calc'!$J:$J,$M34))</f>
        <v/>
      </c>
      <c r="J34" s="63">
        <f>IF($M34="","",INDEX('Form Calc'!$L:$L,$M34))</f>
        <v/>
      </c>
      <c r="K34" s="63">
        <f>IF($M34="","",INDEX('Form Calc'!$M:$M,$M34))</f>
        <v/>
      </c>
      <c r="L34" s="47">
        <f>IF($M34="","",INDEX('Form Calc'!$F:$F,$M34))</f>
        <v/>
      </c>
      <c r="M34" s="32">
        <f>IF(29&gt;MAX('Form Calc'!$Y$2:$Y$601),"",IFERROR(MATCH(MAX('Form Calc'!$Y$2:$Y$601)+1-29,'Form Calc'!$Z:$Z,0),""))</f>
        <v/>
      </c>
    </row>
    <row r="35">
      <c r="A35" s="62">
        <f>IF($M35="","",INDEX('Form Calc'!$B:$B,$M35))</f>
        <v/>
      </c>
      <c r="B35" s="47">
        <f>IF($M35="","",INDEX('Form Calc'!$G:$G,$M35))</f>
        <v/>
      </c>
      <c r="C35" s="47">
        <f>IF($M35="","",INDEX('Form Calc'!$H:$H,$M35))</f>
        <v/>
      </c>
      <c r="D35" s="47">
        <f>IF($M35="","",INDEX('Form Calc'!$I:$I,$M35))</f>
        <v/>
      </c>
      <c r="E35" s="47">
        <f>IF($M35="","",INDEX('Form Calc'!$K:$K,$M35))</f>
        <v/>
      </c>
      <c r="F35" s="47">
        <f>IF($M35="","",INDEX('Form Calc'!$C:$C,$M35))</f>
        <v/>
      </c>
      <c r="G35" s="47">
        <f>IF($M35="","",IF(INDEX('Form Calc'!$R:$R,$M35)="","NEW","✓ yes"))</f>
        <v/>
      </c>
      <c r="H35" s="44">
        <f>IF($M35="","",INDEX('Form Calc'!$A:$A,$M35))</f>
        <v/>
      </c>
      <c r="I35" s="63">
        <f>IF($M35="","",INDEX('Form Calc'!$J:$J,$M35))</f>
        <v/>
      </c>
      <c r="J35" s="63">
        <f>IF($M35="","",INDEX('Form Calc'!$L:$L,$M35))</f>
        <v/>
      </c>
      <c r="K35" s="63">
        <f>IF($M35="","",INDEX('Form Calc'!$M:$M,$M35))</f>
        <v/>
      </c>
      <c r="L35" s="47">
        <f>IF($M35="","",INDEX('Form Calc'!$F:$F,$M35))</f>
        <v/>
      </c>
      <c r="M35" s="32">
        <f>IF(30&gt;MAX('Form Calc'!$Y$2:$Y$601),"",IFERROR(MATCH(MAX('Form Calc'!$Y$2:$Y$601)+1-30,'Form Calc'!$Z:$Z,0),""))</f>
        <v/>
      </c>
    </row>
    <row r="36">
      <c r="A36" s="62">
        <f>IF($M36="","",INDEX('Form Calc'!$B:$B,$M36))</f>
        <v/>
      </c>
      <c r="B36" s="47">
        <f>IF($M36="","",INDEX('Form Calc'!$G:$G,$M36))</f>
        <v/>
      </c>
      <c r="C36" s="47">
        <f>IF($M36="","",INDEX('Form Calc'!$H:$H,$M36))</f>
        <v/>
      </c>
      <c r="D36" s="47">
        <f>IF($M36="","",INDEX('Form Calc'!$I:$I,$M36))</f>
        <v/>
      </c>
      <c r="E36" s="47">
        <f>IF($M36="","",INDEX('Form Calc'!$K:$K,$M36))</f>
        <v/>
      </c>
      <c r="F36" s="47">
        <f>IF($M36="","",INDEX('Form Calc'!$C:$C,$M36))</f>
        <v/>
      </c>
      <c r="G36" s="47">
        <f>IF($M36="","",IF(INDEX('Form Calc'!$R:$R,$M36)="","NEW","✓ yes"))</f>
        <v/>
      </c>
      <c r="H36" s="44">
        <f>IF($M36="","",INDEX('Form Calc'!$A:$A,$M36))</f>
        <v/>
      </c>
      <c r="I36" s="63">
        <f>IF($M36="","",INDEX('Form Calc'!$J:$J,$M36))</f>
        <v/>
      </c>
      <c r="J36" s="63">
        <f>IF($M36="","",INDEX('Form Calc'!$L:$L,$M36))</f>
        <v/>
      </c>
      <c r="K36" s="63">
        <f>IF($M36="","",INDEX('Form Calc'!$M:$M,$M36))</f>
        <v/>
      </c>
      <c r="L36" s="47">
        <f>IF($M36="","",INDEX('Form Calc'!$F:$F,$M36))</f>
        <v/>
      </c>
      <c r="M36" s="32">
        <f>IF(31&gt;MAX('Form Calc'!$Y$2:$Y$601),"",IFERROR(MATCH(MAX('Form Calc'!$Y$2:$Y$601)+1-31,'Form Calc'!$Z:$Z,0),""))</f>
        <v/>
      </c>
    </row>
    <row r="37">
      <c r="A37" s="62">
        <f>IF($M37="","",INDEX('Form Calc'!$B:$B,$M37))</f>
        <v/>
      </c>
      <c r="B37" s="47">
        <f>IF($M37="","",INDEX('Form Calc'!$G:$G,$M37))</f>
        <v/>
      </c>
      <c r="C37" s="47">
        <f>IF($M37="","",INDEX('Form Calc'!$H:$H,$M37))</f>
        <v/>
      </c>
      <c r="D37" s="47">
        <f>IF($M37="","",INDEX('Form Calc'!$I:$I,$M37))</f>
        <v/>
      </c>
      <c r="E37" s="47">
        <f>IF($M37="","",INDEX('Form Calc'!$K:$K,$M37))</f>
        <v/>
      </c>
      <c r="F37" s="47">
        <f>IF($M37="","",INDEX('Form Calc'!$C:$C,$M37))</f>
        <v/>
      </c>
      <c r="G37" s="47">
        <f>IF($M37="","",IF(INDEX('Form Calc'!$R:$R,$M37)="","NEW","✓ yes"))</f>
        <v/>
      </c>
      <c r="H37" s="44">
        <f>IF($M37="","",INDEX('Form Calc'!$A:$A,$M37))</f>
        <v/>
      </c>
      <c r="I37" s="63">
        <f>IF($M37="","",INDEX('Form Calc'!$J:$J,$M37))</f>
        <v/>
      </c>
      <c r="J37" s="63">
        <f>IF($M37="","",INDEX('Form Calc'!$L:$L,$M37))</f>
        <v/>
      </c>
      <c r="K37" s="63">
        <f>IF($M37="","",INDEX('Form Calc'!$M:$M,$M37))</f>
        <v/>
      </c>
      <c r="L37" s="47">
        <f>IF($M37="","",INDEX('Form Calc'!$F:$F,$M37))</f>
        <v/>
      </c>
      <c r="M37" s="32">
        <f>IF(32&gt;MAX('Form Calc'!$Y$2:$Y$601),"",IFERROR(MATCH(MAX('Form Calc'!$Y$2:$Y$601)+1-32,'Form Calc'!$Z:$Z,0),""))</f>
        <v/>
      </c>
    </row>
    <row r="38">
      <c r="A38" s="62">
        <f>IF($M38="","",INDEX('Form Calc'!$B:$B,$M38))</f>
        <v/>
      </c>
      <c r="B38" s="47">
        <f>IF($M38="","",INDEX('Form Calc'!$G:$G,$M38))</f>
        <v/>
      </c>
      <c r="C38" s="47">
        <f>IF($M38="","",INDEX('Form Calc'!$H:$H,$M38))</f>
        <v/>
      </c>
      <c r="D38" s="47">
        <f>IF($M38="","",INDEX('Form Calc'!$I:$I,$M38))</f>
        <v/>
      </c>
      <c r="E38" s="47">
        <f>IF($M38="","",INDEX('Form Calc'!$K:$K,$M38))</f>
        <v/>
      </c>
      <c r="F38" s="47">
        <f>IF($M38="","",INDEX('Form Calc'!$C:$C,$M38))</f>
        <v/>
      </c>
      <c r="G38" s="47">
        <f>IF($M38="","",IF(INDEX('Form Calc'!$R:$R,$M38)="","NEW","✓ yes"))</f>
        <v/>
      </c>
      <c r="H38" s="44">
        <f>IF($M38="","",INDEX('Form Calc'!$A:$A,$M38))</f>
        <v/>
      </c>
      <c r="I38" s="63">
        <f>IF($M38="","",INDEX('Form Calc'!$J:$J,$M38))</f>
        <v/>
      </c>
      <c r="J38" s="63">
        <f>IF($M38="","",INDEX('Form Calc'!$L:$L,$M38))</f>
        <v/>
      </c>
      <c r="K38" s="63">
        <f>IF($M38="","",INDEX('Form Calc'!$M:$M,$M38))</f>
        <v/>
      </c>
      <c r="L38" s="47">
        <f>IF($M38="","",INDEX('Form Calc'!$F:$F,$M38))</f>
        <v/>
      </c>
      <c r="M38" s="32">
        <f>IF(33&gt;MAX('Form Calc'!$Y$2:$Y$601),"",IFERROR(MATCH(MAX('Form Calc'!$Y$2:$Y$601)+1-33,'Form Calc'!$Z:$Z,0),""))</f>
        <v/>
      </c>
    </row>
    <row r="39">
      <c r="A39" s="62">
        <f>IF($M39="","",INDEX('Form Calc'!$B:$B,$M39))</f>
        <v/>
      </c>
      <c r="B39" s="47">
        <f>IF($M39="","",INDEX('Form Calc'!$G:$G,$M39))</f>
        <v/>
      </c>
      <c r="C39" s="47">
        <f>IF($M39="","",INDEX('Form Calc'!$H:$H,$M39))</f>
        <v/>
      </c>
      <c r="D39" s="47">
        <f>IF($M39="","",INDEX('Form Calc'!$I:$I,$M39))</f>
        <v/>
      </c>
      <c r="E39" s="47">
        <f>IF($M39="","",INDEX('Form Calc'!$K:$K,$M39))</f>
        <v/>
      </c>
      <c r="F39" s="47">
        <f>IF($M39="","",INDEX('Form Calc'!$C:$C,$M39))</f>
        <v/>
      </c>
      <c r="G39" s="47">
        <f>IF($M39="","",IF(INDEX('Form Calc'!$R:$R,$M39)="","NEW","✓ yes"))</f>
        <v/>
      </c>
      <c r="H39" s="44">
        <f>IF($M39="","",INDEX('Form Calc'!$A:$A,$M39))</f>
        <v/>
      </c>
      <c r="I39" s="63">
        <f>IF($M39="","",INDEX('Form Calc'!$J:$J,$M39))</f>
        <v/>
      </c>
      <c r="J39" s="63">
        <f>IF($M39="","",INDEX('Form Calc'!$L:$L,$M39))</f>
        <v/>
      </c>
      <c r="K39" s="63">
        <f>IF($M39="","",INDEX('Form Calc'!$M:$M,$M39))</f>
        <v/>
      </c>
      <c r="L39" s="47">
        <f>IF($M39="","",INDEX('Form Calc'!$F:$F,$M39))</f>
        <v/>
      </c>
      <c r="M39" s="32">
        <f>IF(34&gt;MAX('Form Calc'!$Y$2:$Y$601),"",IFERROR(MATCH(MAX('Form Calc'!$Y$2:$Y$601)+1-34,'Form Calc'!$Z:$Z,0),""))</f>
        <v/>
      </c>
    </row>
    <row r="40">
      <c r="A40" s="62">
        <f>IF($M40="","",INDEX('Form Calc'!$B:$B,$M40))</f>
        <v/>
      </c>
      <c r="B40" s="47">
        <f>IF($M40="","",INDEX('Form Calc'!$G:$G,$M40))</f>
        <v/>
      </c>
      <c r="C40" s="47">
        <f>IF($M40="","",INDEX('Form Calc'!$H:$H,$M40))</f>
        <v/>
      </c>
      <c r="D40" s="47">
        <f>IF($M40="","",INDEX('Form Calc'!$I:$I,$M40))</f>
        <v/>
      </c>
      <c r="E40" s="47">
        <f>IF($M40="","",INDEX('Form Calc'!$K:$K,$M40))</f>
        <v/>
      </c>
      <c r="F40" s="47">
        <f>IF($M40="","",INDEX('Form Calc'!$C:$C,$M40))</f>
        <v/>
      </c>
      <c r="G40" s="47">
        <f>IF($M40="","",IF(INDEX('Form Calc'!$R:$R,$M40)="","NEW","✓ yes"))</f>
        <v/>
      </c>
      <c r="H40" s="44">
        <f>IF($M40="","",INDEX('Form Calc'!$A:$A,$M40))</f>
        <v/>
      </c>
      <c r="I40" s="63">
        <f>IF($M40="","",INDEX('Form Calc'!$J:$J,$M40))</f>
        <v/>
      </c>
      <c r="J40" s="63">
        <f>IF($M40="","",INDEX('Form Calc'!$L:$L,$M40))</f>
        <v/>
      </c>
      <c r="K40" s="63">
        <f>IF($M40="","",INDEX('Form Calc'!$M:$M,$M40))</f>
        <v/>
      </c>
      <c r="L40" s="47">
        <f>IF($M40="","",INDEX('Form Calc'!$F:$F,$M40))</f>
        <v/>
      </c>
      <c r="M40" s="32">
        <f>IF(35&gt;MAX('Form Calc'!$Y$2:$Y$601),"",IFERROR(MATCH(MAX('Form Calc'!$Y$2:$Y$601)+1-35,'Form Calc'!$Z:$Z,0),""))</f>
        <v/>
      </c>
    </row>
    <row r="41">
      <c r="A41" s="62">
        <f>IF($M41="","",INDEX('Form Calc'!$B:$B,$M41))</f>
        <v/>
      </c>
      <c r="B41" s="47">
        <f>IF($M41="","",INDEX('Form Calc'!$G:$G,$M41))</f>
        <v/>
      </c>
      <c r="C41" s="47">
        <f>IF($M41="","",INDEX('Form Calc'!$H:$H,$M41))</f>
        <v/>
      </c>
      <c r="D41" s="47">
        <f>IF($M41="","",INDEX('Form Calc'!$I:$I,$M41))</f>
        <v/>
      </c>
      <c r="E41" s="47">
        <f>IF($M41="","",INDEX('Form Calc'!$K:$K,$M41))</f>
        <v/>
      </c>
      <c r="F41" s="47">
        <f>IF($M41="","",INDEX('Form Calc'!$C:$C,$M41))</f>
        <v/>
      </c>
      <c r="G41" s="47">
        <f>IF($M41="","",IF(INDEX('Form Calc'!$R:$R,$M41)="","NEW","✓ yes"))</f>
        <v/>
      </c>
      <c r="H41" s="44">
        <f>IF($M41="","",INDEX('Form Calc'!$A:$A,$M41))</f>
        <v/>
      </c>
      <c r="I41" s="63">
        <f>IF($M41="","",INDEX('Form Calc'!$J:$J,$M41))</f>
        <v/>
      </c>
      <c r="J41" s="63">
        <f>IF($M41="","",INDEX('Form Calc'!$L:$L,$M41))</f>
        <v/>
      </c>
      <c r="K41" s="63">
        <f>IF($M41="","",INDEX('Form Calc'!$M:$M,$M41))</f>
        <v/>
      </c>
      <c r="L41" s="47">
        <f>IF($M41="","",INDEX('Form Calc'!$F:$F,$M41))</f>
        <v/>
      </c>
      <c r="M41" s="32">
        <f>IF(36&gt;MAX('Form Calc'!$Y$2:$Y$601),"",IFERROR(MATCH(MAX('Form Calc'!$Y$2:$Y$601)+1-36,'Form Calc'!$Z:$Z,0),""))</f>
        <v/>
      </c>
    </row>
    <row r="42">
      <c r="A42" s="62">
        <f>IF($M42="","",INDEX('Form Calc'!$B:$B,$M42))</f>
        <v/>
      </c>
      <c r="B42" s="47">
        <f>IF($M42="","",INDEX('Form Calc'!$G:$G,$M42))</f>
        <v/>
      </c>
      <c r="C42" s="47">
        <f>IF($M42="","",INDEX('Form Calc'!$H:$H,$M42))</f>
        <v/>
      </c>
      <c r="D42" s="47">
        <f>IF($M42="","",INDEX('Form Calc'!$I:$I,$M42))</f>
        <v/>
      </c>
      <c r="E42" s="47">
        <f>IF($M42="","",INDEX('Form Calc'!$K:$K,$M42))</f>
        <v/>
      </c>
      <c r="F42" s="47">
        <f>IF($M42="","",INDEX('Form Calc'!$C:$C,$M42))</f>
        <v/>
      </c>
      <c r="G42" s="47">
        <f>IF($M42="","",IF(INDEX('Form Calc'!$R:$R,$M42)="","NEW","✓ yes"))</f>
        <v/>
      </c>
      <c r="H42" s="44">
        <f>IF($M42="","",INDEX('Form Calc'!$A:$A,$M42))</f>
        <v/>
      </c>
      <c r="I42" s="63">
        <f>IF($M42="","",INDEX('Form Calc'!$J:$J,$M42))</f>
        <v/>
      </c>
      <c r="J42" s="63">
        <f>IF($M42="","",INDEX('Form Calc'!$L:$L,$M42))</f>
        <v/>
      </c>
      <c r="K42" s="63">
        <f>IF($M42="","",INDEX('Form Calc'!$M:$M,$M42))</f>
        <v/>
      </c>
      <c r="L42" s="47">
        <f>IF($M42="","",INDEX('Form Calc'!$F:$F,$M42))</f>
        <v/>
      </c>
      <c r="M42" s="32">
        <f>IF(37&gt;MAX('Form Calc'!$Y$2:$Y$601),"",IFERROR(MATCH(MAX('Form Calc'!$Y$2:$Y$601)+1-37,'Form Calc'!$Z:$Z,0),""))</f>
        <v/>
      </c>
    </row>
    <row r="43">
      <c r="A43" s="62">
        <f>IF($M43="","",INDEX('Form Calc'!$B:$B,$M43))</f>
        <v/>
      </c>
      <c r="B43" s="47">
        <f>IF($M43="","",INDEX('Form Calc'!$G:$G,$M43))</f>
        <v/>
      </c>
      <c r="C43" s="47">
        <f>IF($M43="","",INDEX('Form Calc'!$H:$H,$M43))</f>
        <v/>
      </c>
      <c r="D43" s="47">
        <f>IF($M43="","",INDEX('Form Calc'!$I:$I,$M43))</f>
        <v/>
      </c>
      <c r="E43" s="47">
        <f>IF($M43="","",INDEX('Form Calc'!$K:$K,$M43))</f>
        <v/>
      </c>
      <c r="F43" s="47">
        <f>IF($M43="","",INDEX('Form Calc'!$C:$C,$M43))</f>
        <v/>
      </c>
      <c r="G43" s="47">
        <f>IF($M43="","",IF(INDEX('Form Calc'!$R:$R,$M43)="","NEW","✓ yes"))</f>
        <v/>
      </c>
      <c r="H43" s="44">
        <f>IF($M43="","",INDEX('Form Calc'!$A:$A,$M43))</f>
        <v/>
      </c>
      <c r="I43" s="63">
        <f>IF($M43="","",INDEX('Form Calc'!$J:$J,$M43))</f>
        <v/>
      </c>
      <c r="J43" s="63">
        <f>IF($M43="","",INDEX('Form Calc'!$L:$L,$M43))</f>
        <v/>
      </c>
      <c r="K43" s="63">
        <f>IF($M43="","",INDEX('Form Calc'!$M:$M,$M43))</f>
        <v/>
      </c>
      <c r="L43" s="47">
        <f>IF($M43="","",INDEX('Form Calc'!$F:$F,$M43))</f>
        <v/>
      </c>
      <c r="M43" s="32">
        <f>IF(38&gt;MAX('Form Calc'!$Y$2:$Y$601),"",IFERROR(MATCH(MAX('Form Calc'!$Y$2:$Y$601)+1-38,'Form Calc'!$Z:$Z,0),""))</f>
        <v/>
      </c>
    </row>
    <row r="44">
      <c r="A44" s="62">
        <f>IF($M44="","",INDEX('Form Calc'!$B:$B,$M44))</f>
        <v/>
      </c>
      <c r="B44" s="47">
        <f>IF($M44="","",INDEX('Form Calc'!$G:$G,$M44))</f>
        <v/>
      </c>
      <c r="C44" s="47">
        <f>IF($M44="","",INDEX('Form Calc'!$H:$H,$M44))</f>
        <v/>
      </c>
      <c r="D44" s="47">
        <f>IF($M44="","",INDEX('Form Calc'!$I:$I,$M44))</f>
        <v/>
      </c>
      <c r="E44" s="47">
        <f>IF($M44="","",INDEX('Form Calc'!$K:$K,$M44))</f>
        <v/>
      </c>
      <c r="F44" s="47">
        <f>IF($M44="","",INDEX('Form Calc'!$C:$C,$M44))</f>
        <v/>
      </c>
      <c r="G44" s="47">
        <f>IF($M44="","",IF(INDEX('Form Calc'!$R:$R,$M44)="","NEW","✓ yes"))</f>
        <v/>
      </c>
      <c r="H44" s="44">
        <f>IF($M44="","",INDEX('Form Calc'!$A:$A,$M44))</f>
        <v/>
      </c>
      <c r="I44" s="63">
        <f>IF($M44="","",INDEX('Form Calc'!$J:$J,$M44))</f>
        <v/>
      </c>
      <c r="J44" s="63">
        <f>IF($M44="","",INDEX('Form Calc'!$L:$L,$M44))</f>
        <v/>
      </c>
      <c r="K44" s="63">
        <f>IF($M44="","",INDEX('Form Calc'!$M:$M,$M44))</f>
        <v/>
      </c>
      <c r="L44" s="47">
        <f>IF($M44="","",INDEX('Form Calc'!$F:$F,$M44))</f>
        <v/>
      </c>
      <c r="M44" s="32">
        <f>IF(39&gt;MAX('Form Calc'!$Y$2:$Y$601),"",IFERROR(MATCH(MAX('Form Calc'!$Y$2:$Y$601)+1-39,'Form Calc'!$Z:$Z,0),""))</f>
        <v/>
      </c>
    </row>
    <row r="45">
      <c r="A45" s="62">
        <f>IF($M45="","",INDEX('Form Calc'!$B:$B,$M45))</f>
        <v/>
      </c>
      <c r="B45" s="47">
        <f>IF($M45="","",INDEX('Form Calc'!$G:$G,$M45))</f>
        <v/>
      </c>
      <c r="C45" s="47">
        <f>IF($M45="","",INDEX('Form Calc'!$H:$H,$M45))</f>
        <v/>
      </c>
      <c r="D45" s="47">
        <f>IF($M45="","",INDEX('Form Calc'!$I:$I,$M45))</f>
        <v/>
      </c>
      <c r="E45" s="47">
        <f>IF($M45="","",INDEX('Form Calc'!$K:$K,$M45))</f>
        <v/>
      </c>
      <c r="F45" s="47">
        <f>IF($M45="","",INDEX('Form Calc'!$C:$C,$M45))</f>
        <v/>
      </c>
      <c r="G45" s="47">
        <f>IF($M45="","",IF(INDEX('Form Calc'!$R:$R,$M45)="","NEW","✓ yes"))</f>
        <v/>
      </c>
      <c r="H45" s="44">
        <f>IF($M45="","",INDEX('Form Calc'!$A:$A,$M45))</f>
        <v/>
      </c>
      <c r="I45" s="63">
        <f>IF($M45="","",INDEX('Form Calc'!$J:$J,$M45))</f>
        <v/>
      </c>
      <c r="J45" s="63">
        <f>IF($M45="","",INDEX('Form Calc'!$L:$L,$M45))</f>
        <v/>
      </c>
      <c r="K45" s="63">
        <f>IF($M45="","",INDEX('Form Calc'!$M:$M,$M45))</f>
        <v/>
      </c>
      <c r="L45" s="47">
        <f>IF($M45="","",INDEX('Form Calc'!$F:$F,$M45))</f>
        <v/>
      </c>
      <c r="M45" s="32">
        <f>IF(40&gt;MAX('Form Calc'!$Y$2:$Y$601),"",IFERROR(MATCH(MAX('Form Calc'!$Y$2:$Y$601)+1-40,'Form Calc'!$Z:$Z,0),""))</f>
        <v/>
      </c>
    </row>
    <row r="46">
      <c r="A46" s="62">
        <f>IF($M46="","",INDEX('Form Calc'!$B:$B,$M46))</f>
        <v/>
      </c>
      <c r="B46" s="47">
        <f>IF($M46="","",INDEX('Form Calc'!$G:$G,$M46))</f>
        <v/>
      </c>
      <c r="C46" s="47">
        <f>IF($M46="","",INDEX('Form Calc'!$H:$H,$M46))</f>
        <v/>
      </c>
      <c r="D46" s="47">
        <f>IF($M46="","",INDEX('Form Calc'!$I:$I,$M46))</f>
        <v/>
      </c>
      <c r="E46" s="47">
        <f>IF($M46="","",INDEX('Form Calc'!$K:$K,$M46))</f>
        <v/>
      </c>
      <c r="F46" s="47">
        <f>IF($M46="","",INDEX('Form Calc'!$C:$C,$M46))</f>
        <v/>
      </c>
      <c r="G46" s="47">
        <f>IF($M46="","",IF(INDEX('Form Calc'!$R:$R,$M46)="","NEW","✓ yes"))</f>
        <v/>
      </c>
      <c r="H46" s="44">
        <f>IF($M46="","",INDEX('Form Calc'!$A:$A,$M46))</f>
        <v/>
      </c>
      <c r="I46" s="63">
        <f>IF($M46="","",INDEX('Form Calc'!$J:$J,$M46))</f>
        <v/>
      </c>
      <c r="J46" s="63">
        <f>IF($M46="","",INDEX('Form Calc'!$L:$L,$M46))</f>
        <v/>
      </c>
      <c r="K46" s="63">
        <f>IF($M46="","",INDEX('Form Calc'!$M:$M,$M46))</f>
        <v/>
      </c>
      <c r="L46" s="47">
        <f>IF($M46="","",INDEX('Form Calc'!$F:$F,$M46))</f>
        <v/>
      </c>
      <c r="M46" s="32">
        <f>IF(41&gt;MAX('Form Calc'!$Y$2:$Y$601),"",IFERROR(MATCH(MAX('Form Calc'!$Y$2:$Y$601)+1-41,'Form Calc'!$Z:$Z,0),""))</f>
        <v/>
      </c>
    </row>
    <row r="47">
      <c r="A47" s="62">
        <f>IF($M47="","",INDEX('Form Calc'!$B:$B,$M47))</f>
        <v/>
      </c>
      <c r="B47" s="47">
        <f>IF($M47="","",INDEX('Form Calc'!$G:$G,$M47))</f>
        <v/>
      </c>
      <c r="C47" s="47">
        <f>IF($M47="","",INDEX('Form Calc'!$H:$H,$M47))</f>
        <v/>
      </c>
      <c r="D47" s="47">
        <f>IF($M47="","",INDEX('Form Calc'!$I:$I,$M47))</f>
        <v/>
      </c>
      <c r="E47" s="47">
        <f>IF($M47="","",INDEX('Form Calc'!$K:$K,$M47))</f>
        <v/>
      </c>
      <c r="F47" s="47">
        <f>IF($M47="","",INDEX('Form Calc'!$C:$C,$M47))</f>
        <v/>
      </c>
      <c r="G47" s="47">
        <f>IF($M47="","",IF(INDEX('Form Calc'!$R:$R,$M47)="","NEW","✓ yes"))</f>
        <v/>
      </c>
      <c r="H47" s="44">
        <f>IF($M47="","",INDEX('Form Calc'!$A:$A,$M47))</f>
        <v/>
      </c>
      <c r="I47" s="63">
        <f>IF($M47="","",INDEX('Form Calc'!$J:$J,$M47))</f>
        <v/>
      </c>
      <c r="J47" s="63">
        <f>IF($M47="","",INDEX('Form Calc'!$L:$L,$M47))</f>
        <v/>
      </c>
      <c r="K47" s="63">
        <f>IF($M47="","",INDEX('Form Calc'!$M:$M,$M47))</f>
        <v/>
      </c>
      <c r="L47" s="47">
        <f>IF($M47="","",INDEX('Form Calc'!$F:$F,$M47))</f>
        <v/>
      </c>
      <c r="M47" s="32">
        <f>IF(42&gt;MAX('Form Calc'!$Y$2:$Y$601),"",IFERROR(MATCH(MAX('Form Calc'!$Y$2:$Y$601)+1-42,'Form Calc'!$Z:$Z,0),""))</f>
        <v/>
      </c>
    </row>
    <row r="48">
      <c r="A48" s="62">
        <f>IF($M48="","",INDEX('Form Calc'!$B:$B,$M48))</f>
        <v/>
      </c>
      <c r="B48" s="47">
        <f>IF($M48="","",INDEX('Form Calc'!$G:$G,$M48))</f>
        <v/>
      </c>
      <c r="C48" s="47">
        <f>IF($M48="","",INDEX('Form Calc'!$H:$H,$M48))</f>
        <v/>
      </c>
      <c r="D48" s="47">
        <f>IF($M48="","",INDEX('Form Calc'!$I:$I,$M48))</f>
        <v/>
      </c>
      <c r="E48" s="47">
        <f>IF($M48="","",INDEX('Form Calc'!$K:$K,$M48))</f>
        <v/>
      </c>
      <c r="F48" s="47">
        <f>IF($M48="","",INDEX('Form Calc'!$C:$C,$M48))</f>
        <v/>
      </c>
      <c r="G48" s="47">
        <f>IF($M48="","",IF(INDEX('Form Calc'!$R:$R,$M48)="","NEW","✓ yes"))</f>
        <v/>
      </c>
      <c r="H48" s="44">
        <f>IF($M48="","",INDEX('Form Calc'!$A:$A,$M48))</f>
        <v/>
      </c>
      <c r="I48" s="63">
        <f>IF($M48="","",INDEX('Form Calc'!$J:$J,$M48))</f>
        <v/>
      </c>
      <c r="J48" s="63">
        <f>IF($M48="","",INDEX('Form Calc'!$L:$L,$M48))</f>
        <v/>
      </c>
      <c r="K48" s="63">
        <f>IF($M48="","",INDEX('Form Calc'!$M:$M,$M48))</f>
        <v/>
      </c>
      <c r="L48" s="47">
        <f>IF($M48="","",INDEX('Form Calc'!$F:$F,$M48))</f>
        <v/>
      </c>
      <c r="M48" s="32">
        <f>IF(43&gt;MAX('Form Calc'!$Y$2:$Y$601),"",IFERROR(MATCH(MAX('Form Calc'!$Y$2:$Y$601)+1-43,'Form Calc'!$Z:$Z,0),""))</f>
        <v/>
      </c>
    </row>
    <row r="49">
      <c r="A49" s="62">
        <f>IF($M49="","",INDEX('Form Calc'!$B:$B,$M49))</f>
        <v/>
      </c>
      <c r="B49" s="47">
        <f>IF($M49="","",INDEX('Form Calc'!$G:$G,$M49))</f>
        <v/>
      </c>
      <c r="C49" s="47">
        <f>IF($M49="","",INDEX('Form Calc'!$H:$H,$M49))</f>
        <v/>
      </c>
      <c r="D49" s="47">
        <f>IF($M49="","",INDEX('Form Calc'!$I:$I,$M49))</f>
        <v/>
      </c>
      <c r="E49" s="47">
        <f>IF($M49="","",INDEX('Form Calc'!$K:$K,$M49))</f>
        <v/>
      </c>
      <c r="F49" s="47">
        <f>IF($M49="","",INDEX('Form Calc'!$C:$C,$M49))</f>
        <v/>
      </c>
      <c r="G49" s="47">
        <f>IF($M49="","",IF(INDEX('Form Calc'!$R:$R,$M49)="","NEW","✓ yes"))</f>
        <v/>
      </c>
      <c r="H49" s="44">
        <f>IF($M49="","",INDEX('Form Calc'!$A:$A,$M49))</f>
        <v/>
      </c>
      <c r="I49" s="63">
        <f>IF($M49="","",INDEX('Form Calc'!$J:$J,$M49))</f>
        <v/>
      </c>
      <c r="J49" s="63">
        <f>IF($M49="","",INDEX('Form Calc'!$L:$L,$M49))</f>
        <v/>
      </c>
      <c r="K49" s="63">
        <f>IF($M49="","",INDEX('Form Calc'!$M:$M,$M49))</f>
        <v/>
      </c>
      <c r="L49" s="47">
        <f>IF($M49="","",INDEX('Form Calc'!$F:$F,$M49))</f>
        <v/>
      </c>
      <c r="M49" s="32">
        <f>IF(44&gt;MAX('Form Calc'!$Y$2:$Y$601),"",IFERROR(MATCH(MAX('Form Calc'!$Y$2:$Y$601)+1-44,'Form Calc'!$Z:$Z,0),""))</f>
        <v/>
      </c>
    </row>
    <row r="50">
      <c r="A50" s="62">
        <f>IF($M50="","",INDEX('Form Calc'!$B:$B,$M50))</f>
        <v/>
      </c>
      <c r="B50" s="47">
        <f>IF($M50="","",INDEX('Form Calc'!$G:$G,$M50))</f>
        <v/>
      </c>
      <c r="C50" s="47">
        <f>IF($M50="","",INDEX('Form Calc'!$H:$H,$M50))</f>
        <v/>
      </c>
      <c r="D50" s="47">
        <f>IF($M50="","",INDEX('Form Calc'!$I:$I,$M50))</f>
        <v/>
      </c>
      <c r="E50" s="47">
        <f>IF($M50="","",INDEX('Form Calc'!$K:$K,$M50))</f>
        <v/>
      </c>
      <c r="F50" s="47">
        <f>IF($M50="","",INDEX('Form Calc'!$C:$C,$M50))</f>
        <v/>
      </c>
      <c r="G50" s="47">
        <f>IF($M50="","",IF(INDEX('Form Calc'!$R:$R,$M50)="","NEW","✓ yes"))</f>
        <v/>
      </c>
      <c r="H50" s="44">
        <f>IF($M50="","",INDEX('Form Calc'!$A:$A,$M50))</f>
        <v/>
      </c>
      <c r="I50" s="63">
        <f>IF($M50="","",INDEX('Form Calc'!$J:$J,$M50))</f>
        <v/>
      </c>
      <c r="J50" s="63">
        <f>IF($M50="","",INDEX('Form Calc'!$L:$L,$M50))</f>
        <v/>
      </c>
      <c r="K50" s="63">
        <f>IF($M50="","",INDEX('Form Calc'!$M:$M,$M50))</f>
        <v/>
      </c>
      <c r="L50" s="47">
        <f>IF($M50="","",INDEX('Form Calc'!$F:$F,$M50))</f>
        <v/>
      </c>
      <c r="M50" s="32">
        <f>IF(45&gt;MAX('Form Calc'!$Y$2:$Y$601),"",IFERROR(MATCH(MAX('Form Calc'!$Y$2:$Y$601)+1-45,'Form Calc'!$Z:$Z,0),""))</f>
        <v/>
      </c>
    </row>
    <row r="51">
      <c r="A51" s="62">
        <f>IF($M51="","",INDEX('Form Calc'!$B:$B,$M51))</f>
        <v/>
      </c>
      <c r="B51" s="47">
        <f>IF($M51="","",INDEX('Form Calc'!$G:$G,$M51))</f>
        <v/>
      </c>
      <c r="C51" s="47">
        <f>IF($M51="","",INDEX('Form Calc'!$H:$H,$M51))</f>
        <v/>
      </c>
      <c r="D51" s="47">
        <f>IF($M51="","",INDEX('Form Calc'!$I:$I,$M51))</f>
        <v/>
      </c>
      <c r="E51" s="47">
        <f>IF($M51="","",INDEX('Form Calc'!$K:$K,$M51))</f>
        <v/>
      </c>
      <c r="F51" s="47">
        <f>IF($M51="","",INDEX('Form Calc'!$C:$C,$M51))</f>
        <v/>
      </c>
      <c r="G51" s="47">
        <f>IF($M51="","",IF(INDEX('Form Calc'!$R:$R,$M51)="","NEW","✓ yes"))</f>
        <v/>
      </c>
      <c r="H51" s="44">
        <f>IF($M51="","",INDEX('Form Calc'!$A:$A,$M51))</f>
        <v/>
      </c>
      <c r="I51" s="63">
        <f>IF($M51="","",INDEX('Form Calc'!$J:$J,$M51))</f>
        <v/>
      </c>
      <c r="J51" s="63">
        <f>IF($M51="","",INDEX('Form Calc'!$L:$L,$M51))</f>
        <v/>
      </c>
      <c r="K51" s="63">
        <f>IF($M51="","",INDEX('Form Calc'!$M:$M,$M51))</f>
        <v/>
      </c>
      <c r="L51" s="47">
        <f>IF($M51="","",INDEX('Form Calc'!$F:$F,$M51))</f>
        <v/>
      </c>
      <c r="M51" s="32">
        <f>IF(46&gt;MAX('Form Calc'!$Y$2:$Y$601),"",IFERROR(MATCH(MAX('Form Calc'!$Y$2:$Y$601)+1-46,'Form Calc'!$Z:$Z,0),""))</f>
        <v/>
      </c>
    </row>
    <row r="52">
      <c r="A52" s="62">
        <f>IF($M52="","",INDEX('Form Calc'!$B:$B,$M52))</f>
        <v/>
      </c>
      <c r="B52" s="47">
        <f>IF($M52="","",INDEX('Form Calc'!$G:$G,$M52))</f>
        <v/>
      </c>
      <c r="C52" s="47">
        <f>IF($M52="","",INDEX('Form Calc'!$H:$H,$M52))</f>
        <v/>
      </c>
      <c r="D52" s="47">
        <f>IF($M52="","",INDEX('Form Calc'!$I:$I,$M52))</f>
        <v/>
      </c>
      <c r="E52" s="47">
        <f>IF($M52="","",INDEX('Form Calc'!$K:$K,$M52))</f>
        <v/>
      </c>
      <c r="F52" s="47">
        <f>IF($M52="","",INDEX('Form Calc'!$C:$C,$M52))</f>
        <v/>
      </c>
      <c r="G52" s="47">
        <f>IF($M52="","",IF(INDEX('Form Calc'!$R:$R,$M52)="","NEW","✓ yes"))</f>
        <v/>
      </c>
      <c r="H52" s="44">
        <f>IF($M52="","",INDEX('Form Calc'!$A:$A,$M52))</f>
        <v/>
      </c>
      <c r="I52" s="63">
        <f>IF($M52="","",INDEX('Form Calc'!$J:$J,$M52))</f>
        <v/>
      </c>
      <c r="J52" s="63">
        <f>IF($M52="","",INDEX('Form Calc'!$L:$L,$M52))</f>
        <v/>
      </c>
      <c r="K52" s="63">
        <f>IF($M52="","",INDEX('Form Calc'!$M:$M,$M52))</f>
        <v/>
      </c>
      <c r="L52" s="47">
        <f>IF($M52="","",INDEX('Form Calc'!$F:$F,$M52))</f>
        <v/>
      </c>
      <c r="M52" s="32">
        <f>IF(47&gt;MAX('Form Calc'!$Y$2:$Y$601),"",IFERROR(MATCH(MAX('Form Calc'!$Y$2:$Y$601)+1-47,'Form Calc'!$Z:$Z,0),""))</f>
        <v/>
      </c>
    </row>
    <row r="53">
      <c r="A53" s="62">
        <f>IF($M53="","",INDEX('Form Calc'!$B:$B,$M53))</f>
        <v/>
      </c>
      <c r="B53" s="47">
        <f>IF($M53="","",INDEX('Form Calc'!$G:$G,$M53))</f>
        <v/>
      </c>
      <c r="C53" s="47">
        <f>IF($M53="","",INDEX('Form Calc'!$H:$H,$M53))</f>
        <v/>
      </c>
      <c r="D53" s="47">
        <f>IF($M53="","",INDEX('Form Calc'!$I:$I,$M53))</f>
        <v/>
      </c>
      <c r="E53" s="47">
        <f>IF($M53="","",INDEX('Form Calc'!$K:$K,$M53))</f>
        <v/>
      </c>
      <c r="F53" s="47">
        <f>IF($M53="","",INDEX('Form Calc'!$C:$C,$M53))</f>
        <v/>
      </c>
      <c r="G53" s="47">
        <f>IF($M53="","",IF(INDEX('Form Calc'!$R:$R,$M53)="","NEW","✓ yes"))</f>
        <v/>
      </c>
      <c r="H53" s="44">
        <f>IF($M53="","",INDEX('Form Calc'!$A:$A,$M53))</f>
        <v/>
      </c>
      <c r="I53" s="63">
        <f>IF($M53="","",INDEX('Form Calc'!$J:$J,$M53))</f>
        <v/>
      </c>
      <c r="J53" s="63">
        <f>IF($M53="","",INDEX('Form Calc'!$L:$L,$M53))</f>
        <v/>
      </c>
      <c r="K53" s="63">
        <f>IF($M53="","",INDEX('Form Calc'!$M:$M,$M53))</f>
        <v/>
      </c>
      <c r="L53" s="47">
        <f>IF($M53="","",INDEX('Form Calc'!$F:$F,$M53))</f>
        <v/>
      </c>
      <c r="M53" s="32">
        <f>IF(48&gt;MAX('Form Calc'!$Y$2:$Y$601),"",IFERROR(MATCH(MAX('Form Calc'!$Y$2:$Y$601)+1-48,'Form Calc'!$Z:$Z,0),""))</f>
        <v/>
      </c>
    </row>
    <row r="54">
      <c r="A54" s="62">
        <f>IF($M54="","",INDEX('Form Calc'!$B:$B,$M54))</f>
        <v/>
      </c>
      <c r="B54" s="47">
        <f>IF($M54="","",INDEX('Form Calc'!$G:$G,$M54))</f>
        <v/>
      </c>
      <c r="C54" s="47">
        <f>IF($M54="","",INDEX('Form Calc'!$H:$H,$M54))</f>
        <v/>
      </c>
      <c r="D54" s="47">
        <f>IF($M54="","",INDEX('Form Calc'!$I:$I,$M54))</f>
        <v/>
      </c>
      <c r="E54" s="47">
        <f>IF($M54="","",INDEX('Form Calc'!$K:$K,$M54))</f>
        <v/>
      </c>
      <c r="F54" s="47">
        <f>IF($M54="","",INDEX('Form Calc'!$C:$C,$M54))</f>
        <v/>
      </c>
      <c r="G54" s="47">
        <f>IF($M54="","",IF(INDEX('Form Calc'!$R:$R,$M54)="","NEW","✓ yes"))</f>
        <v/>
      </c>
      <c r="H54" s="44">
        <f>IF($M54="","",INDEX('Form Calc'!$A:$A,$M54))</f>
        <v/>
      </c>
      <c r="I54" s="63">
        <f>IF($M54="","",INDEX('Form Calc'!$J:$J,$M54))</f>
        <v/>
      </c>
      <c r="J54" s="63">
        <f>IF($M54="","",INDEX('Form Calc'!$L:$L,$M54))</f>
        <v/>
      </c>
      <c r="K54" s="63">
        <f>IF($M54="","",INDEX('Form Calc'!$M:$M,$M54))</f>
        <v/>
      </c>
      <c r="L54" s="47">
        <f>IF($M54="","",INDEX('Form Calc'!$F:$F,$M54))</f>
        <v/>
      </c>
      <c r="M54" s="32">
        <f>IF(49&gt;MAX('Form Calc'!$Y$2:$Y$601),"",IFERROR(MATCH(MAX('Form Calc'!$Y$2:$Y$601)+1-49,'Form Calc'!$Z:$Z,0),""))</f>
        <v/>
      </c>
    </row>
    <row r="55">
      <c r="A55" s="62">
        <f>IF($M55="","",INDEX('Form Calc'!$B:$B,$M55))</f>
        <v/>
      </c>
      <c r="B55" s="47">
        <f>IF($M55="","",INDEX('Form Calc'!$G:$G,$M55))</f>
        <v/>
      </c>
      <c r="C55" s="47">
        <f>IF($M55="","",INDEX('Form Calc'!$H:$H,$M55))</f>
        <v/>
      </c>
      <c r="D55" s="47">
        <f>IF($M55="","",INDEX('Form Calc'!$I:$I,$M55))</f>
        <v/>
      </c>
      <c r="E55" s="47">
        <f>IF($M55="","",INDEX('Form Calc'!$K:$K,$M55))</f>
        <v/>
      </c>
      <c r="F55" s="47">
        <f>IF($M55="","",INDEX('Form Calc'!$C:$C,$M55))</f>
        <v/>
      </c>
      <c r="G55" s="47">
        <f>IF($M55="","",IF(INDEX('Form Calc'!$R:$R,$M55)="","NEW","✓ yes"))</f>
        <v/>
      </c>
      <c r="H55" s="44">
        <f>IF($M55="","",INDEX('Form Calc'!$A:$A,$M55))</f>
        <v/>
      </c>
      <c r="I55" s="63">
        <f>IF($M55="","",INDEX('Form Calc'!$J:$J,$M55))</f>
        <v/>
      </c>
      <c r="J55" s="63">
        <f>IF($M55="","",INDEX('Form Calc'!$L:$L,$M55))</f>
        <v/>
      </c>
      <c r="K55" s="63">
        <f>IF($M55="","",INDEX('Form Calc'!$M:$M,$M55))</f>
        <v/>
      </c>
      <c r="L55" s="47">
        <f>IF($M55="","",INDEX('Form Calc'!$F:$F,$M55))</f>
        <v/>
      </c>
      <c r="M55" s="32">
        <f>IF(50&gt;MAX('Form Calc'!$Y$2:$Y$601),"",IFERROR(MATCH(MAX('Form Calc'!$Y$2:$Y$601)+1-50,'Form Calc'!$Z:$Z,0),""))</f>
        <v/>
      </c>
    </row>
    <row r="56">
      <c r="A56" s="62">
        <f>IF($M56="","",INDEX('Form Calc'!$B:$B,$M56))</f>
        <v/>
      </c>
      <c r="B56" s="47">
        <f>IF($M56="","",INDEX('Form Calc'!$G:$G,$M56))</f>
        <v/>
      </c>
      <c r="C56" s="47">
        <f>IF($M56="","",INDEX('Form Calc'!$H:$H,$M56))</f>
        <v/>
      </c>
      <c r="D56" s="47">
        <f>IF($M56="","",INDEX('Form Calc'!$I:$I,$M56))</f>
        <v/>
      </c>
      <c r="E56" s="47">
        <f>IF($M56="","",INDEX('Form Calc'!$K:$K,$M56))</f>
        <v/>
      </c>
      <c r="F56" s="47">
        <f>IF($M56="","",INDEX('Form Calc'!$C:$C,$M56))</f>
        <v/>
      </c>
      <c r="G56" s="47">
        <f>IF($M56="","",IF(INDEX('Form Calc'!$R:$R,$M56)="","NEW","✓ yes"))</f>
        <v/>
      </c>
      <c r="H56" s="44">
        <f>IF($M56="","",INDEX('Form Calc'!$A:$A,$M56))</f>
        <v/>
      </c>
      <c r="I56" s="63">
        <f>IF($M56="","",INDEX('Form Calc'!$J:$J,$M56))</f>
        <v/>
      </c>
      <c r="J56" s="63">
        <f>IF($M56="","",INDEX('Form Calc'!$L:$L,$M56))</f>
        <v/>
      </c>
      <c r="K56" s="63">
        <f>IF($M56="","",INDEX('Form Calc'!$M:$M,$M56))</f>
        <v/>
      </c>
      <c r="L56" s="47">
        <f>IF($M56="","",INDEX('Form Calc'!$F:$F,$M56))</f>
        <v/>
      </c>
      <c r="M56" s="32">
        <f>IF(51&gt;MAX('Form Calc'!$Y$2:$Y$601),"",IFERROR(MATCH(MAX('Form Calc'!$Y$2:$Y$601)+1-51,'Form Calc'!$Z:$Z,0),""))</f>
        <v/>
      </c>
    </row>
    <row r="57">
      <c r="A57" s="62">
        <f>IF($M57="","",INDEX('Form Calc'!$B:$B,$M57))</f>
        <v/>
      </c>
      <c r="B57" s="47">
        <f>IF($M57="","",INDEX('Form Calc'!$G:$G,$M57))</f>
        <v/>
      </c>
      <c r="C57" s="47">
        <f>IF($M57="","",INDEX('Form Calc'!$H:$H,$M57))</f>
        <v/>
      </c>
      <c r="D57" s="47">
        <f>IF($M57="","",INDEX('Form Calc'!$I:$I,$M57))</f>
        <v/>
      </c>
      <c r="E57" s="47">
        <f>IF($M57="","",INDEX('Form Calc'!$K:$K,$M57))</f>
        <v/>
      </c>
      <c r="F57" s="47">
        <f>IF($M57="","",INDEX('Form Calc'!$C:$C,$M57))</f>
        <v/>
      </c>
      <c r="G57" s="47">
        <f>IF($M57="","",IF(INDEX('Form Calc'!$R:$R,$M57)="","NEW","✓ yes"))</f>
        <v/>
      </c>
      <c r="H57" s="44">
        <f>IF($M57="","",INDEX('Form Calc'!$A:$A,$M57))</f>
        <v/>
      </c>
      <c r="I57" s="63">
        <f>IF($M57="","",INDEX('Form Calc'!$J:$J,$M57))</f>
        <v/>
      </c>
      <c r="J57" s="63">
        <f>IF($M57="","",INDEX('Form Calc'!$L:$L,$M57))</f>
        <v/>
      </c>
      <c r="K57" s="63">
        <f>IF($M57="","",INDEX('Form Calc'!$M:$M,$M57))</f>
        <v/>
      </c>
      <c r="L57" s="47">
        <f>IF($M57="","",INDEX('Form Calc'!$F:$F,$M57))</f>
        <v/>
      </c>
      <c r="M57" s="32">
        <f>IF(52&gt;MAX('Form Calc'!$Y$2:$Y$601),"",IFERROR(MATCH(MAX('Form Calc'!$Y$2:$Y$601)+1-52,'Form Calc'!$Z:$Z,0),""))</f>
        <v/>
      </c>
    </row>
    <row r="58">
      <c r="A58" s="62">
        <f>IF($M58="","",INDEX('Form Calc'!$B:$B,$M58))</f>
        <v/>
      </c>
      <c r="B58" s="47">
        <f>IF($M58="","",INDEX('Form Calc'!$G:$G,$M58))</f>
        <v/>
      </c>
      <c r="C58" s="47">
        <f>IF($M58="","",INDEX('Form Calc'!$H:$H,$M58))</f>
        <v/>
      </c>
      <c r="D58" s="47">
        <f>IF($M58="","",INDEX('Form Calc'!$I:$I,$M58))</f>
        <v/>
      </c>
      <c r="E58" s="47">
        <f>IF($M58="","",INDEX('Form Calc'!$K:$K,$M58))</f>
        <v/>
      </c>
      <c r="F58" s="47">
        <f>IF($M58="","",INDEX('Form Calc'!$C:$C,$M58))</f>
        <v/>
      </c>
      <c r="G58" s="47">
        <f>IF($M58="","",IF(INDEX('Form Calc'!$R:$R,$M58)="","NEW","✓ yes"))</f>
        <v/>
      </c>
      <c r="H58" s="44">
        <f>IF($M58="","",INDEX('Form Calc'!$A:$A,$M58))</f>
        <v/>
      </c>
      <c r="I58" s="63">
        <f>IF($M58="","",INDEX('Form Calc'!$J:$J,$M58))</f>
        <v/>
      </c>
      <c r="J58" s="63">
        <f>IF($M58="","",INDEX('Form Calc'!$L:$L,$M58))</f>
        <v/>
      </c>
      <c r="K58" s="63">
        <f>IF($M58="","",INDEX('Form Calc'!$M:$M,$M58))</f>
        <v/>
      </c>
      <c r="L58" s="47">
        <f>IF($M58="","",INDEX('Form Calc'!$F:$F,$M58))</f>
        <v/>
      </c>
      <c r="M58" s="32">
        <f>IF(53&gt;MAX('Form Calc'!$Y$2:$Y$601),"",IFERROR(MATCH(MAX('Form Calc'!$Y$2:$Y$601)+1-53,'Form Calc'!$Z:$Z,0),""))</f>
        <v/>
      </c>
    </row>
    <row r="59">
      <c r="A59" s="62">
        <f>IF($M59="","",INDEX('Form Calc'!$B:$B,$M59))</f>
        <v/>
      </c>
      <c r="B59" s="47">
        <f>IF($M59="","",INDEX('Form Calc'!$G:$G,$M59))</f>
        <v/>
      </c>
      <c r="C59" s="47">
        <f>IF($M59="","",INDEX('Form Calc'!$H:$H,$M59))</f>
        <v/>
      </c>
      <c r="D59" s="47">
        <f>IF($M59="","",INDEX('Form Calc'!$I:$I,$M59))</f>
        <v/>
      </c>
      <c r="E59" s="47">
        <f>IF($M59="","",INDEX('Form Calc'!$K:$K,$M59))</f>
        <v/>
      </c>
      <c r="F59" s="47">
        <f>IF($M59="","",INDEX('Form Calc'!$C:$C,$M59))</f>
        <v/>
      </c>
      <c r="G59" s="47">
        <f>IF($M59="","",IF(INDEX('Form Calc'!$R:$R,$M59)="","NEW","✓ yes"))</f>
        <v/>
      </c>
      <c r="H59" s="44">
        <f>IF($M59="","",INDEX('Form Calc'!$A:$A,$M59))</f>
        <v/>
      </c>
      <c r="I59" s="63">
        <f>IF($M59="","",INDEX('Form Calc'!$J:$J,$M59))</f>
        <v/>
      </c>
      <c r="J59" s="63">
        <f>IF($M59="","",INDEX('Form Calc'!$L:$L,$M59))</f>
        <v/>
      </c>
      <c r="K59" s="63">
        <f>IF($M59="","",INDEX('Form Calc'!$M:$M,$M59))</f>
        <v/>
      </c>
      <c r="L59" s="47">
        <f>IF($M59="","",INDEX('Form Calc'!$F:$F,$M59))</f>
        <v/>
      </c>
      <c r="M59" s="32">
        <f>IF(54&gt;MAX('Form Calc'!$Y$2:$Y$601),"",IFERROR(MATCH(MAX('Form Calc'!$Y$2:$Y$601)+1-54,'Form Calc'!$Z:$Z,0),""))</f>
        <v/>
      </c>
    </row>
    <row r="60">
      <c r="A60" s="62">
        <f>IF($M60="","",INDEX('Form Calc'!$B:$B,$M60))</f>
        <v/>
      </c>
      <c r="B60" s="47">
        <f>IF($M60="","",INDEX('Form Calc'!$G:$G,$M60))</f>
        <v/>
      </c>
      <c r="C60" s="47">
        <f>IF($M60="","",INDEX('Form Calc'!$H:$H,$M60))</f>
        <v/>
      </c>
      <c r="D60" s="47">
        <f>IF($M60="","",INDEX('Form Calc'!$I:$I,$M60))</f>
        <v/>
      </c>
      <c r="E60" s="47">
        <f>IF($M60="","",INDEX('Form Calc'!$K:$K,$M60))</f>
        <v/>
      </c>
      <c r="F60" s="47">
        <f>IF($M60="","",INDEX('Form Calc'!$C:$C,$M60))</f>
        <v/>
      </c>
      <c r="G60" s="47">
        <f>IF($M60="","",IF(INDEX('Form Calc'!$R:$R,$M60)="","NEW","✓ yes"))</f>
        <v/>
      </c>
      <c r="H60" s="44">
        <f>IF($M60="","",INDEX('Form Calc'!$A:$A,$M60))</f>
        <v/>
      </c>
      <c r="I60" s="63">
        <f>IF($M60="","",INDEX('Form Calc'!$J:$J,$M60))</f>
        <v/>
      </c>
      <c r="J60" s="63">
        <f>IF($M60="","",INDEX('Form Calc'!$L:$L,$M60))</f>
        <v/>
      </c>
      <c r="K60" s="63">
        <f>IF($M60="","",INDEX('Form Calc'!$M:$M,$M60))</f>
        <v/>
      </c>
      <c r="L60" s="47">
        <f>IF($M60="","",INDEX('Form Calc'!$F:$F,$M60))</f>
        <v/>
      </c>
      <c r="M60" s="32">
        <f>IF(55&gt;MAX('Form Calc'!$Y$2:$Y$601),"",IFERROR(MATCH(MAX('Form Calc'!$Y$2:$Y$601)+1-55,'Form Calc'!$Z:$Z,0),""))</f>
        <v/>
      </c>
    </row>
    <row r="61">
      <c r="A61" s="62">
        <f>IF($M61="","",INDEX('Form Calc'!$B:$B,$M61))</f>
        <v/>
      </c>
      <c r="B61" s="47">
        <f>IF($M61="","",INDEX('Form Calc'!$G:$G,$M61))</f>
        <v/>
      </c>
      <c r="C61" s="47">
        <f>IF($M61="","",INDEX('Form Calc'!$H:$H,$M61))</f>
        <v/>
      </c>
      <c r="D61" s="47">
        <f>IF($M61="","",INDEX('Form Calc'!$I:$I,$M61))</f>
        <v/>
      </c>
      <c r="E61" s="47">
        <f>IF($M61="","",INDEX('Form Calc'!$K:$K,$M61))</f>
        <v/>
      </c>
      <c r="F61" s="47">
        <f>IF($M61="","",INDEX('Form Calc'!$C:$C,$M61))</f>
        <v/>
      </c>
      <c r="G61" s="47">
        <f>IF($M61="","",IF(INDEX('Form Calc'!$R:$R,$M61)="","NEW","✓ yes"))</f>
        <v/>
      </c>
      <c r="H61" s="44">
        <f>IF($M61="","",INDEX('Form Calc'!$A:$A,$M61))</f>
        <v/>
      </c>
      <c r="I61" s="63">
        <f>IF($M61="","",INDEX('Form Calc'!$J:$J,$M61))</f>
        <v/>
      </c>
      <c r="J61" s="63">
        <f>IF($M61="","",INDEX('Form Calc'!$L:$L,$M61))</f>
        <v/>
      </c>
      <c r="K61" s="63">
        <f>IF($M61="","",INDEX('Form Calc'!$M:$M,$M61))</f>
        <v/>
      </c>
      <c r="L61" s="47">
        <f>IF($M61="","",INDEX('Form Calc'!$F:$F,$M61))</f>
        <v/>
      </c>
      <c r="M61" s="32">
        <f>IF(56&gt;MAX('Form Calc'!$Y$2:$Y$601),"",IFERROR(MATCH(MAX('Form Calc'!$Y$2:$Y$601)+1-56,'Form Calc'!$Z:$Z,0),""))</f>
        <v/>
      </c>
    </row>
    <row r="62">
      <c r="A62" s="62">
        <f>IF($M62="","",INDEX('Form Calc'!$B:$B,$M62))</f>
        <v/>
      </c>
      <c r="B62" s="47">
        <f>IF($M62="","",INDEX('Form Calc'!$G:$G,$M62))</f>
        <v/>
      </c>
      <c r="C62" s="47">
        <f>IF($M62="","",INDEX('Form Calc'!$H:$H,$M62))</f>
        <v/>
      </c>
      <c r="D62" s="47">
        <f>IF($M62="","",INDEX('Form Calc'!$I:$I,$M62))</f>
        <v/>
      </c>
      <c r="E62" s="47">
        <f>IF($M62="","",INDEX('Form Calc'!$K:$K,$M62))</f>
        <v/>
      </c>
      <c r="F62" s="47">
        <f>IF($M62="","",INDEX('Form Calc'!$C:$C,$M62))</f>
        <v/>
      </c>
      <c r="G62" s="47">
        <f>IF($M62="","",IF(INDEX('Form Calc'!$R:$R,$M62)="","NEW","✓ yes"))</f>
        <v/>
      </c>
      <c r="H62" s="44">
        <f>IF($M62="","",INDEX('Form Calc'!$A:$A,$M62))</f>
        <v/>
      </c>
      <c r="I62" s="63">
        <f>IF($M62="","",INDEX('Form Calc'!$J:$J,$M62))</f>
        <v/>
      </c>
      <c r="J62" s="63">
        <f>IF($M62="","",INDEX('Form Calc'!$L:$L,$M62))</f>
        <v/>
      </c>
      <c r="K62" s="63">
        <f>IF($M62="","",INDEX('Form Calc'!$M:$M,$M62))</f>
        <v/>
      </c>
      <c r="L62" s="47">
        <f>IF($M62="","",INDEX('Form Calc'!$F:$F,$M62))</f>
        <v/>
      </c>
      <c r="M62" s="32">
        <f>IF(57&gt;MAX('Form Calc'!$Y$2:$Y$601),"",IFERROR(MATCH(MAX('Form Calc'!$Y$2:$Y$601)+1-57,'Form Calc'!$Z:$Z,0),""))</f>
        <v/>
      </c>
    </row>
    <row r="63">
      <c r="A63" s="62">
        <f>IF($M63="","",INDEX('Form Calc'!$B:$B,$M63))</f>
        <v/>
      </c>
      <c r="B63" s="47">
        <f>IF($M63="","",INDEX('Form Calc'!$G:$G,$M63))</f>
        <v/>
      </c>
      <c r="C63" s="47">
        <f>IF($M63="","",INDEX('Form Calc'!$H:$H,$M63))</f>
        <v/>
      </c>
      <c r="D63" s="47">
        <f>IF($M63="","",INDEX('Form Calc'!$I:$I,$M63))</f>
        <v/>
      </c>
      <c r="E63" s="47">
        <f>IF($M63="","",INDEX('Form Calc'!$K:$K,$M63))</f>
        <v/>
      </c>
      <c r="F63" s="47">
        <f>IF($M63="","",INDEX('Form Calc'!$C:$C,$M63))</f>
        <v/>
      </c>
      <c r="G63" s="47">
        <f>IF($M63="","",IF(INDEX('Form Calc'!$R:$R,$M63)="","NEW","✓ yes"))</f>
        <v/>
      </c>
      <c r="H63" s="44">
        <f>IF($M63="","",INDEX('Form Calc'!$A:$A,$M63))</f>
        <v/>
      </c>
      <c r="I63" s="63">
        <f>IF($M63="","",INDEX('Form Calc'!$J:$J,$M63))</f>
        <v/>
      </c>
      <c r="J63" s="63">
        <f>IF($M63="","",INDEX('Form Calc'!$L:$L,$M63))</f>
        <v/>
      </c>
      <c r="K63" s="63">
        <f>IF($M63="","",INDEX('Form Calc'!$M:$M,$M63))</f>
        <v/>
      </c>
      <c r="L63" s="47">
        <f>IF($M63="","",INDEX('Form Calc'!$F:$F,$M63))</f>
        <v/>
      </c>
      <c r="M63" s="32">
        <f>IF(58&gt;MAX('Form Calc'!$Y$2:$Y$601),"",IFERROR(MATCH(MAX('Form Calc'!$Y$2:$Y$601)+1-58,'Form Calc'!$Z:$Z,0),""))</f>
        <v/>
      </c>
    </row>
    <row r="64">
      <c r="A64" s="62">
        <f>IF($M64="","",INDEX('Form Calc'!$B:$B,$M64))</f>
        <v/>
      </c>
      <c r="B64" s="47">
        <f>IF($M64="","",INDEX('Form Calc'!$G:$G,$M64))</f>
        <v/>
      </c>
      <c r="C64" s="47">
        <f>IF($M64="","",INDEX('Form Calc'!$H:$H,$M64))</f>
        <v/>
      </c>
      <c r="D64" s="47">
        <f>IF($M64="","",INDEX('Form Calc'!$I:$I,$M64))</f>
        <v/>
      </c>
      <c r="E64" s="47">
        <f>IF($M64="","",INDEX('Form Calc'!$K:$K,$M64))</f>
        <v/>
      </c>
      <c r="F64" s="47">
        <f>IF($M64="","",INDEX('Form Calc'!$C:$C,$M64))</f>
        <v/>
      </c>
      <c r="G64" s="47">
        <f>IF($M64="","",IF(INDEX('Form Calc'!$R:$R,$M64)="","NEW","✓ yes"))</f>
        <v/>
      </c>
      <c r="H64" s="44">
        <f>IF($M64="","",INDEX('Form Calc'!$A:$A,$M64))</f>
        <v/>
      </c>
      <c r="I64" s="63">
        <f>IF($M64="","",INDEX('Form Calc'!$J:$J,$M64))</f>
        <v/>
      </c>
      <c r="J64" s="63">
        <f>IF($M64="","",INDEX('Form Calc'!$L:$L,$M64))</f>
        <v/>
      </c>
      <c r="K64" s="63">
        <f>IF($M64="","",INDEX('Form Calc'!$M:$M,$M64))</f>
        <v/>
      </c>
      <c r="L64" s="47">
        <f>IF($M64="","",INDEX('Form Calc'!$F:$F,$M64))</f>
        <v/>
      </c>
      <c r="M64" s="32">
        <f>IF(59&gt;MAX('Form Calc'!$Y$2:$Y$601),"",IFERROR(MATCH(MAX('Form Calc'!$Y$2:$Y$601)+1-59,'Form Calc'!$Z:$Z,0),""))</f>
        <v/>
      </c>
    </row>
    <row r="65">
      <c r="A65" s="62">
        <f>IF($M65="","",INDEX('Form Calc'!$B:$B,$M65))</f>
        <v/>
      </c>
      <c r="B65" s="47">
        <f>IF($M65="","",INDEX('Form Calc'!$G:$G,$M65))</f>
        <v/>
      </c>
      <c r="C65" s="47">
        <f>IF($M65="","",INDEX('Form Calc'!$H:$H,$M65))</f>
        <v/>
      </c>
      <c r="D65" s="47">
        <f>IF($M65="","",INDEX('Form Calc'!$I:$I,$M65))</f>
        <v/>
      </c>
      <c r="E65" s="47">
        <f>IF($M65="","",INDEX('Form Calc'!$K:$K,$M65))</f>
        <v/>
      </c>
      <c r="F65" s="47">
        <f>IF($M65="","",INDEX('Form Calc'!$C:$C,$M65))</f>
        <v/>
      </c>
      <c r="G65" s="47">
        <f>IF($M65="","",IF(INDEX('Form Calc'!$R:$R,$M65)="","NEW","✓ yes"))</f>
        <v/>
      </c>
      <c r="H65" s="44">
        <f>IF($M65="","",INDEX('Form Calc'!$A:$A,$M65))</f>
        <v/>
      </c>
      <c r="I65" s="63">
        <f>IF($M65="","",INDEX('Form Calc'!$J:$J,$M65))</f>
        <v/>
      </c>
      <c r="J65" s="63">
        <f>IF($M65="","",INDEX('Form Calc'!$L:$L,$M65))</f>
        <v/>
      </c>
      <c r="K65" s="63">
        <f>IF($M65="","",INDEX('Form Calc'!$M:$M,$M65))</f>
        <v/>
      </c>
      <c r="L65" s="47">
        <f>IF($M65="","",INDEX('Form Calc'!$F:$F,$M65))</f>
        <v/>
      </c>
      <c r="M65" s="32">
        <f>IF(60&gt;MAX('Form Calc'!$Y$2:$Y$601),"",IFERROR(MATCH(MAX('Form Calc'!$Y$2:$Y$601)+1-60,'Form Calc'!$Z:$Z,0),""))</f>
        <v/>
      </c>
    </row>
    <row r="66">
      <c r="A66" s="62">
        <f>IF($M66="","",INDEX('Form Calc'!$B:$B,$M66))</f>
        <v/>
      </c>
      <c r="B66" s="47">
        <f>IF($M66="","",INDEX('Form Calc'!$G:$G,$M66))</f>
        <v/>
      </c>
      <c r="C66" s="47">
        <f>IF($M66="","",INDEX('Form Calc'!$H:$H,$M66))</f>
        <v/>
      </c>
      <c r="D66" s="47">
        <f>IF($M66="","",INDEX('Form Calc'!$I:$I,$M66))</f>
        <v/>
      </c>
      <c r="E66" s="47">
        <f>IF($M66="","",INDEX('Form Calc'!$K:$K,$M66))</f>
        <v/>
      </c>
      <c r="F66" s="47">
        <f>IF($M66="","",INDEX('Form Calc'!$C:$C,$M66))</f>
        <v/>
      </c>
      <c r="G66" s="47">
        <f>IF($M66="","",IF(INDEX('Form Calc'!$R:$R,$M66)="","NEW","✓ yes"))</f>
        <v/>
      </c>
      <c r="H66" s="44">
        <f>IF($M66="","",INDEX('Form Calc'!$A:$A,$M66))</f>
        <v/>
      </c>
      <c r="I66" s="63">
        <f>IF($M66="","",INDEX('Form Calc'!$J:$J,$M66))</f>
        <v/>
      </c>
      <c r="J66" s="63">
        <f>IF($M66="","",INDEX('Form Calc'!$L:$L,$M66))</f>
        <v/>
      </c>
      <c r="K66" s="63">
        <f>IF($M66="","",INDEX('Form Calc'!$M:$M,$M66))</f>
        <v/>
      </c>
      <c r="L66" s="47">
        <f>IF($M66="","",INDEX('Form Calc'!$F:$F,$M66))</f>
        <v/>
      </c>
      <c r="M66" s="32">
        <f>IF(61&gt;MAX('Form Calc'!$Y$2:$Y$601),"",IFERROR(MATCH(MAX('Form Calc'!$Y$2:$Y$601)+1-61,'Form Calc'!$Z:$Z,0),""))</f>
        <v/>
      </c>
    </row>
    <row r="67">
      <c r="A67" s="62">
        <f>IF($M67="","",INDEX('Form Calc'!$B:$B,$M67))</f>
        <v/>
      </c>
      <c r="B67" s="47">
        <f>IF($M67="","",INDEX('Form Calc'!$G:$G,$M67))</f>
        <v/>
      </c>
      <c r="C67" s="47">
        <f>IF($M67="","",INDEX('Form Calc'!$H:$H,$M67))</f>
        <v/>
      </c>
      <c r="D67" s="47">
        <f>IF($M67="","",INDEX('Form Calc'!$I:$I,$M67))</f>
        <v/>
      </c>
      <c r="E67" s="47">
        <f>IF($M67="","",INDEX('Form Calc'!$K:$K,$M67))</f>
        <v/>
      </c>
      <c r="F67" s="47">
        <f>IF($M67="","",INDEX('Form Calc'!$C:$C,$M67))</f>
        <v/>
      </c>
      <c r="G67" s="47">
        <f>IF($M67="","",IF(INDEX('Form Calc'!$R:$R,$M67)="","NEW","✓ yes"))</f>
        <v/>
      </c>
      <c r="H67" s="44">
        <f>IF($M67="","",INDEX('Form Calc'!$A:$A,$M67))</f>
        <v/>
      </c>
      <c r="I67" s="63">
        <f>IF($M67="","",INDEX('Form Calc'!$J:$J,$M67))</f>
        <v/>
      </c>
      <c r="J67" s="63">
        <f>IF($M67="","",INDEX('Form Calc'!$L:$L,$M67))</f>
        <v/>
      </c>
      <c r="K67" s="63">
        <f>IF($M67="","",INDEX('Form Calc'!$M:$M,$M67))</f>
        <v/>
      </c>
      <c r="L67" s="47">
        <f>IF($M67="","",INDEX('Form Calc'!$F:$F,$M67))</f>
        <v/>
      </c>
      <c r="M67" s="32">
        <f>IF(62&gt;MAX('Form Calc'!$Y$2:$Y$601),"",IFERROR(MATCH(MAX('Form Calc'!$Y$2:$Y$601)+1-62,'Form Calc'!$Z:$Z,0),""))</f>
        <v/>
      </c>
    </row>
    <row r="68">
      <c r="A68" s="62">
        <f>IF($M68="","",INDEX('Form Calc'!$B:$B,$M68))</f>
        <v/>
      </c>
      <c r="B68" s="47">
        <f>IF($M68="","",INDEX('Form Calc'!$G:$G,$M68))</f>
        <v/>
      </c>
      <c r="C68" s="47">
        <f>IF($M68="","",INDEX('Form Calc'!$H:$H,$M68))</f>
        <v/>
      </c>
      <c r="D68" s="47">
        <f>IF($M68="","",INDEX('Form Calc'!$I:$I,$M68))</f>
        <v/>
      </c>
      <c r="E68" s="47">
        <f>IF($M68="","",INDEX('Form Calc'!$K:$K,$M68))</f>
        <v/>
      </c>
      <c r="F68" s="47">
        <f>IF($M68="","",INDEX('Form Calc'!$C:$C,$M68))</f>
        <v/>
      </c>
      <c r="G68" s="47">
        <f>IF($M68="","",IF(INDEX('Form Calc'!$R:$R,$M68)="","NEW","✓ yes"))</f>
        <v/>
      </c>
      <c r="H68" s="44">
        <f>IF($M68="","",INDEX('Form Calc'!$A:$A,$M68))</f>
        <v/>
      </c>
      <c r="I68" s="63">
        <f>IF($M68="","",INDEX('Form Calc'!$J:$J,$M68))</f>
        <v/>
      </c>
      <c r="J68" s="63">
        <f>IF($M68="","",INDEX('Form Calc'!$L:$L,$M68))</f>
        <v/>
      </c>
      <c r="K68" s="63">
        <f>IF($M68="","",INDEX('Form Calc'!$M:$M,$M68))</f>
        <v/>
      </c>
      <c r="L68" s="47">
        <f>IF($M68="","",INDEX('Form Calc'!$F:$F,$M68))</f>
        <v/>
      </c>
      <c r="M68" s="32">
        <f>IF(63&gt;MAX('Form Calc'!$Y$2:$Y$601),"",IFERROR(MATCH(MAX('Form Calc'!$Y$2:$Y$601)+1-63,'Form Calc'!$Z:$Z,0),""))</f>
        <v/>
      </c>
    </row>
    <row r="69">
      <c r="A69" s="62">
        <f>IF($M69="","",INDEX('Form Calc'!$B:$B,$M69))</f>
        <v/>
      </c>
      <c r="B69" s="47">
        <f>IF($M69="","",INDEX('Form Calc'!$G:$G,$M69))</f>
        <v/>
      </c>
      <c r="C69" s="47">
        <f>IF($M69="","",INDEX('Form Calc'!$H:$H,$M69))</f>
        <v/>
      </c>
      <c r="D69" s="47">
        <f>IF($M69="","",INDEX('Form Calc'!$I:$I,$M69))</f>
        <v/>
      </c>
      <c r="E69" s="47">
        <f>IF($M69="","",INDEX('Form Calc'!$K:$K,$M69))</f>
        <v/>
      </c>
      <c r="F69" s="47">
        <f>IF($M69="","",INDEX('Form Calc'!$C:$C,$M69))</f>
        <v/>
      </c>
      <c r="G69" s="47">
        <f>IF($M69="","",IF(INDEX('Form Calc'!$R:$R,$M69)="","NEW","✓ yes"))</f>
        <v/>
      </c>
      <c r="H69" s="44">
        <f>IF($M69="","",INDEX('Form Calc'!$A:$A,$M69))</f>
        <v/>
      </c>
      <c r="I69" s="63">
        <f>IF($M69="","",INDEX('Form Calc'!$J:$J,$M69))</f>
        <v/>
      </c>
      <c r="J69" s="63">
        <f>IF($M69="","",INDEX('Form Calc'!$L:$L,$M69))</f>
        <v/>
      </c>
      <c r="K69" s="63">
        <f>IF($M69="","",INDEX('Form Calc'!$M:$M,$M69))</f>
        <v/>
      </c>
      <c r="L69" s="47">
        <f>IF($M69="","",INDEX('Form Calc'!$F:$F,$M69))</f>
        <v/>
      </c>
      <c r="M69" s="32">
        <f>IF(64&gt;MAX('Form Calc'!$Y$2:$Y$601),"",IFERROR(MATCH(MAX('Form Calc'!$Y$2:$Y$601)+1-64,'Form Calc'!$Z:$Z,0),""))</f>
        <v/>
      </c>
    </row>
    <row r="70">
      <c r="A70" s="62">
        <f>IF($M70="","",INDEX('Form Calc'!$B:$B,$M70))</f>
        <v/>
      </c>
      <c r="B70" s="47">
        <f>IF($M70="","",INDEX('Form Calc'!$G:$G,$M70))</f>
        <v/>
      </c>
      <c r="C70" s="47">
        <f>IF($M70="","",INDEX('Form Calc'!$H:$H,$M70))</f>
        <v/>
      </c>
      <c r="D70" s="47">
        <f>IF($M70="","",INDEX('Form Calc'!$I:$I,$M70))</f>
        <v/>
      </c>
      <c r="E70" s="47">
        <f>IF($M70="","",INDEX('Form Calc'!$K:$K,$M70))</f>
        <v/>
      </c>
      <c r="F70" s="47">
        <f>IF($M70="","",INDEX('Form Calc'!$C:$C,$M70))</f>
        <v/>
      </c>
      <c r="G70" s="47">
        <f>IF($M70="","",IF(INDEX('Form Calc'!$R:$R,$M70)="","NEW","✓ yes"))</f>
        <v/>
      </c>
      <c r="H70" s="44">
        <f>IF($M70="","",INDEX('Form Calc'!$A:$A,$M70))</f>
        <v/>
      </c>
      <c r="I70" s="63">
        <f>IF($M70="","",INDEX('Form Calc'!$J:$J,$M70))</f>
        <v/>
      </c>
      <c r="J70" s="63">
        <f>IF($M70="","",INDEX('Form Calc'!$L:$L,$M70))</f>
        <v/>
      </c>
      <c r="K70" s="63">
        <f>IF($M70="","",INDEX('Form Calc'!$M:$M,$M70))</f>
        <v/>
      </c>
      <c r="L70" s="47">
        <f>IF($M70="","",INDEX('Form Calc'!$F:$F,$M70))</f>
        <v/>
      </c>
      <c r="M70" s="32">
        <f>IF(65&gt;MAX('Form Calc'!$Y$2:$Y$601),"",IFERROR(MATCH(MAX('Form Calc'!$Y$2:$Y$601)+1-65,'Form Calc'!$Z:$Z,0),""))</f>
        <v/>
      </c>
    </row>
    <row r="71">
      <c r="A71" s="62">
        <f>IF($M71="","",INDEX('Form Calc'!$B:$B,$M71))</f>
        <v/>
      </c>
      <c r="B71" s="47">
        <f>IF($M71="","",INDEX('Form Calc'!$G:$G,$M71))</f>
        <v/>
      </c>
      <c r="C71" s="47">
        <f>IF($M71="","",INDEX('Form Calc'!$H:$H,$M71))</f>
        <v/>
      </c>
      <c r="D71" s="47">
        <f>IF($M71="","",INDEX('Form Calc'!$I:$I,$M71))</f>
        <v/>
      </c>
      <c r="E71" s="47">
        <f>IF($M71="","",INDEX('Form Calc'!$K:$K,$M71))</f>
        <v/>
      </c>
      <c r="F71" s="47">
        <f>IF($M71="","",INDEX('Form Calc'!$C:$C,$M71))</f>
        <v/>
      </c>
      <c r="G71" s="47">
        <f>IF($M71="","",IF(INDEX('Form Calc'!$R:$R,$M71)="","NEW","✓ yes"))</f>
        <v/>
      </c>
      <c r="H71" s="44">
        <f>IF($M71="","",INDEX('Form Calc'!$A:$A,$M71))</f>
        <v/>
      </c>
      <c r="I71" s="63">
        <f>IF($M71="","",INDEX('Form Calc'!$J:$J,$M71))</f>
        <v/>
      </c>
      <c r="J71" s="63">
        <f>IF($M71="","",INDEX('Form Calc'!$L:$L,$M71))</f>
        <v/>
      </c>
      <c r="K71" s="63">
        <f>IF($M71="","",INDEX('Form Calc'!$M:$M,$M71))</f>
        <v/>
      </c>
      <c r="L71" s="47">
        <f>IF($M71="","",INDEX('Form Calc'!$F:$F,$M71))</f>
        <v/>
      </c>
      <c r="M71" s="32">
        <f>IF(66&gt;MAX('Form Calc'!$Y$2:$Y$601),"",IFERROR(MATCH(MAX('Form Calc'!$Y$2:$Y$601)+1-66,'Form Calc'!$Z:$Z,0),""))</f>
        <v/>
      </c>
    </row>
    <row r="72">
      <c r="A72" s="62">
        <f>IF($M72="","",INDEX('Form Calc'!$B:$B,$M72))</f>
        <v/>
      </c>
      <c r="B72" s="47">
        <f>IF($M72="","",INDEX('Form Calc'!$G:$G,$M72))</f>
        <v/>
      </c>
      <c r="C72" s="47">
        <f>IF($M72="","",INDEX('Form Calc'!$H:$H,$M72))</f>
        <v/>
      </c>
      <c r="D72" s="47">
        <f>IF($M72="","",INDEX('Form Calc'!$I:$I,$M72))</f>
        <v/>
      </c>
      <c r="E72" s="47">
        <f>IF($M72="","",INDEX('Form Calc'!$K:$K,$M72))</f>
        <v/>
      </c>
      <c r="F72" s="47">
        <f>IF($M72="","",INDEX('Form Calc'!$C:$C,$M72))</f>
        <v/>
      </c>
      <c r="G72" s="47">
        <f>IF($M72="","",IF(INDEX('Form Calc'!$R:$R,$M72)="","NEW","✓ yes"))</f>
        <v/>
      </c>
      <c r="H72" s="44">
        <f>IF($M72="","",INDEX('Form Calc'!$A:$A,$M72))</f>
        <v/>
      </c>
      <c r="I72" s="63">
        <f>IF($M72="","",INDEX('Form Calc'!$J:$J,$M72))</f>
        <v/>
      </c>
      <c r="J72" s="63">
        <f>IF($M72="","",INDEX('Form Calc'!$L:$L,$M72))</f>
        <v/>
      </c>
      <c r="K72" s="63">
        <f>IF($M72="","",INDEX('Form Calc'!$M:$M,$M72))</f>
        <v/>
      </c>
      <c r="L72" s="47">
        <f>IF($M72="","",INDEX('Form Calc'!$F:$F,$M72))</f>
        <v/>
      </c>
      <c r="M72" s="32">
        <f>IF(67&gt;MAX('Form Calc'!$Y$2:$Y$601),"",IFERROR(MATCH(MAX('Form Calc'!$Y$2:$Y$601)+1-67,'Form Calc'!$Z:$Z,0),""))</f>
        <v/>
      </c>
    </row>
    <row r="73">
      <c r="A73" s="62">
        <f>IF($M73="","",INDEX('Form Calc'!$B:$B,$M73))</f>
        <v/>
      </c>
      <c r="B73" s="47">
        <f>IF($M73="","",INDEX('Form Calc'!$G:$G,$M73))</f>
        <v/>
      </c>
      <c r="C73" s="47">
        <f>IF($M73="","",INDEX('Form Calc'!$H:$H,$M73))</f>
        <v/>
      </c>
      <c r="D73" s="47">
        <f>IF($M73="","",INDEX('Form Calc'!$I:$I,$M73))</f>
        <v/>
      </c>
      <c r="E73" s="47">
        <f>IF($M73="","",INDEX('Form Calc'!$K:$K,$M73))</f>
        <v/>
      </c>
      <c r="F73" s="47">
        <f>IF($M73="","",INDEX('Form Calc'!$C:$C,$M73))</f>
        <v/>
      </c>
      <c r="G73" s="47">
        <f>IF($M73="","",IF(INDEX('Form Calc'!$R:$R,$M73)="","NEW","✓ yes"))</f>
        <v/>
      </c>
      <c r="H73" s="44">
        <f>IF($M73="","",INDEX('Form Calc'!$A:$A,$M73))</f>
        <v/>
      </c>
      <c r="I73" s="63">
        <f>IF($M73="","",INDEX('Form Calc'!$J:$J,$M73))</f>
        <v/>
      </c>
      <c r="J73" s="63">
        <f>IF($M73="","",INDEX('Form Calc'!$L:$L,$M73))</f>
        <v/>
      </c>
      <c r="K73" s="63">
        <f>IF($M73="","",INDEX('Form Calc'!$M:$M,$M73))</f>
        <v/>
      </c>
      <c r="L73" s="47">
        <f>IF($M73="","",INDEX('Form Calc'!$F:$F,$M73))</f>
        <v/>
      </c>
      <c r="M73" s="32">
        <f>IF(68&gt;MAX('Form Calc'!$Y$2:$Y$601),"",IFERROR(MATCH(MAX('Form Calc'!$Y$2:$Y$601)+1-68,'Form Calc'!$Z:$Z,0),""))</f>
        <v/>
      </c>
    </row>
    <row r="74">
      <c r="A74" s="62">
        <f>IF($M74="","",INDEX('Form Calc'!$B:$B,$M74))</f>
        <v/>
      </c>
      <c r="B74" s="47">
        <f>IF($M74="","",INDEX('Form Calc'!$G:$G,$M74))</f>
        <v/>
      </c>
      <c r="C74" s="47">
        <f>IF($M74="","",INDEX('Form Calc'!$H:$H,$M74))</f>
        <v/>
      </c>
      <c r="D74" s="47">
        <f>IF($M74="","",INDEX('Form Calc'!$I:$I,$M74))</f>
        <v/>
      </c>
      <c r="E74" s="47">
        <f>IF($M74="","",INDEX('Form Calc'!$K:$K,$M74))</f>
        <v/>
      </c>
      <c r="F74" s="47">
        <f>IF($M74="","",INDEX('Form Calc'!$C:$C,$M74))</f>
        <v/>
      </c>
      <c r="G74" s="47">
        <f>IF($M74="","",IF(INDEX('Form Calc'!$R:$R,$M74)="","NEW","✓ yes"))</f>
        <v/>
      </c>
      <c r="H74" s="44">
        <f>IF($M74="","",INDEX('Form Calc'!$A:$A,$M74))</f>
        <v/>
      </c>
      <c r="I74" s="63">
        <f>IF($M74="","",INDEX('Form Calc'!$J:$J,$M74))</f>
        <v/>
      </c>
      <c r="J74" s="63">
        <f>IF($M74="","",INDEX('Form Calc'!$L:$L,$M74))</f>
        <v/>
      </c>
      <c r="K74" s="63">
        <f>IF($M74="","",INDEX('Form Calc'!$M:$M,$M74))</f>
        <v/>
      </c>
      <c r="L74" s="47">
        <f>IF($M74="","",INDEX('Form Calc'!$F:$F,$M74))</f>
        <v/>
      </c>
      <c r="M74" s="32">
        <f>IF(69&gt;MAX('Form Calc'!$Y$2:$Y$601),"",IFERROR(MATCH(MAX('Form Calc'!$Y$2:$Y$601)+1-69,'Form Calc'!$Z:$Z,0),""))</f>
        <v/>
      </c>
    </row>
    <row r="75">
      <c r="A75" s="62">
        <f>IF($M75="","",INDEX('Form Calc'!$B:$B,$M75))</f>
        <v/>
      </c>
      <c r="B75" s="47">
        <f>IF($M75="","",INDEX('Form Calc'!$G:$G,$M75))</f>
        <v/>
      </c>
      <c r="C75" s="47">
        <f>IF($M75="","",INDEX('Form Calc'!$H:$H,$M75))</f>
        <v/>
      </c>
      <c r="D75" s="47">
        <f>IF($M75="","",INDEX('Form Calc'!$I:$I,$M75))</f>
        <v/>
      </c>
      <c r="E75" s="47">
        <f>IF($M75="","",INDEX('Form Calc'!$K:$K,$M75))</f>
        <v/>
      </c>
      <c r="F75" s="47">
        <f>IF($M75="","",INDEX('Form Calc'!$C:$C,$M75))</f>
        <v/>
      </c>
      <c r="G75" s="47">
        <f>IF($M75="","",IF(INDEX('Form Calc'!$R:$R,$M75)="","NEW","✓ yes"))</f>
        <v/>
      </c>
      <c r="H75" s="44">
        <f>IF($M75="","",INDEX('Form Calc'!$A:$A,$M75))</f>
        <v/>
      </c>
      <c r="I75" s="63">
        <f>IF($M75="","",INDEX('Form Calc'!$J:$J,$M75))</f>
        <v/>
      </c>
      <c r="J75" s="63">
        <f>IF($M75="","",INDEX('Form Calc'!$L:$L,$M75))</f>
        <v/>
      </c>
      <c r="K75" s="63">
        <f>IF($M75="","",INDEX('Form Calc'!$M:$M,$M75))</f>
        <v/>
      </c>
      <c r="L75" s="47">
        <f>IF($M75="","",INDEX('Form Calc'!$F:$F,$M75))</f>
        <v/>
      </c>
      <c r="M75" s="32">
        <f>IF(70&gt;MAX('Form Calc'!$Y$2:$Y$601),"",IFERROR(MATCH(MAX('Form Calc'!$Y$2:$Y$601)+1-70,'Form Calc'!$Z:$Z,0),""))</f>
        <v/>
      </c>
    </row>
    <row r="76">
      <c r="A76" s="62">
        <f>IF($M76="","",INDEX('Form Calc'!$B:$B,$M76))</f>
        <v/>
      </c>
      <c r="B76" s="47">
        <f>IF($M76="","",INDEX('Form Calc'!$G:$G,$M76))</f>
        <v/>
      </c>
      <c r="C76" s="47">
        <f>IF($M76="","",INDEX('Form Calc'!$H:$H,$M76))</f>
        <v/>
      </c>
      <c r="D76" s="47">
        <f>IF($M76="","",INDEX('Form Calc'!$I:$I,$M76))</f>
        <v/>
      </c>
      <c r="E76" s="47">
        <f>IF($M76="","",INDEX('Form Calc'!$K:$K,$M76))</f>
        <v/>
      </c>
      <c r="F76" s="47">
        <f>IF($M76="","",INDEX('Form Calc'!$C:$C,$M76))</f>
        <v/>
      </c>
      <c r="G76" s="47">
        <f>IF($M76="","",IF(INDEX('Form Calc'!$R:$R,$M76)="","NEW","✓ yes"))</f>
        <v/>
      </c>
      <c r="H76" s="44">
        <f>IF($M76="","",INDEX('Form Calc'!$A:$A,$M76))</f>
        <v/>
      </c>
      <c r="I76" s="63">
        <f>IF($M76="","",INDEX('Form Calc'!$J:$J,$M76))</f>
        <v/>
      </c>
      <c r="J76" s="63">
        <f>IF($M76="","",INDEX('Form Calc'!$L:$L,$M76))</f>
        <v/>
      </c>
      <c r="K76" s="63">
        <f>IF($M76="","",INDEX('Form Calc'!$M:$M,$M76))</f>
        <v/>
      </c>
      <c r="L76" s="47">
        <f>IF($M76="","",INDEX('Form Calc'!$F:$F,$M76))</f>
        <v/>
      </c>
      <c r="M76" s="32">
        <f>IF(71&gt;MAX('Form Calc'!$Y$2:$Y$601),"",IFERROR(MATCH(MAX('Form Calc'!$Y$2:$Y$601)+1-71,'Form Calc'!$Z:$Z,0),""))</f>
        <v/>
      </c>
    </row>
    <row r="77">
      <c r="A77" s="62">
        <f>IF($M77="","",INDEX('Form Calc'!$B:$B,$M77))</f>
        <v/>
      </c>
      <c r="B77" s="47">
        <f>IF($M77="","",INDEX('Form Calc'!$G:$G,$M77))</f>
        <v/>
      </c>
      <c r="C77" s="47">
        <f>IF($M77="","",INDEX('Form Calc'!$H:$H,$M77))</f>
        <v/>
      </c>
      <c r="D77" s="47">
        <f>IF($M77="","",INDEX('Form Calc'!$I:$I,$M77))</f>
        <v/>
      </c>
      <c r="E77" s="47">
        <f>IF($M77="","",INDEX('Form Calc'!$K:$K,$M77))</f>
        <v/>
      </c>
      <c r="F77" s="47">
        <f>IF($M77="","",INDEX('Form Calc'!$C:$C,$M77))</f>
        <v/>
      </c>
      <c r="G77" s="47">
        <f>IF($M77="","",IF(INDEX('Form Calc'!$R:$R,$M77)="","NEW","✓ yes"))</f>
        <v/>
      </c>
      <c r="H77" s="44">
        <f>IF($M77="","",INDEX('Form Calc'!$A:$A,$M77))</f>
        <v/>
      </c>
      <c r="I77" s="63">
        <f>IF($M77="","",INDEX('Form Calc'!$J:$J,$M77))</f>
        <v/>
      </c>
      <c r="J77" s="63">
        <f>IF($M77="","",INDEX('Form Calc'!$L:$L,$M77))</f>
        <v/>
      </c>
      <c r="K77" s="63">
        <f>IF($M77="","",INDEX('Form Calc'!$M:$M,$M77))</f>
        <v/>
      </c>
      <c r="L77" s="47">
        <f>IF($M77="","",INDEX('Form Calc'!$F:$F,$M77))</f>
        <v/>
      </c>
      <c r="M77" s="32">
        <f>IF(72&gt;MAX('Form Calc'!$Y$2:$Y$601),"",IFERROR(MATCH(MAX('Form Calc'!$Y$2:$Y$601)+1-72,'Form Calc'!$Z:$Z,0),""))</f>
        <v/>
      </c>
    </row>
    <row r="78">
      <c r="A78" s="62">
        <f>IF($M78="","",INDEX('Form Calc'!$B:$B,$M78))</f>
        <v/>
      </c>
      <c r="B78" s="47">
        <f>IF($M78="","",INDEX('Form Calc'!$G:$G,$M78))</f>
        <v/>
      </c>
      <c r="C78" s="47">
        <f>IF($M78="","",INDEX('Form Calc'!$H:$H,$M78))</f>
        <v/>
      </c>
      <c r="D78" s="47">
        <f>IF($M78="","",INDEX('Form Calc'!$I:$I,$M78))</f>
        <v/>
      </c>
      <c r="E78" s="47">
        <f>IF($M78="","",INDEX('Form Calc'!$K:$K,$M78))</f>
        <v/>
      </c>
      <c r="F78" s="47">
        <f>IF($M78="","",INDEX('Form Calc'!$C:$C,$M78))</f>
        <v/>
      </c>
      <c r="G78" s="47">
        <f>IF($M78="","",IF(INDEX('Form Calc'!$R:$R,$M78)="","NEW","✓ yes"))</f>
        <v/>
      </c>
      <c r="H78" s="44">
        <f>IF($M78="","",INDEX('Form Calc'!$A:$A,$M78))</f>
        <v/>
      </c>
      <c r="I78" s="63">
        <f>IF($M78="","",INDEX('Form Calc'!$J:$J,$M78))</f>
        <v/>
      </c>
      <c r="J78" s="63">
        <f>IF($M78="","",INDEX('Form Calc'!$L:$L,$M78))</f>
        <v/>
      </c>
      <c r="K78" s="63">
        <f>IF($M78="","",INDEX('Form Calc'!$M:$M,$M78))</f>
        <v/>
      </c>
      <c r="L78" s="47">
        <f>IF($M78="","",INDEX('Form Calc'!$F:$F,$M78))</f>
        <v/>
      </c>
      <c r="M78" s="32">
        <f>IF(73&gt;MAX('Form Calc'!$Y$2:$Y$601),"",IFERROR(MATCH(MAX('Form Calc'!$Y$2:$Y$601)+1-73,'Form Calc'!$Z:$Z,0),""))</f>
        <v/>
      </c>
    </row>
    <row r="79">
      <c r="A79" s="62">
        <f>IF($M79="","",INDEX('Form Calc'!$B:$B,$M79))</f>
        <v/>
      </c>
      <c r="B79" s="47">
        <f>IF($M79="","",INDEX('Form Calc'!$G:$G,$M79))</f>
        <v/>
      </c>
      <c r="C79" s="47">
        <f>IF($M79="","",INDEX('Form Calc'!$H:$H,$M79))</f>
        <v/>
      </c>
      <c r="D79" s="47">
        <f>IF($M79="","",INDEX('Form Calc'!$I:$I,$M79))</f>
        <v/>
      </c>
      <c r="E79" s="47">
        <f>IF($M79="","",INDEX('Form Calc'!$K:$K,$M79))</f>
        <v/>
      </c>
      <c r="F79" s="47">
        <f>IF($M79="","",INDEX('Form Calc'!$C:$C,$M79))</f>
        <v/>
      </c>
      <c r="G79" s="47">
        <f>IF($M79="","",IF(INDEX('Form Calc'!$R:$R,$M79)="","NEW","✓ yes"))</f>
        <v/>
      </c>
      <c r="H79" s="44">
        <f>IF($M79="","",INDEX('Form Calc'!$A:$A,$M79))</f>
        <v/>
      </c>
      <c r="I79" s="63">
        <f>IF($M79="","",INDEX('Form Calc'!$J:$J,$M79))</f>
        <v/>
      </c>
      <c r="J79" s="63">
        <f>IF($M79="","",INDEX('Form Calc'!$L:$L,$M79))</f>
        <v/>
      </c>
      <c r="K79" s="63">
        <f>IF($M79="","",INDEX('Form Calc'!$M:$M,$M79))</f>
        <v/>
      </c>
      <c r="L79" s="47">
        <f>IF($M79="","",INDEX('Form Calc'!$F:$F,$M79))</f>
        <v/>
      </c>
      <c r="M79" s="32">
        <f>IF(74&gt;MAX('Form Calc'!$Y$2:$Y$601),"",IFERROR(MATCH(MAX('Form Calc'!$Y$2:$Y$601)+1-74,'Form Calc'!$Z:$Z,0),""))</f>
        <v/>
      </c>
    </row>
    <row r="80">
      <c r="A80" s="62">
        <f>IF($M80="","",INDEX('Form Calc'!$B:$B,$M80))</f>
        <v/>
      </c>
      <c r="B80" s="47">
        <f>IF($M80="","",INDEX('Form Calc'!$G:$G,$M80))</f>
        <v/>
      </c>
      <c r="C80" s="47">
        <f>IF($M80="","",INDEX('Form Calc'!$H:$H,$M80))</f>
        <v/>
      </c>
      <c r="D80" s="47">
        <f>IF($M80="","",INDEX('Form Calc'!$I:$I,$M80))</f>
        <v/>
      </c>
      <c r="E80" s="47">
        <f>IF($M80="","",INDEX('Form Calc'!$K:$K,$M80))</f>
        <v/>
      </c>
      <c r="F80" s="47">
        <f>IF($M80="","",INDEX('Form Calc'!$C:$C,$M80))</f>
        <v/>
      </c>
      <c r="G80" s="47">
        <f>IF($M80="","",IF(INDEX('Form Calc'!$R:$R,$M80)="","NEW","✓ yes"))</f>
        <v/>
      </c>
      <c r="H80" s="44">
        <f>IF($M80="","",INDEX('Form Calc'!$A:$A,$M80))</f>
        <v/>
      </c>
      <c r="I80" s="63">
        <f>IF($M80="","",INDEX('Form Calc'!$J:$J,$M80))</f>
        <v/>
      </c>
      <c r="J80" s="63">
        <f>IF($M80="","",INDEX('Form Calc'!$L:$L,$M80))</f>
        <v/>
      </c>
      <c r="K80" s="63">
        <f>IF($M80="","",INDEX('Form Calc'!$M:$M,$M80))</f>
        <v/>
      </c>
      <c r="L80" s="47">
        <f>IF($M80="","",INDEX('Form Calc'!$F:$F,$M80))</f>
        <v/>
      </c>
      <c r="M80" s="32">
        <f>IF(75&gt;MAX('Form Calc'!$Y$2:$Y$601),"",IFERROR(MATCH(MAX('Form Calc'!$Y$2:$Y$601)+1-75,'Form Calc'!$Z:$Z,0),""))</f>
        <v/>
      </c>
    </row>
    <row r="81">
      <c r="A81" s="62">
        <f>IF($M81="","",INDEX('Form Calc'!$B:$B,$M81))</f>
        <v/>
      </c>
      <c r="B81" s="47">
        <f>IF($M81="","",INDEX('Form Calc'!$G:$G,$M81))</f>
        <v/>
      </c>
      <c r="C81" s="47">
        <f>IF($M81="","",INDEX('Form Calc'!$H:$H,$M81))</f>
        <v/>
      </c>
      <c r="D81" s="47">
        <f>IF($M81="","",INDEX('Form Calc'!$I:$I,$M81))</f>
        <v/>
      </c>
      <c r="E81" s="47">
        <f>IF($M81="","",INDEX('Form Calc'!$K:$K,$M81))</f>
        <v/>
      </c>
      <c r="F81" s="47">
        <f>IF($M81="","",INDEX('Form Calc'!$C:$C,$M81))</f>
        <v/>
      </c>
      <c r="G81" s="47">
        <f>IF($M81="","",IF(INDEX('Form Calc'!$R:$R,$M81)="","NEW","✓ yes"))</f>
        <v/>
      </c>
      <c r="H81" s="44">
        <f>IF($M81="","",INDEX('Form Calc'!$A:$A,$M81))</f>
        <v/>
      </c>
      <c r="I81" s="63">
        <f>IF($M81="","",INDEX('Form Calc'!$J:$J,$M81))</f>
        <v/>
      </c>
      <c r="J81" s="63">
        <f>IF($M81="","",INDEX('Form Calc'!$L:$L,$M81))</f>
        <v/>
      </c>
      <c r="K81" s="63">
        <f>IF($M81="","",INDEX('Form Calc'!$M:$M,$M81))</f>
        <v/>
      </c>
      <c r="L81" s="47">
        <f>IF($M81="","",INDEX('Form Calc'!$F:$F,$M81))</f>
        <v/>
      </c>
      <c r="M81" s="32">
        <f>IF(76&gt;MAX('Form Calc'!$Y$2:$Y$601),"",IFERROR(MATCH(MAX('Form Calc'!$Y$2:$Y$601)+1-76,'Form Calc'!$Z:$Z,0),""))</f>
        <v/>
      </c>
    </row>
    <row r="82">
      <c r="A82" s="62">
        <f>IF($M82="","",INDEX('Form Calc'!$B:$B,$M82))</f>
        <v/>
      </c>
      <c r="B82" s="47">
        <f>IF($M82="","",INDEX('Form Calc'!$G:$G,$M82))</f>
        <v/>
      </c>
      <c r="C82" s="47">
        <f>IF($M82="","",INDEX('Form Calc'!$H:$H,$M82))</f>
        <v/>
      </c>
      <c r="D82" s="47">
        <f>IF($M82="","",INDEX('Form Calc'!$I:$I,$M82))</f>
        <v/>
      </c>
      <c r="E82" s="47">
        <f>IF($M82="","",INDEX('Form Calc'!$K:$K,$M82))</f>
        <v/>
      </c>
      <c r="F82" s="47">
        <f>IF($M82="","",INDEX('Form Calc'!$C:$C,$M82))</f>
        <v/>
      </c>
      <c r="G82" s="47">
        <f>IF($M82="","",IF(INDEX('Form Calc'!$R:$R,$M82)="","NEW","✓ yes"))</f>
        <v/>
      </c>
      <c r="H82" s="44">
        <f>IF($M82="","",INDEX('Form Calc'!$A:$A,$M82))</f>
        <v/>
      </c>
      <c r="I82" s="63">
        <f>IF($M82="","",INDEX('Form Calc'!$J:$J,$M82))</f>
        <v/>
      </c>
      <c r="J82" s="63">
        <f>IF($M82="","",INDEX('Form Calc'!$L:$L,$M82))</f>
        <v/>
      </c>
      <c r="K82" s="63">
        <f>IF($M82="","",INDEX('Form Calc'!$M:$M,$M82))</f>
        <v/>
      </c>
      <c r="L82" s="47">
        <f>IF($M82="","",INDEX('Form Calc'!$F:$F,$M82))</f>
        <v/>
      </c>
      <c r="M82" s="32">
        <f>IF(77&gt;MAX('Form Calc'!$Y$2:$Y$601),"",IFERROR(MATCH(MAX('Form Calc'!$Y$2:$Y$601)+1-77,'Form Calc'!$Z:$Z,0),""))</f>
        <v/>
      </c>
    </row>
    <row r="83">
      <c r="A83" s="62">
        <f>IF($M83="","",INDEX('Form Calc'!$B:$B,$M83))</f>
        <v/>
      </c>
      <c r="B83" s="47">
        <f>IF($M83="","",INDEX('Form Calc'!$G:$G,$M83))</f>
        <v/>
      </c>
      <c r="C83" s="47">
        <f>IF($M83="","",INDEX('Form Calc'!$H:$H,$M83))</f>
        <v/>
      </c>
      <c r="D83" s="47">
        <f>IF($M83="","",INDEX('Form Calc'!$I:$I,$M83))</f>
        <v/>
      </c>
      <c r="E83" s="47">
        <f>IF($M83="","",INDEX('Form Calc'!$K:$K,$M83))</f>
        <v/>
      </c>
      <c r="F83" s="47">
        <f>IF($M83="","",INDEX('Form Calc'!$C:$C,$M83))</f>
        <v/>
      </c>
      <c r="G83" s="47">
        <f>IF($M83="","",IF(INDEX('Form Calc'!$R:$R,$M83)="","NEW","✓ yes"))</f>
        <v/>
      </c>
      <c r="H83" s="44">
        <f>IF($M83="","",INDEX('Form Calc'!$A:$A,$M83))</f>
        <v/>
      </c>
      <c r="I83" s="63">
        <f>IF($M83="","",INDEX('Form Calc'!$J:$J,$M83))</f>
        <v/>
      </c>
      <c r="J83" s="63">
        <f>IF($M83="","",INDEX('Form Calc'!$L:$L,$M83))</f>
        <v/>
      </c>
      <c r="K83" s="63">
        <f>IF($M83="","",INDEX('Form Calc'!$M:$M,$M83))</f>
        <v/>
      </c>
      <c r="L83" s="47">
        <f>IF($M83="","",INDEX('Form Calc'!$F:$F,$M83))</f>
        <v/>
      </c>
      <c r="M83" s="32">
        <f>IF(78&gt;MAX('Form Calc'!$Y$2:$Y$601),"",IFERROR(MATCH(MAX('Form Calc'!$Y$2:$Y$601)+1-78,'Form Calc'!$Z:$Z,0),""))</f>
        <v/>
      </c>
    </row>
    <row r="84">
      <c r="A84" s="62">
        <f>IF($M84="","",INDEX('Form Calc'!$B:$B,$M84))</f>
        <v/>
      </c>
      <c r="B84" s="47">
        <f>IF($M84="","",INDEX('Form Calc'!$G:$G,$M84))</f>
        <v/>
      </c>
      <c r="C84" s="47">
        <f>IF($M84="","",INDEX('Form Calc'!$H:$H,$M84))</f>
        <v/>
      </c>
      <c r="D84" s="47">
        <f>IF($M84="","",INDEX('Form Calc'!$I:$I,$M84))</f>
        <v/>
      </c>
      <c r="E84" s="47">
        <f>IF($M84="","",INDEX('Form Calc'!$K:$K,$M84))</f>
        <v/>
      </c>
      <c r="F84" s="47">
        <f>IF($M84="","",INDEX('Form Calc'!$C:$C,$M84))</f>
        <v/>
      </c>
      <c r="G84" s="47">
        <f>IF($M84="","",IF(INDEX('Form Calc'!$R:$R,$M84)="","NEW","✓ yes"))</f>
        <v/>
      </c>
      <c r="H84" s="44">
        <f>IF($M84="","",INDEX('Form Calc'!$A:$A,$M84))</f>
        <v/>
      </c>
      <c r="I84" s="63">
        <f>IF($M84="","",INDEX('Form Calc'!$J:$J,$M84))</f>
        <v/>
      </c>
      <c r="J84" s="63">
        <f>IF($M84="","",INDEX('Form Calc'!$L:$L,$M84))</f>
        <v/>
      </c>
      <c r="K84" s="63">
        <f>IF($M84="","",INDEX('Form Calc'!$M:$M,$M84))</f>
        <v/>
      </c>
      <c r="L84" s="47">
        <f>IF($M84="","",INDEX('Form Calc'!$F:$F,$M84))</f>
        <v/>
      </c>
      <c r="M84" s="32">
        <f>IF(79&gt;MAX('Form Calc'!$Y$2:$Y$601),"",IFERROR(MATCH(MAX('Form Calc'!$Y$2:$Y$601)+1-79,'Form Calc'!$Z:$Z,0),""))</f>
        <v/>
      </c>
    </row>
    <row r="85">
      <c r="A85" s="62">
        <f>IF($M85="","",INDEX('Form Calc'!$B:$B,$M85))</f>
        <v/>
      </c>
      <c r="B85" s="47">
        <f>IF($M85="","",INDEX('Form Calc'!$G:$G,$M85))</f>
        <v/>
      </c>
      <c r="C85" s="47">
        <f>IF($M85="","",INDEX('Form Calc'!$H:$H,$M85))</f>
        <v/>
      </c>
      <c r="D85" s="47">
        <f>IF($M85="","",INDEX('Form Calc'!$I:$I,$M85))</f>
        <v/>
      </c>
      <c r="E85" s="47">
        <f>IF($M85="","",INDEX('Form Calc'!$K:$K,$M85))</f>
        <v/>
      </c>
      <c r="F85" s="47">
        <f>IF($M85="","",INDEX('Form Calc'!$C:$C,$M85))</f>
        <v/>
      </c>
      <c r="G85" s="47">
        <f>IF($M85="","",IF(INDEX('Form Calc'!$R:$R,$M85)="","NEW","✓ yes"))</f>
        <v/>
      </c>
      <c r="H85" s="44">
        <f>IF($M85="","",INDEX('Form Calc'!$A:$A,$M85))</f>
        <v/>
      </c>
      <c r="I85" s="63">
        <f>IF($M85="","",INDEX('Form Calc'!$J:$J,$M85))</f>
        <v/>
      </c>
      <c r="J85" s="63">
        <f>IF($M85="","",INDEX('Form Calc'!$L:$L,$M85))</f>
        <v/>
      </c>
      <c r="K85" s="63">
        <f>IF($M85="","",INDEX('Form Calc'!$M:$M,$M85))</f>
        <v/>
      </c>
      <c r="L85" s="47">
        <f>IF($M85="","",INDEX('Form Calc'!$F:$F,$M85))</f>
        <v/>
      </c>
      <c r="M85" s="32">
        <f>IF(80&gt;MAX('Form Calc'!$Y$2:$Y$601),"",IFERROR(MATCH(MAX('Form Calc'!$Y$2:$Y$601)+1-80,'Form Calc'!$Z:$Z,0),""))</f>
        <v/>
      </c>
    </row>
    <row r="86">
      <c r="A86" s="62">
        <f>IF($M86="","",INDEX('Form Calc'!$B:$B,$M86))</f>
        <v/>
      </c>
      <c r="B86" s="47">
        <f>IF($M86="","",INDEX('Form Calc'!$G:$G,$M86))</f>
        <v/>
      </c>
      <c r="C86" s="47">
        <f>IF($M86="","",INDEX('Form Calc'!$H:$H,$M86))</f>
        <v/>
      </c>
      <c r="D86" s="47">
        <f>IF($M86="","",INDEX('Form Calc'!$I:$I,$M86))</f>
        <v/>
      </c>
      <c r="E86" s="47">
        <f>IF($M86="","",INDEX('Form Calc'!$K:$K,$M86))</f>
        <v/>
      </c>
      <c r="F86" s="47">
        <f>IF($M86="","",INDEX('Form Calc'!$C:$C,$M86))</f>
        <v/>
      </c>
      <c r="G86" s="47">
        <f>IF($M86="","",IF(INDEX('Form Calc'!$R:$R,$M86)="","NEW","✓ yes"))</f>
        <v/>
      </c>
      <c r="H86" s="44">
        <f>IF($M86="","",INDEX('Form Calc'!$A:$A,$M86))</f>
        <v/>
      </c>
      <c r="I86" s="63">
        <f>IF($M86="","",INDEX('Form Calc'!$J:$J,$M86))</f>
        <v/>
      </c>
      <c r="J86" s="63">
        <f>IF($M86="","",INDEX('Form Calc'!$L:$L,$M86))</f>
        <v/>
      </c>
      <c r="K86" s="63">
        <f>IF($M86="","",INDEX('Form Calc'!$M:$M,$M86))</f>
        <v/>
      </c>
      <c r="L86" s="47">
        <f>IF($M86="","",INDEX('Form Calc'!$F:$F,$M86))</f>
        <v/>
      </c>
      <c r="M86" s="32">
        <f>IF(81&gt;MAX('Form Calc'!$Y$2:$Y$601),"",IFERROR(MATCH(MAX('Form Calc'!$Y$2:$Y$601)+1-81,'Form Calc'!$Z:$Z,0),""))</f>
        <v/>
      </c>
    </row>
    <row r="87">
      <c r="A87" s="62">
        <f>IF($M87="","",INDEX('Form Calc'!$B:$B,$M87))</f>
        <v/>
      </c>
      <c r="B87" s="47">
        <f>IF($M87="","",INDEX('Form Calc'!$G:$G,$M87))</f>
        <v/>
      </c>
      <c r="C87" s="47">
        <f>IF($M87="","",INDEX('Form Calc'!$H:$H,$M87))</f>
        <v/>
      </c>
      <c r="D87" s="47">
        <f>IF($M87="","",INDEX('Form Calc'!$I:$I,$M87))</f>
        <v/>
      </c>
      <c r="E87" s="47">
        <f>IF($M87="","",INDEX('Form Calc'!$K:$K,$M87))</f>
        <v/>
      </c>
      <c r="F87" s="47">
        <f>IF($M87="","",INDEX('Form Calc'!$C:$C,$M87))</f>
        <v/>
      </c>
      <c r="G87" s="47">
        <f>IF($M87="","",IF(INDEX('Form Calc'!$R:$R,$M87)="","NEW","✓ yes"))</f>
        <v/>
      </c>
      <c r="H87" s="44">
        <f>IF($M87="","",INDEX('Form Calc'!$A:$A,$M87))</f>
        <v/>
      </c>
      <c r="I87" s="63">
        <f>IF($M87="","",INDEX('Form Calc'!$J:$J,$M87))</f>
        <v/>
      </c>
      <c r="J87" s="63">
        <f>IF($M87="","",INDEX('Form Calc'!$L:$L,$M87))</f>
        <v/>
      </c>
      <c r="K87" s="63">
        <f>IF($M87="","",INDEX('Form Calc'!$M:$M,$M87))</f>
        <v/>
      </c>
      <c r="L87" s="47">
        <f>IF($M87="","",INDEX('Form Calc'!$F:$F,$M87))</f>
        <v/>
      </c>
      <c r="M87" s="32">
        <f>IF(82&gt;MAX('Form Calc'!$Y$2:$Y$601),"",IFERROR(MATCH(MAX('Form Calc'!$Y$2:$Y$601)+1-82,'Form Calc'!$Z:$Z,0),""))</f>
        <v/>
      </c>
    </row>
    <row r="88">
      <c r="A88" s="62">
        <f>IF($M88="","",INDEX('Form Calc'!$B:$B,$M88))</f>
        <v/>
      </c>
      <c r="B88" s="47">
        <f>IF($M88="","",INDEX('Form Calc'!$G:$G,$M88))</f>
        <v/>
      </c>
      <c r="C88" s="47">
        <f>IF($M88="","",INDEX('Form Calc'!$H:$H,$M88))</f>
        <v/>
      </c>
      <c r="D88" s="47">
        <f>IF($M88="","",INDEX('Form Calc'!$I:$I,$M88))</f>
        <v/>
      </c>
      <c r="E88" s="47">
        <f>IF($M88="","",INDEX('Form Calc'!$K:$K,$M88))</f>
        <v/>
      </c>
      <c r="F88" s="47">
        <f>IF($M88="","",INDEX('Form Calc'!$C:$C,$M88))</f>
        <v/>
      </c>
      <c r="G88" s="47">
        <f>IF($M88="","",IF(INDEX('Form Calc'!$R:$R,$M88)="","NEW","✓ yes"))</f>
        <v/>
      </c>
      <c r="H88" s="44">
        <f>IF($M88="","",INDEX('Form Calc'!$A:$A,$M88))</f>
        <v/>
      </c>
      <c r="I88" s="63">
        <f>IF($M88="","",INDEX('Form Calc'!$J:$J,$M88))</f>
        <v/>
      </c>
      <c r="J88" s="63">
        <f>IF($M88="","",INDEX('Form Calc'!$L:$L,$M88))</f>
        <v/>
      </c>
      <c r="K88" s="63">
        <f>IF($M88="","",INDEX('Form Calc'!$M:$M,$M88))</f>
        <v/>
      </c>
      <c r="L88" s="47">
        <f>IF($M88="","",INDEX('Form Calc'!$F:$F,$M88))</f>
        <v/>
      </c>
      <c r="M88" s="32">
        <f>IF(83&gt;MAX('Form Calc'!$Y$2:$Y$601),"",IFERROR(MATCH(MAX('Form Calc'!$Y$2:$Y$601)+1-83,'Form Calc'!$Z:$Z,0),""))</f>
        <v/>
      </c>
    </row>
    <row r="89">
      <c r="A89" s="62">
        <f>IF($M89="","",INDEX('Form Calc'!$B:$B,$M89))</f>
        <v/>
      </c>
      <c r="B89" s="47">
        <f>IF($M89="","",INDEX('Form Calc'!$G:$G,$M89))</f>
        <v/>
      </c>
      <c r="C89" s="47">
        <f>IF($M89="","",INDEX('Form Calc'!$H:$H,$M89))</f>
        <v/>
      </c>
      <c r="D89" s="47">
        <f>IF($M89="","",INDEX('Form Calc'!$I:$I,$M89))</f>
        <v/>
      </c>
      <c r="E89" s="47">
        <f>IF($M89="","",INDEX('Form Calc'!$K:$K,$M89))</f>
        <v/>
      </c>
      <c r="F89" s="47">
        <f>IF($M89="","",INDEX('Form Calc'!$C:$C,$M89))</f>
        <v/>
      </c>
      <c r="G89" s="47">
        <f>IF($M89="","",IF(INDEX('Form Calc'!$R:$R,$M89)="","NEW","✓ yes"))</f>
        <v/>
      </c>
      <c r="H89" s="44">
        <f>IF($M89="","",INDEX('Form Calc'!$A:$A,$M89))</f>
        <v/>
      </c>
      <c r="I89" s="63">
        <f>IF($M89="","",INDEX('Form Calc'!$J:$J,$M89))</f>
        <v/>
      </c>
      <c r="J89" s="63">
        <f>IF($M89="","",INDEX('Form Calc'!$L:$L,$M89))</f>
        <v/>
      </c>
      <c r="K89" s="63">
        <f>IF($M89="","",INDEX('Form Calc'!$M:$M,$M89))</f>
        <v/>
      </c>
      <c r="L89" s="47">
        <f>IF($M89="","",INDEX('Form Calc'!$F:$F,$M89))</f>
        <v/>
      </c>
      <c r="M89" s="32">
        <f>IF(84&gt;MAX('Form Calc'!$Y$2:$Y$601),"",IFERROR(MATCH(MAX('Form Calc'!$Y$2:$Y$601)+1-84,'Form Calc'!$Z:$Z,0),""))</f>
        <v/>
      </c>
    </row>
    <row r="90">
      <c r="A90" s="62">
        <f>IF($M90="","",INDEX('Form Calc'!$B:$B,$M90))</f>
        <v/>
      </c>
      <c r="B90" s="47">
        <f>IF($M90="","",INDEX('Form Calc'!$G:$G,$M90))</f>
        <v/>
      </c>
      <c r="C90" s="47">
        <f>IF($M90="","",INDEX('Form Calc'!$H:$H,$M90))</f>
        <v/>
      </c>
      <c r="D90" s="47">
        <f>IF($M90="","",INDEX('Form Calc'!$I:$I,$M90))</f>
        <v/>
      </c>
      <c r="E90" s="47">
        <f>IF($M90="","",INDEX('Form Calc'!$K:$K,$M90))</f>
        <v/>
      </c>
      <c r="F90" s="47">
        <f>IF($M90="","",INDEX('Form Calc'!$C:$C,$M90))</f>
        <v/>
      </c>
      <c r="G90" s="47">
        <f>IF($M90="","",IF(INDEX('Form Calc'!$R:$R,$M90)="","NEW","✓ yes"))</f>
        <v/>
      </c>
      <c r="H90" s="44">
        <f>IF($M90="","",INDEX('Form Calc'!$A:$A,$M90))</f>
        <v/>
      </c>
      <c r="I90" s="63">
        <f>IF($M90="","",INDEX('Form Calc'!$J:$J,$M90))</f>
        <v/>
      </c>
      <c r="J90" s="63">
        <f>IF($M90="","",INDEX('Form Calc'!$L:$L,$M90))</f>
        <v/>
      </c>
      <c r="K90" s="63">
        <f>IF($M90="","",INDEX('Form Calc'!$M:$M,$M90))</f>
        <v/>
      </c>
      <c r="L90" s="47">
        <f>IF($M90="","",INDEX('Form Calc'!$F:$F,$M90))</f>
        <v/>
      </c>
      <c r="M90" s="32">
        <f>IF(85&gt;MAX('Form Calc'!$Y$2:$Y$601),"",IFERROR(MATCH(MAX('Form Calc'!$Y$2:$Y$601)+1-85,'Form Calc'!$Z:$Z,0),""))</f>
        <v/>
      </c>
    </row>
    <row r="91">
      <c r="A91" s="62">
        <f>IF($M91="","",INDEX('Form Calc'!$B:$B,$M91))</f>
        <v/>
      </c>
      <c r="B91" s="47">
        <f>IF($M91="","",INDEX('Form Calc'!$G:$G,$M91))</f>
        <v/>
      </c>
      <c r="C91" s="47">
        <f>IF($M91="","",INDEX('Form Calc'!$H:$H,$M91))</f>
        <v/>
      </c>
      <c r="D91" s="47">
        <f>IF($M91="","",INDEX('Form Calc'!$I:$I,$M91))</f>
        <v/>
      </c>
      <c r="E91" s="47">
        <f>IF($M91="","",INDEX('Form Calc'!$K:$K,$M91))</f>
        <v/>
      </c>
      <c r="F91" s="47">
        <f>IF($M91="","",INDEX('Form Calc'!$C:$C,$M91))</f>
        <v/>
      </c>
      <c r="G91" s="47">
        <f>IF($M91="","",IF(INDEX('Form Calc'!$R:$R,$M91)="","NEW","✓ yes"))</f>
        <v/>
      </c>
      <c r="H91" s="44">
        <f>IF($M91="","",INDEX('Form Calc'!$A:$A,$M91))</f>
        <v/>
      </c>
      <c r="I91" s="63">
        <f>IF($M91="","",INDEX('Form Calc'!$J:$J,$M91))</f>
        <v/>
      </c>
      <c r="J91" s="63">
        <f>IF($M91="","",INDEX('Form Calc'!$L:$L,$M91))</f>
        <v/>
      </c>
      <c r="K91" s="63">
        <f>IF($M91="","",INDEX('Form Calc'!$M:$M,$M91))</f>
        <v/>
      </c>
      <c r="L91" s="47">
        <f>IF($M91="","",INDEX('Form Calc'!$F:$F,$M91))</f>
        <v/>
      </c>
      <c r="M91" s="32">
        <f>IF(86&gt;MAX('Form Calc'!$Y$2:$Y$601),"",IFERROR(MATCH(MAX('Form Calc'!$Y$2:$Y$601)+1-86,'Form Calc'!$Z:$Z,0),""))</f>
        <v/>
      </c>
    </row>
    <row r="92">
      <c r="A92" s="62">
        <f>IF($M92="","",INDEX('Form Calc'!$B:$B,$M92))</f>
        <v/>
      </c>
      <c r="B92" s="47">
        <f>IF($M92="","",INDEX('Form Calc'!$G:$G,$M92))</f>
        <v/>
      </c>
      <c r="C92" s="47">
        <f>IF($M92="","",INDEX('Form Calc'!$H:$H,$M92))</f>
        <v/>
      </c>
      <c r="D92" s="47">
        <f>IF($M92="","",INDEX('Form Calc'!$I:$I,$M92))</f>
        <v/>
      </c>
      <c r="E92" s="47">
        <f>IF($M92="","",INDEX('Form Calc'!$K:$K,$M92))</f>
        <v/>
      </c>
      <c r="F92" s="47">
        <f>IF($M92="","",INDEX('Form Calc'!$C:$C,$M92))</f>
        <v/>
      </c>
      <c r="G92" s="47">
        <f>IF($M92="","",IF(INDEX('Form Calc'!$R:$R,$M92)="","NEW","✓ yes"))</f>
        <v/>
      </c>
      <c r="H92" s="44">
        <f>IF($M92="","",INDEX('Form Calc'!$A:$A,$M92))</f>
        <v/>
      </c>
      <c r="I92" s="63">
        <f>IF($M92="","",INDEX('Form Calc'!$J:$J,$M92))</f>
        <v/>
      </c>
      <c r="J92" s="63">
        <f>IF($M92="","",INDEX('Form Calc'!$L:$L,$M92))</f>
        <v/>
      </c>
      <c r="K92" s="63">
        <f>IF($M92="","",INDEX('Form Calc'!$M:$M,$M92))</f>
        <v/>
      </c>
      <c r="L92" s="47">
        <f>IF($M92="","",INDEX('Form Calc'!$F:$F,$M92))</f>
        <v/>
      </c>
      <c r="M92" s="32">
        <f>IF(87&gt;MAX('Form Calc'!$Y$2:$Y$601),"",IFERROR(MATCH(MAX('Form Calc'!$Y$2:$Y$601)+1-87,'Form Calc'!$Z:$Z,0),""))</f>
        <v/>
      </c>
    </row>
    <row r="93">
      <c r="A93" s="62">
        <f>IF($M93="","",INDEX('Form Calc'!$B:$B,$M93))</f>
        <v/>
      </c>
      <c r="B93" s="47">
        <f>IF($M93="","",INDEX('Form Calc'!$G:$G,$M93))</f>
        <v/>
      </c>
      <c r="C93" s="47">
        <f>IF($M93="","",INDEX('Form Calc'!$H:$H,$M93))</f>
        <v/>
      </c>
      <c r="D93" s="47">
        <f>IF($M93="","",INDEX('Form Calc'!$I:$I,$M93))</f>
        <v/>
      </c>
      <c r="E93" s="47">
        <f>IF($M93="","",INDEX('Form Calc'!$K:$K,$M93))</f>
        <v/>
      </c>
      <c r="F93" s="47">
        <f>IF($M93="","",INDEX('Form Calc'!$C:$C,$M93))</f>
        <v/>
      </c>
      <c r="G93" s="47">
        <f>IF($M93="","",IF(INDEX('Form Calc'!$R:$R,$M93)="","NEW","✓ yes"))</f>
        <v/>
      </c>
      <c r="H93" s="44">
        <f>IF($M93="","",INDEX('Form Calc'!$A:$A,$M93))</f>
        <v/>
      </c>
      <c r="I93" s="63">
        <f>IF($M93="","",INDEX('Form Calc'!$J:$J,$M93))</f>
        <v/>
      </c>
      <c r="J93" s="63">
        <f>IF($M93="","",INDEX('Form Calc'!$L:$L,$M93))</f>
        <v/>
      </c>
      <c r="K93" s="63">
        <f>IF($M93="","",INDEX('Form Calc'!$M:$M,$M93))</f>
        <v/>
      </c>
      <c r="L93" s="47">
        <f>IF($M93="","",INDEX('Form Calc'!$F:$F,$M93))</f>
        <v/>
      </c>
      <c r="M93" s="32">
        <f>IF(88&gt;MAX('Form Calc'!$Y$2:$Y$601),"",IFERROR(MATCH(MAX('Form Calc'!$Y$2:$Y$601)+1-88,'Form Calc'!$Z:$Z,0),""))</f>
        <v/>
      </c>
    </row>
    <row r="94">
      <c r="A94" s="62">
        <f>IF($M94="","",INDEX('Form Calc'!$B:$B,$M94))</f>
        <v/>
      </c>
      <c r="B94" s="47">
        <f>IF($M94="","",INDEX('Form Calc'!$G:$G,$M94))</f>
        <v/>
      </c>
      <c r="C94" s="47">
        <f>IF($M94="","",INDEX('Form Calc'!$H:$H,$M94))</f>
        <v/>
      </c>
      <c r="D94" s="47">
        <f>IF($M94="","",INDEX('Form Calc'!$I:$I,$M94))</f>
        <v/>
      </c>
      <c r="E94" s="47">
        <f>IF($M94="","",INDEX('Form Calc'!$K:$K,$M94))</f>
        <v/>
      </c>
      <c r="F94" s="47">
        <f>IF($M94="","",INDEX('Form Calc'!$C:$C,$M94))</f>
        <v/>
      </c>
      <c r="G94" s="47">
        <f>IF($M94="","",IF(INDEX('Form Calc'!$R:$R,$M94)="","NEW","✓ yes"))</f>
        <v/>
      </c>
      <c r="H94" s="44">
        <f>IF($M94="","",INDEX('Form Calc'!$A:$A,$M94))</f>
        <v/>
      </c>
      <c r="I94" s="63">
        <f>IF($M94="","",INDEX('Form Calc'!$J:$J,$M94))</f>
        <v/>
      </c>
      <c r="J94" s="63">
        <f>IF($M94="","",INDEX('Form Calc'!$L:$L,$M94))</f>
        <v/>
      </c>
      <c r="K94" s="63">
        <f>IF($M94="","",INDEX('Form Calc'!$M:$M,$M94))</f>
        <v/>
      </c>
      <c r="L94" s="47">
        <f>IF($M94="","",INDEX('Form Calc'!$F:$F,$M94))</f>
        <v/>
      </c>
      <c r="M94" s="32">
        <f>IF(89&gt;MAX('Form Calc'!$Y$2:$Y$601),"",IFERROR(MATCH(MAX('Form Calc'!$Y$2:$Y$601)+1-89,'Form Calc'!$Z:$Z,0),""))</f>
        <v/>
      </c>
    </row>
    <row r="95">
      <c r="A95" s="62">
        <f>IF($M95="","",INDEX('Form Calc'!$B:$B,$M95))</f>
        <v/>
      </c>
      <c r="B95" s="47">
        <f>IF($M95="","",INDEX('Form Calc'!$G:$G,$M95))</f>
        <v/>
      </c>
      <c r="C95" s="47">
        <f>IF($M95="","",INDEX('Form Calc'!$H:$H,$M95))</f>
        <v/>
      </c>
      <c r="D95" s="47">
        <f>IF($M95="","",INDEX('Form Calc'!$I:$I,$M95))</f>
        <v/>
      </c>
      <c r="E95" s="47">
        <f>IF($M95="","",INDEX('Form Calc'!$K:$K,$M95))</f>
        <v/>
      </c>
      <c r="F95" s="47">
        <f>IF($M95="","",INDEX('Form Calc'!$C:$C,$M95))</f>
        <v/>
      </c>
      <c r="G95" s="47">
        <f>IF($M95="","",IF(INDEX('Form Calc'!$R:$R,$M95)="","NEW","✓ yes"))</f>
        <v/>
      </c>
      <c r="H95" s="44">
        <f>IF($M95="","",INDEX('Form Calc'!$A:$A,$M95))</f>
        <v/>
      </c>
      <c r="I95" s="63">
        <f>IF($M95="","",INDEX('Form Calc'!$J:$J,$M95))</f>
        <v/>
      </c>
      <c r="J95" s="63">
        <f>IF($M95="","",INDEX('Form Calc'!$L:$L,$M95))</f>
        <v/>
      </c>
      <c r="K95" s="63">
        <f>IF($M95="","",INDEX('Form Calc'!$M:$M,$M95))</f>
        <v/>
      </c>
      <c r="L95" s="47">
        <f>IF($M95="","",INDEX('Form Calc'!$F:$F,$M95))</f>
        <v/>
      </c>
      <c r="M95" s="32">
        <f>IF(90&gt;MAX('Form Calc'!$Y$2:$Y$601),"",IFERROR(MATCH(MAX('Form Calc'!$Y$2:$Y$601)+1-90,'Form Calc'!$Z:$Z,0),""))</f>
        <v/>
      </c>
    </row>
    <row r="96">
      <c r="A96" s="62">
        <f>IF($M96="","",INDEX('Form Calc'!$B:$B,$M96))</f>
        <v/>
      </c>
      <c r="B96" s="47">
        <f>IF($M96="","",INDEX('Form Calc'!$G:$G,$M96))</f>
        <v/>
      </c>
      <c r="C96" s="47">
        <f>IF($M96="","",INDEX('Form Calc'!$H:$H,$M96))</f>
        <v/>
      </c>
      <c r="D96" s="47">
        <f>IF($M96="","",INDEX('Form Calc'!$I:$I,$M96))</f>
        <v/>
      </c>
      <c r="E96" s="47">
        <f>IF($M96="","",INDEX('Form Calc'!$K:$K,$M96))</f>
        <v/>
      </c>
      <c r="F96" s="47">
        <f>IF($M96="","",INDEX('Form Calc'!$C:$C,$M96))</f>
        <v/>
      </c>
      <c r="G96" s="47">
        <f>IF($M96="","",IF(INDEX('Form Calc'!$R:$R,$M96)="","NEW","✓ yes"))</f>
        <v/>
      </c>
      <c r="H96" s="44">
        <f>IF($M96="","",INDEX('Form Calc'!$A:$A,$M96))</f>
        <v/>
      </c>
      <c r="I96" s="63">
        <f>IF($M96="","",INDEX('Form Calc'!$J:$J,$M96))</f>
        <v/>
      </c>
      <c r="J96" s="63">
        <f>IF($M96="","",INDEX('Form Calc'!$L:$L,$M96))</f>
        <v/>
      </c>
      <c r="K96" s="63">
        <f>IF($M96="","",INDEX('Form Calc'!$M:$M,$M96))</f>
        <v/>
      </c>
      <c r="L96" s="47">
        <f>IF($M96="","",INDEX('Form Calc'!$F:$F,$M96))</f>
        <v/>
      </c>
      <c r="M96" s="32">
        <f>IF(91&gt;MAX('Form Calc'!$Y$2:$Y$601),"",IFERROR(MATCH(MAX('Form Calc'!$Y$2:$Y$601)+1-91,'Form Calc'!$Z:$Z,0),""))</f>
        <v/>
      </c>
    </row>
    <row r="97">
      <c r="A97" s="62">
        <f>IF($M97="","",INDEX('Form Calc'!$B:$B,$M97))</f>
        <v/>
      </c>
      <c r="B97" s="47">
        <f>IF($M97="","",INDEX('Form Calc'!$G:$G,$M97))</f>
        <v/>
      </c>
      <c r="C97" s="47">
        <f>IF($M97="","",INDEX('Form Calc'!$H:$H,$M97))</f>
        <v/>
      </c>
      <c r="D97" s="47">
        <f>IF($M97="","",INDEX('Form Calc'!$I:$I,$M97))</f>
        <v/>
      </c>
      <c r="E97" s="47">
        <f>IF($M97="","",INDEX('Form Calc'!$K:$K,$M97))</f>
        <v/>
      </c>
      <c r="F97" s="47">
        <f>IF($M97="","",INDEX('Form Calc'!$C:$C,$M97))</f>
        <v/>
      </c>
      <c r="G97" s="47">
        <f>IF($M97="","",IF(INDEX('Form Calc'!$R:$R,$M97)="","NEW","✓ yes"))</f>
        <v/>
      </c>
      <c r="H97" s="44">
        <f>IF($M97="","",INDEX('Form Calc'!$A:$A,$M97))</f>
        <v/>
      </c>
      <c r="I97" s="63">
        <f>IF($M97="","",INDEX('Form Calc'!$J:$J,$M97))</f>
        <v/>
      </c>
      <c r="J97" s="63">
        <f>IF($M97="","",INDEX('Form Calc'!$L:$L,$M97))</f>
        <v/>
      </c>
      <c r="K97" s="63">
        <f>IF($M97="","",INDEX('Form Calc'!$M:$M,$M97))</f>
        <v/>
      </c>
      <c r="L97" s="47">
        <f>IF($M97="","",INDEX('Form Calc'!$F:$F,$M97))</f>
        <v/>
      </c>
      <c r="M97" s="32">
        <f>IF(92&gt;MAX('Form Calc'!$Y$2:$Y$601),"",IFERROR(MATCH(MAX('Form Calc'!$Y$2:$Y$601)+1-92,'Form Calc'!$Z:$Z,0),""))</f>
        <v/>
      </c>
    </row>
    <row r="98">
      <c r="A98" s="62">
        <f>IF($M98="","",INDEX('Form Calc'!$B:$B,$M98))</f>
        <v/>
      </c>
      <c r="B98" s="47">
        <f>IF($M98="","",INDEX('Form Calc'!$G:$G,$M98))</f>
        <v/>
      </c>
      <c r="C98" s="47">
        <f>IF($M98="","",INDEX('Form Calc'!$H:$H,$M98))</f>
        <v/>
      </c>
      <c r="D98" s="47">
        <f>IF($M98="","",INDEX('Form Calc'!$I:$I,$M98))</f>
        <v/>
      </c>
      <c r="E98" s="47">
        <f>IF($M98="","",INDEX('Form Calc'!$K:$K,$M98))</f>
        <v/>
      </c>
      <c r="F98" s="47">
        <f>IF($M98="","",INDEX('Form Calc'!$C:$C,$M98))</f>
        <v/>
      </c>
      <c r="G98" s="47">
        <f>IF($M98="","",IF(INDEX('Form Calc'!$R:$R,$M98)="","NEW","✓ yes"))</f>
        <v/>
      </c>
      <c r="H98" s="44">
        <f>IF($M98="","",INDEX('Form Calc'!$A:$A,$M98))</f>
        <v/>
      </c>
      <c r="I98" s="63">
        <f>IF($M98="","",INDEX('Form Calc'!$J:$J,$M98))</f>
        <v/>
      </c>
      <c r="J98" s="63">
        <f>IF($M98="","",INDEX('Form Calc'!$L:$L,$M98))</f>
        <v/>
      </c>
      <c r="K98" s="63">
        <f>IF($M98="","",INDEX('Form Calc'!$M:$M,$M98))</f>
        <v/>
      </c>
      <c r="L98" s="47">
        <f>IF($M98="","",INDEX('Form Calc'!$F:$F,$M98))</f>
        <v/>
      </c>
      <c r="M98" s="32">
        <f>IF(93&gt;MAX('Form Calc'!$Y$2:$Y$601),"",IFERROR(MATCH(MAX('Form Calc'!$Y$2:$Y$601)+1-93,'Form Calc'!$Z:$Z,0),""))</f>
        <v/>
      </c>
    </row>
    <row r="99">
      <c r="A99" s="62">
        <f>IF($M99="","",INDEX('Form Calc'!$B:$B,$M99))</f>
        <v/>
      </c>
      <c r="B99" s="47">
        <f>IF($M99="","",INDEX('Form Calc'!$G:$G,$M99))</f>
        <v/>
      </c>
      <c r="C99" s="47">
        <f>IF($M99="","",INDEX('Form Calc'!$H:$H,$M99))</f>
        <v/>
      </c>
      <c r="D99" s="47">
        <f>IF($M99="","",INDEX('Form Calc'!$I:$I,$M99))</f>
        <v/>
      </c>
      <c r="E99" s="47">
        <f>IF($M99="","",INDEX('Form Calc'!$K:$K,$M99))</f>
        <v/>
      </c>
      <c r="F99" s="47">
        <f>IF($M99="","",INDEX('Form Calc'!$C:$C,$M99))</f>
        <v/>
      </c>
      <c r="G99" s="47">
        <f>IF($M99="","",IF(INDEX('Form Calc'!$R:$R,$M99)="","NEW","✓ yes"))</f>
        <v/>
      </c>
      <c r="H99" s="44">
        <f>IF($M99="","",INDEX('Form Calc'!$A:$A,$M99))</f>
        <v/>
      </c>
      <c r="I99" s="63">
        <f>IF($M99="","",INDEX('Form Calc'!$J:$J,$M99))</f>
        <v/>
      </c>
      <c r="J99" s="63">
        <f>IF($M99="","",INDEX('Form Calc'!$L:$L,$M99))</f>
        <v/>
      </c>
      <c r="K99" s="63">
        <f>IF($M99="","",INDEX('Form Calc'!$M:$M,$M99))</f>
        <v/>
      </c>
      <c r="L99" s="47">
        <f>IF($M99="","",INDEX('Form Calc'!$F:$F,$M99))</f>
        <v/>
      </c>
      <c r="M99" s="32">
        <f>IF(94&gt;MAX('Form Calc'!$Y$2:$Y$601),"",IFERROR(MATCH(MAX('Form Calc'!$Y$2:$Y$601)+1-94,'Form Calc'!$Z:$Z,0),""))</f>
        <v/>
      </c>
    </row>
    <row r="100">
      <c r="A100" s="62">
        <f>IF($M100="","",INDEX('Form Calc'!$B:$B,$M100))</f>
        <v/>
      </c>
      <c r="B100" s="47">
        <f>IF($M100="","",INDEX('Form Calc'!$G:$G,$M100))</f>
        <v/>
      </c>
      <c r="C100" s="47">
        <f>IF($M100="","",INDEX('Form Calc'!$H:$H,$M100))</f>
        <v/>
      </c>
      <c r="D100" s="47">
        <f>IF($M100="","",INDEX('Form Calc'!$I:$I,$M100))</f>
        <v/>
      </c>
      <c r="E100" s="47">
        <f>IF($M100="","",INDEX('Form Calc'!$K:$K,$M100))</f>
        <v/>
      </c>
      <c r="F100" s="47">
        <f>IF($M100="","",INDEX('Form Calc'!$C:$C,$M100))</f>
        <v/>
      </c>
      <c r="G100" s="47">
        <f>IF($M100="","",IF(INDEX('Form Calc'!$R:$R,$M100)="","NEW","✓ yes"))</f>
        <v/>
      </c>
      <c r="H100" s="44">
        <f>IF($M100="","",INDEX('Form Calc'!$A:$A,$M100))</f>
        <v/>
      </c>
      <c r="I100" s="63">
        <f>IF($M100="","",INDEX('Form Calc'!$J:$J,$M100))</f>
        <v/>
      </c>
      <c r="J100" s="63">
        <f>IF($M100="","",INDEX('Form Calc'!$L:$L,$M100))</f>
        <v/>
      </c>
      <c r="K100" s="63">
        <f>IF($M100="","",INDEX('Form Calc'!$M:$M,$M100))</f>
        <v/>
      </c>
      <c r="L100" s="47">
        <f>IF($M100="","",INDEX('Form Calc'!$F:$F,$M100))</f>
        <v/>
      </c>
      <c r="M100" s="32">
        <f>IF(95&gt;MAX('Form Calc'!$Y$2:$Y$601),"",IFERROR(MATCH(MAX('Form Calc'!$Y$2:$Y$601)+1-95,'Form Calc'!$Z:$Z,0),""))</f>
        <v/>
      </c>
    </row>
    <row r="101">
      <c r="A101" s="62">
        <f>IF($M101="","",INDEX('Form Calc'!$B:$B,$M101))</f>
        <v/>
      </c>
      <c r="B101" s="47">
        <f>IF($M101="","",INDEX('Form Calc'!$G:$G,$M101))</f>
        <v/>
      </c>
      <c r="C101" s="47">
        <f>IF($M101="","",INDEX('Form Calc'!$H:$H,$M101))</f>
        <v/>
      </c>
      <c r="D101" s="47">
        <f>IF($M101="","",INDEX('Form Calc'!$I:$I,$M101))</f>
        <v/>
      </c>
      <c r="E101" s="47">
        <f>IF($M101="","",INDEX('Form Calc'!$K:$K,$M101))</f>
        <v/>
      </c>
      <c r="F101" s="47">
        <f>IF($M101="","",INDEX('Form Calc'!$C:$C,$M101))</f>
        <v/>
      </c>
      <c r="G101" s="47">
        <f>IF($M101="","",IF(INDEX('Form Calc'!$R:$R,$M101)="","NEW","✓ yes"))</f>
        <v/>
      </c>
      <c r="H101" s="44">
        <f>IF($M101="","",INDEX('Form Calc'!$A:$A,$M101))</f>
        <v/>
      </c>
      <c r="I101" s="63">
        <f>IF($M101="","",INDEX('Form Calc'!$J:$J,$M101))</f>
        <v/>
      </c>
      <c r="J101" s="63">
        <f>IF($M101="","",INDEX('Form Calc'!$L:$L,$M101))</f>
        <v/>
      </c>
      <c r="K101" s="63">
        <f>IF($M101="","",INDEX('Form Calc'!$M:$M,$M101))</f>
        <v/>
      </c>
      <c r="L101" s="47">
        <f>IF($M101="","",INDEX('Form Calc'!$F:$F,$M101))</f>
        <v/>
      </c>
      <c r="M101" s="32">
        <f>IF(96&gt;MAX('Form Calc'!$Y$2:$Y$601),"",IFERROR(MATCH(MAX('Form Calc'!$Y$2:$Y$601)+1-96,'Form Calc'!$Z:$Z,0),""))</f>
        <v/>
      </c>
    </row>
    <row r="102">
      <c r="A102" s="62">
        <f>IF($M102="","",INDEX('Form Calc'!$B:$B,$M102))</f>
        <v/>
      </c>
      <c r="B102" s="47">
        <f>IF($M102="","",INDEX('Form Calc'!$G:$G,$M102))</f>
        <v/>
      </c>
      <c r="C102" s="47">
        <f>IF($M102="","",INDEX('Form Calc'!$H:$H,$M102))</f>
        <v/>
      </c>
      <c r="D102" s="47">
        <f>IF($M102="","",INDEX('Form Calc'!$I:$I,$M102))</f>
        <v/>
      </c>
      <c r="E102" s="47">
        <f>IF($M102="","",INDEX('Form Calc'!$K:$K,$M102))</f>
        <v/>
      </c>
      <c r="F102" s="47">
        <f>IF($M102="","",INDEX('Form Calc'!$C:$C,$M102))</f>
        <v/>
      </c>
      <c r="G102" s="47">
        <f>IF($M102="","",IF(INDEX('Form Calc'!$R:$R,$M102)="","NEW","✓ yes"))</f>
        <v/>
      </c>
      <c r="H102" s="44">
        <f>IF($M102="","",INDEX('Form Calc'!$A:$A,$M102))</f>
        <v/>
      </c>
      <c r="I102" s="63">
        <f>IF($M102="","",INDEX('Form Calc'!$J:$J,$M102))</f>
        <v/>
      </c>
      <c r="J102" s="63">
        <f>IF($M102="","",INDEX('Form Calc'!$L:$L,$M102))</f>
        <v/>
      </c>
      <c r="K102" s="63">
        <f>IF($M102="","",INDEX('Form Calc'!$M:$M,$M102))</f>
        <v/>
      </c>
      <c r="L102" s="47">
        <f>IF($M102="","",INDEX('Form Calc'!$F:$F,$M102))</f>
        <v/>
      </c>
      <c r="M102" s="32">
        <f>IF(97&gt;MAX('Form Calc'!$Y$2:$Y$601),"",IFERROR(MATCH(MAX('Form Calc'!$Y$2:$Y$601)+1-97,'Form Calc'!$Z:$Z,0),""))</f>
        <v/>
      </c>
    </row>
    <row r="103">
      <c r="A103" s="62">
        <f>IF($M103="","",INDEX('Form Calc'!$B:$B,$M103))</f>
        <v/>
      </c>
      <c r="B103" s="47">
        <f>IF($M103="","",INDEX('Form Calc'!$G:$G,$M103))</f>
        <v/>
      </c>
      <c r="C103" s="47">
        <f>IF($M103="","",INDEX('Form Calc'!$H:$H,$M103))</f>
        <v/>
      </c>
      <c r="D103" s="47">
        <f>IF($M103="","",INDEX('Form Calc'!$I:$I,$M103))</f>
        <v/>
      </c>
      <c r="E103" s="47">
        <f>IF($M103="","",INDEX('Form Calc'!$K:$K,$M103))</f>
        <v/>
      </c>
      <c r="F103" s="47">
        <f>IF($M103="","",INDEX('Form Calc'!$C:$C,$M103))</f>
        <v/>
      </c>
      <c r="G103" s="47">
        <f>IF($M103="","",IF(INDEX('Form Calc'!$R:$R,$M103)="","NEW","✓ yes"))</f>
        <v/>
      </c>
      <c r="H103" s="44">
        <f>IF($M103="","",INDEX('Form Calc'!$A:$A,$M103))</f>
        <v/>
      </c>
      <c r="I103" s="63">
        <f>IF($M103="","",INDEX('Form Calc'!$J:$J,$M103))</f>
        <v/>
      </c>
      <c r="J103" s="63">
        <f>IF($M103="","",INDEX('Form Calc'!$L:$L,$M103))</f>
        <v/>
      </c>
      <c r="K103" s="63">
        <f>IF($M103="","",INDEX('Form Calc'!$M:$M,$M103))</f>
        <v/>
      </c>
      <c r="L103" s="47">
        <f>IF($M103="","",INDEX('Form Calc'!$F:$F,$M103))</f>
        <v/>
      </c>
      <c r="M103" s="32">
        <f>IF(98&gt;MAX('Form Calc'!$Y$2:$Y$601),"",IFERROR(MATCH(MAX('Form Calc'!$Y$2:$Y$601)+1-98,'Form Calc'!$Z:$Z,0),""))</f>
        <v/>
      </c>
    </row>
    <row r="104">
      <c r="A104" s="62">
        <f>IF($M104="","",INDEX('Form Calc'!$B:$B,$M104))</f>
        <v/>
      </c>
      <c r="B104" s="47">
        <f>IF($M104="","",INDEX('Form Calc'!$G:$G,$M104))</f>
        <v/>
      </c>
      <c r="C104" s="47">
        <f>IF($M104="","",INDEX('Form Calc'!$H:$H,$M104))</f>
        <v/>
      </c>
      <c r="D104" s="47">
        <f>IF($M104="","",INDEX('Form Calc'!$I:$I,$M104))</f>
        <v/>
      </c>
      <c r="E104" s="47">
        <f>IF($M104="","",INDEX('Form Calc'!$K:$K,$M104))</f>
        <v/>
      </c>
      <c r="F104" s="47">
        <f>IF($M104="","",INDEX('Form Calc'!$C:$C,$M104))</f>
        <v/>
      </c>
      <c r="G104" s="47">
        <f>IF($M104="","",IF(INDEX('Form Calc'!$R:$R,$M104)="","NEW","✓ yes"))</f>
        <v/>
      </c>
      <c r="H104" s="44">
        <f>IF($M104="","",INDEX('Form Calc'!$A:$A,$M104))</f>
        <v/>
      </c>
      <c r="I104" s="63">
        <f>IF($M104="","",INDEX('Form Calc'!$J:$J,$M104))</f>
        <v/>
      </c>
      <c r="J104" s="63">
        <f>IF($M104="","",INDEX('Form Calc'!$L:$L,$M104))</f>
        <v/>
      </c>
      <c r="K104" s="63">
        <f>IF($M104="","",INDEX('Form Calc'!$M:$M,$M104))</f>
        <v/>
      </c>
      <c r="L104" s="47">
        <f>IF($M104="","",INDEX('Form Calc'!$F:$F,$M104))</f>
        <v/>
      </c>
      <c r="M104" s="32">
        <f>IF(99&gt;MAX('Form Calc'!$Y$2:$Y$601),"",IFERROR(MATCH(MAX('Form Calc'!$Y$2:$Y$601)+1-99,'Form Calc'!$Z:$Z,0),""))</f>
        <v/>
      </c>
    </row>
    <row r="105">
      <c r="A105" s="62">
        <f>IF($M105="","",INDEX('Form Calc'!$B:$B,$M105))</f>
        <v/>
      </c>
      <c r="B105" s="47">
        <f>IF($M105="","",INDEX('Form Calc'!$G:$G,$M105))</f>
        <v/>
      </c>
      <c r="C105" s="47">
        <f>IF($M105="","",INDEX('Form Calc'!$H:$H,$M105))</f>
        <v/>
      </c>
      <c r="D105" s="47">
        <f>IF($M105="","",INDEX('Form Calc'!$I:$I,$M105))</f>
        <v/>
      </c>
      <c r="E105" s="47">
        <f>IF($M105="","",INDEX('Form Calc'!$K:$K,$M105))</f>
        <v/>
      </c>
      <c r="F105" s="47">
        <f>IF($M105="","",INDEX('Form Calc'!$C:$C,$M105))</f>
        <v/>
      </c>
      <c r="G105" s="47">
        <f>IF($M105="","",IF(INDEX('Form Calc'!$R:$R,$M105)="","NEW","✓ yes"))</f>
        <v/>
      </c>
      <c r="H105" s="44">
        <f>IF($M105="","",INDEX('Form Calc'!$A:$A,$M105))</f>
        <v/>
      </c>
      <c r="I105" s="63">
        <f>IF($M105="","",INDEX('Form Calc'!$J:$J,$M105))</f>
        <v/>
      </c>
      <c r="J105" s="63">
        <f>IF($M105="","",INDEX('Form Calc'!$L:$L,$M105))</f>
        <v/>
      </c>
      <c r="K105" s="63">
        <f>IF($M105="","",INDEX('Form Calc'!$M:$M,$M105))</f>
        <v/>
      </c>
      <c r="L105" s="47">
        <f>IF($M105="","",INDEX('Form Calc'!$F:$F,$M105))</f>
        <v/>
      </c>
      <c r="M105" s="32">
        <f>IF(100&gt;MAX('Form Calc'!$Y$2:$Y$601),"",IFERROR(MATCH(MAX('Form Calc'!$Y$2:$Y$601)+1-100,'Form Calc'!$Z:$Z,0),""))</f>
        <v/>
      </c>
    </row>
    <row r="106">
      <c r="A106" s="62">
        <f>IF($M106="","",INDEX('Form Calc'!$B:$B,$M106))</f>
        <v/>
      </c>
      <c r="B106" s="47">
        <f>IF($M106="","",INDEX('Form Calc'!$G:$G,$M106))</f>
        <v/>
      </c>
      <c r="C106" s="47">
        <f>IF($M106="","",INDEX('Form Calc'!$H:$H,$M106))</f>
        <v/>
      </c>
      <c r="D106" s="47">
        <f>IF($M106="","",INDEX('Form Calc'!$I:$I,$M106))</f>
        <v/>
      </c>
      <c r="E106" s="47">
        <f>IF($M106="","",INDEX('Form Calc'!$K:$K,$M106))</f>
        <v/>
      </c>
      <c r="F106" s="47">
        <f>IF($M106="","",INDEX('Form Calc'!$C:$C,$M106))</f>
        <v/>
      </c>
      <c r="G106" s="47">
        <f>IF($M106="","",IF(INDEX('Form Calc'!$R:$R,$M106)="","NEW","✓ yes"))</f>
        <v/>
      </c>
      <c r="H106" s="44">
        <f>IF($M106="","",INDEX('Form Calc'!$A:$A,$M106))</f>
        <v/>
      </c>
      <c r="I106" s="63">
        <f>IF($M106="","",INDEX('Form Calc'!$J:$J,$M106))</f>
        <v/>
      </c>
      <c r="J106" s="63">
        <f>IF($M106="","",INDEX('Form Calc'!$L:$L,$M106))</f>
        <v/>
      </c>
      <c r="K106" s="63">
        <f>IF($M106="","",INDEX('Form Calc'!$M:$M,$M106))</f>
        <v/>
      </c>
      <c r="L106" s="47">
        <f>IF($M106="","",INDEX('Form Calc'!$F:$F,$M106))</f>
        <v/>
      </c>
      <c r="M106" s="32">
        <f>IF(101&gt;MAX('Form Calc'!$Y$2:$Y$601),"",IFERROR(MATCH(MAX('Form Calc'!$Y$2:$Y$601)+1-101,'Form Calc'!$Z:$Z,0),""))</f>
        <v/>
      </c>
    </row>
    <row r="107">
      <c r="A107" s="62">
        <f>IF($M107="","",INDEX('Form Calc'!$B:$B,$M107))</f>
        <v/>
      </c>
      <c r="B107" s="47">
        <f>IF($M107="","",INDEX('Form Calc'!$G:$G,$M107))</f>
        <v/>
      </c>
      <c r="C107" s="47">
        <f>IF($M107="","",INDEX('Form Calc'!$H:$H,$M107))</f>
        <v/>
      </c>
      <c r="D107" s="47">
        <f>IF($M107="","",INDEX('Form Calc'!$I:$I,$M107))</f>
        <v/>
      </c>
      <c r="E107" s="47">
        <f>IF($M107="","",INDEX('Form Calc'!$K:$K,$M107))</f>
        <v/>
      </c>
      <c r="F107" s="47">
        <f>IF($M107="","",INDEX('Form Calc'!$C:$C,$M107))</f>
        <v/>
      </c>
      <c r="G107" s="47">
        <f>IF($M107="","",IF(INDEX('Form Calc'!$R:$R,$M107)="","NEW","✓ yes"))</f>
        <v/>
      </c>
      <c r="H107" s="44">
        <f>IF($M107="","",INDEX('Form Calc'!$A:$A,$M107))</f>
        <v/>
      </c>
      <c r="I107" s="63">
        <f>IF($M107="","",INDEX('Form Calc'!$J:$J,$M107))</f>
        <v/>
      </c>
      <c r="J107" s="63">
        <f>IF($M107="","",INDEX('Form Calc'!$L:$L,$M107))</f>
        <v/>
      </c>
      <c r="K107" s="63">
        <f>IF($M107="","",INDEX('Form Calc'!$M:$M,$M107))</f>
        <v/>
      </c>
      <c r="L107" s="47">
        <f>IF($M107="","",INDEX('Form Calc'!$F:$F,$M107))</f>
        <v/>
      </c>
      <c r="M107" s="32">
        <f>IF(102&gt;MAX('Form Calc'!$Y$2:$Y$601),"",IFERROR(MATCH(MAX('Form Calc'!$Y$2:$Y$601)+1-102,'Form Calc'!$Z:$Z,0),""))</f>
        <v/>
      </c>
    </row>
    <row r="108">
      <c r="A108" s="62">
        <f>IF($M108="","",INDEX('Form Calc'!$B:$B,$M108))</f>
        <v/>
      </c>
      <c r="B108" s="47">
        <f>IF($M108="","",INDEX('Form Calc'!$G:$G,$M108))</f>
        <v/>
      </c>
      <c r="C108" s="47">
        <f>IF($M108="","",INDEX('Form Calc'!$H:$H,$M108))</f>
        <v/>
      </c>
      <c r="D108" s="47">
        <f>IF($M108="","",INDEX('Form Calc'!$I:$I,$M108))</f>
        <v/>
      </c>
      <c r="E108" s="47">
        <f>IF($M108="","",INDEX('Form Calc'!$K:$K,$M108))</f>
        <v/>
      </c>
      <c r="F108" s="47">
        <f>IF($M108="","",INDEX('Form Calc'!$C:$C,$M108))</f>
        <v/>
      </c>
      <c r="G108" s="47">
        <f>IF($M108="","",IF(INDEX('Form Calc'!$R:$R,$M108)="","NEW","✓ yes"))</f>
        <v/>
      </c>
      <c r="H108" s="44">
        <f>IF($M108="","",INDEX('Form Calc'!$A:$A,$M108))</f>
        <v/>
      </c>
      <c r="I108" s="63">
        <f>IF($M108="","",INDEX('Form Calc'!$J:$J,$M108))</f>
        <v/>
      </c>
      <c r="J108" s="63">
        <f>IF($M108="","",INDEX('Form Calc'!$L:$L,$M108))</f>
        <v/>
      </c>
      <c r="K108" s="63">
        <f>IF($M108="","",INDEX('Form Calc'!$M:$M,$M108))</f>
        <v/>
      </c>
      <c r="L108" s="47">
        <f>IF($M108="","",INDEX('Form Calc'!$F:$F,$M108))</f>
        <v/>
      </c>
      <c r="M108" s="32">
        <f>IF(103&gt;MAX('Form Calc'!$Y$2:$Y$601),"",IFERROR(MATCH(MAX('Form Calc'!$Y$2:$Y$601)+1-103,'Form Calc'!$Z:$Z,0),""))</f>
        <v/>
      </c>
    </row>
    <row r="109">
      <c r="A109" s="62">
        <f>IF($M109="","",INDEX('Form Calc'!$B:$B,$M109))</f>
        <v/>
      </c>
      <c r="B109" s="47">
        <f>IF($M109="","",INDEX('Form Calc'!$G:$G,$M109))</f>
        <v/>
      </c>
      <c r="C109" s="47">
        <f>IF($M109="","",INDEX('Form Calc'!$H:$H,$M109))</f>
        <v/>
      </c>
      <c r="D109" s="47">
        <f>IF($M109="","",INDEX('Form Calc'!$I:$I,$M109))</f>
        <v/>
      </c>
      <c r="E109" s="47">
        <f>IF($M109="","",INDEX('Form Calc'!$K:$K,$M109))</f>
        <v/>
      </c>
      <c r="F109" s="47">
        <f>IF($M109="","",INDEX('Form Calc'!$C:$C,$M109))</f>
        <v/>
      </c>
      <c r="G109" s="47">
        <f>IF($M109="","",IF(INDEX('Form Calc'!$R:$R,$M109)="","NEW","✓ yes"))</f>
        <v/>
      </c>
      <c r="H109" s="44">
        <f>IF($M109="","",INDEX('Form Calc'!$A:$A,$M109))</f>
        <v/>
      </c>
      <c r="I109" s="63">
        <f>IF($M109="","",INDEX('Form Calc'!$J:$J,$M109))</f>
        <v/>
      </c>
      <c r="J109" s="63">
        <f>IF($M109="","",INDEX('Form Calc'!$L:$L,$M109))</f>
        <v/>
      </c>
      <c r="K109" s="63">
        <f>IF($M109="","",INDEX('Form Calc'!$M:$M,$M109))</f>
        <v/>
      </c>
      <c r="L109" s="47">
        <f>IF($M109="","",INDEX('Form Calc'!$F:$F,$M109))</f>
        <v/>
      </c>
      <c r="M109" s="32">
        <f>IF(104&gt;MAX('Form Calc'!$Y$2:$Y$601),"",IFERROR(MATCH(MAX('Form Calc'!$Y$2:$Y$601)+1-104,'Form Calc'!$Z:$Z,0),""))</f>
        <v/>
      </c>
    </row>
    <row r="110">
      <c r="A110" s="62">
        <f>IF($M110="","",INDEX('Form Calc'!$B:$B,$M110))</f>
        <v/>
      </c>
      <c r="B110" s="47">
        <f>IF($M110="","",INDEX('Form Calc'!$G:$G,$M110))</f>
        <v/>
      </c>
      <c r="C110" s="47">
        <f>IF($M110="","",INDEX('Form Calc'!$H:$H,$M110))</f>
        <v/>
      </c>
      <c r="D110" s="47">
        <f>IF($M110="","",INDEX('Form Calc'!$I:$I,$M110))</f>
        <v/>
      </c>
      <c r="E110" s="47">
        <f>IF($M110="","",INDEX('Form Calc'!$K:$K,$M110))</f>
        <v/>
      </c>
      <c r="F110" s="47">
        <f>IF($M110="","",INDEX('Form Calc'!$C:$C,$M110))</f>
        <v/>
      </c>
      <c r="G110" s="47">
        <f>IF($M110="","",IF(INDEX('Form Calc'!$R:$R,$M110)="","NEW","✓ yes"))</f>
        <v/>
      </c>
      <c r="H110" s="44">
        <f>IF($M110="","",INDEX('Form Calc'!$A:$A,$M110))</f>
        <v/>
      </c>
      <c r="I110" s="63">
        <f>IF($M110="","",INDEX('Form Calc'!$J:$J,$M110))</f>
        <v/>
      </c>
      <c r="J110" s="63">
        <f>IF($M110="","",INDEX('Form Calc'!$L:$L,$M110))</f>
        <v/>
      </c>
      <c r="K110" s="63">
        <f>IF($M110="","",INDEX('Form Calc'!$M:$M,$M110))</f>
        <v/>
      </c>
      <c r="L110" s="47">
        <f>IF($M110="","",INDEX('Form Calc'!$F:$F,$M110))</f>
        <v/>
      </c>
      <c r="M110" s="32">
        <f>IF(105&gt;MAX('Form Calc'!$Y$2:$Y$601),"",IFERROR(MATCH(MAX('Form Calc'!$Y$2:$Y$601)+1-105,'Form Calc'!$Z:$Z,0),""))</f>
        <v/>
      </c>
    </row>
    <row r="111">
      <c r="A111" s="62">
        <f>IF($M111="","",INDEX('Form Calc'!$B:$B,$M111))</f>
        <v/>
      </c>
      <c r="B111" s="47">
        <f>IF($M111="","",INDEX('Form Calc'!$G:$G,$M111))</f>
        <v/>
      </c>
      <c r="C111" s="47">
        <f>IF($M111="","",INDEX('Form Calc'!$H:$H,$M111))</f>
        <v/>
      </c>
      <c r="D111" s="47">
        <f>IF($M111="","",INDEX('Form Calc'!$I:$I,$M111))</f>
        <v/>
      </c>
      <c r="E111" s="47">
        <f>IF($M111="","",INDEX('Form Calc'!$K:$K,$M111))</f>
        <v/>
      </c>
      <c r="F111" s="47">
        <f>IF($M111="","",INDEX('Form Calc'!$C:$C,$M111))</f>
        <v/>
      </c>
      <c r="G111" s="47">
        <f>IF($M111="","",IF(INDEX('Form Calc'!$R:$R,$M111)="","NEW","✓ yes"))</f>
        <v/>
      </c>
      <c r="H111" s="44">
        <f>IF($M111="","",INDEX('Form Calc'!$A:$A,$M111))</f>
        <v/>
      </c>
      <c r="I111" s="63">
        <f>IF($M111="","",INDEX('Form Calc'!$J:$J,$M111))</f>
        <v/>
      </c>
      <c r="J111" s="63">
        <f>IF($M111="","",INDEX('Form Calc'!$L:$L,$M111))</f>
        <v/>
      </c>
      <c r="K111" s="63">
        <f>IF($M111="","",INDEX('Form Calc'!$M:$M,$M111))</f>
        <v/>
      </c>
      <c r="L111" s="47">
        <f>IF($M111="","",INDEX('Form Calc'!$F:$F,$M111))</f>
        <v/>
      </c>
      <c r="M111" s="32">
        <f>IF(106&gt;MAX('Form Calc'!$Y$2:$Y$601),"",IFERROR(MATCH(MAX('Form Calc'!$Y$2:$Y$601)+1-106,'Form Calc'!$Z:$Z,0),""))</f>
        <v/>
      </c>
    </row>
    <row r="112">
      <c r="A112" s="62">
        <f>IF($M112="","",INDEX('Form Calc'!$B:$B,$M112))</f>
        <v/>
      </c>
      <c r="B112" s="47">
        <f>IF($M112="","",INDEX('Form Calc'!$G:$G,$M112))</f>
        <v/>
      </c>
      <c r="C112" s="47">
        <f>IF($M112="","",INDEX('Form Calc'!$H:$H,$M112))</f>
        <v/>
      </c>
      <c r="D112" s="47">
        <f>IF($M112="","",INDEX('Form Calc'!$I:$I,$M112))</f>
        <v/>
      </c>
      <c r="E112" s="47">
        <f>IF($M112="","",INDEX('Form Calc'!$K:$K,$M112))</f>
        <v/>
      </c>
      <c r="F112" s="47">
        <f>IF($M112="","",INDEX('Form Calc'!$C:$C,$M112))</f>
        <v/>
      </c>
      <c r="G112" s="47">
        <f>IF($M112="","",IF(INDEX('Form Calc'!$R:$R,$M112)="","NEW","✓ yes"))</f>
        <v/>
      </c>
      <c r="H112" s="44">
        <f>IF($M112="","",INDEX('Form Calc'!$A:$A,$M112))</f>
        <v/>
      </c>
      <c r="I112" s="63">
        <f>IF($M112="","",INDEX('Form Calc'!$J:$J,$M112))</f>
        <v/>
      </c>
      <c r="J112" s="63">
        <f>IF($M112="","",INDEX('Form Calc'!$L:$L,$M112))</f>
        <v/>
      </c>
      <c r="K112" s="63">
        <f>IF($M112="","",INDEX('Form Calc'!$M:$M,$M112))</f>
        <v/>
      </c>
      <c r="L112" s="47">
        <f>IF($M112="","",INDEX('Form Calc'!$F:$F,$M112))</f>
        <v/>
      </c>
      <c r="M112" s="32">
        <f>IF(107&gt;MAX('Form Calc'!$Y$2:$Y$601),"",IFERROR(MATCH(MAX('Form Calc'!$Y$2:$Y$601)+1-107,'Form Calc'!$Z:$Z,0),""))</f>
        <v/>
      </c>
    </row>
    <row r="113">
      <c r="A113" s="62">
        <f>IF($M113="","",INDEX('Form Calc'!$B:$B,$M113))</f>
        <v/>
      </c>
      <c r="B113" s="47">
        <f>IF($M113="","",INDEX('Form Calc'!$G:$G,$M113))</f>
        <v/>
      </c>
      <c r="C113" s="47">
        <f>IF($M113="","",INDEX('Form Calc'!$H:$H,$M113))</f>
        <v/>
      </c>
      <c r="D113" s="47">
        <f>IF($M113="","",INDEX('Form Calc'!$I:$I,$M113))</f>
        <v/>
      </c>
      <c r="E113" s="47">
        <f>IF($M113="","",INDEX('Form Calc'!$K:$K,$M113))</f>
        <v/>
      </c>
      <c r="F113" s="47">
        <f>IF($M113="","",INDEX('Form Calc'!$C:$C,$M113))</f>
        <v/>
      </c>
      <c r="G113" s="47">
        <f>IF($M113="","",IF(INDEX('Form Calc'!$R:$R,$M113)="","NEW","✓ yes"))</f>
        <v/>
      </c>
      <c r="H113" s="44">
        <f>IF($M113="","",INDEX('Form Calc'!$A:$A,$M113))</f>
        <v/>
      </c>
      <c r="I113" s="63">
        <f>IF($M113="","",INDEX('Form Calc'!$J:$J,$M113))</f>
        <v/>
      </c>
      <c r="J113" s="63">
        <f>IF($M113="","",INDEX('Form Calc'!$L:$L,$M113))</f>
        <v/>
      </c>
      <c r="K113" s="63">
        <f>IF($M113="","",INDEX('Form Calc'!$M:$M,$M113))</f>
        <v/>
      </c>
      <c r="L113" s="47">
        <f>IF($M113="","",INDEX('Form Calc'!$F:$F,$M113))</f>
        <v/>
      </c>
      <c r="M113" s="32">
        <f>IF(108&gt;MAX('Form Calc'!$Y$2:$Y$601),"",IFERROR(MATCH(MAX('Form Calc'!$Y$2:$Y$601)+1-108,'Form Calc'!$Z:$Z,0),""))</f>
        <v/>
      </c>
    </row>
    <row r="114">
      <c r="A114" s="62">
        <f>IF($M114="","",INDEX('Form Calc'!$B:$B,$M114))</f>
        <v/>
      </c>
      <c r="B114" s="47">
        <f>IF($M114="","",INDEX('Form Calc'!$G:$G,$M114))</f>
        <v/>
      </c>
      <c r="C114" s="47">
        <f>IF($M114="","",INDEX('Form Calc'!$H:$H,$M114))</f>
        <v/>
      </c>
      <c r="D114" s="47">
        <f>IF($M114="","",INDEX('Form Calc'!$I:$I,$M114))</f>
        <v/>
      </c>
      <c r="E114" s="47">
        <f>IF($M114="","",INDEX('Form Calc'!$K:$K,$M114))</f>
        <v/>
      </c>
      <c r="F114" s="47">
        <f>IF($M114="","",INDEX('Form Calc'!$C:$C,$M114))</f>
        <v/>
      </c>
      <c r="G114" s="47">
        <f>IF($M114="","",IF(INDEX('Form Calc'!$R:$R,$M114)="","NEW","✓ yes"))</f>
        <v/>
      </c>
      <c r="H114" s="44">
        <f>IF($M114="","",INDEX('Form Calc'!$A:$A,$M114))</f>
        <v/>
      </c>
      <c r="I114" s="63">
        <f>IF($M114="","",INDEX('Form Calc'!$J:$J,$M114))</f>
        <v/>
      </c>
      <c r="J114" s="63">
        <f>IF($M114="","",INDEX('Form Calc'!$L:$L,$M114))</f>
        <v/>
      </c>
      <c r="K114" s="63">
        <f>IF($M114="","",INDEX('Form Calc'!$M:$M,$M114))</f>
        <v/>
      </c>
      <c r="L114" s="47">
        <f>IF($M114="","",INDEX('Form Calc'!$F:$F,$M114))</f>
        <v/>
      </c>
      <c r="M114" s="32">
        <f>IF(109&gt;MAX('Form Calc'!$Y$2:$Y$601),"",IFERROR(MATCH(MAX('Form Calc'!$Y$2:$Y$601)+1-109,'Form Calc'!$Z:$Z,0),""))</f>
        <v/>
      </c>
    </row>
    <row r="115">
      <c r="A115" s="62">
        <f>IF($M115="","",INDEX('Form Calc'!$B:$B,$M115))</f>
        <v/>
      </c>
      <c r="B115" s="47">
        <f>IF($M115="","",INDEX('Form Calc'!$G:$G,$M115))</f>
        <v/>
      </c>
      <c r="C115" s="47">
        <f>IF($M115="","",INDEX('Form Calc'!$H:$H,$M115))</f>
        <v/>
      </c>
      <c r="D115" s="47">
        <f>IF($M115="","",INDEX('Form Calc'!$I:$I,$M115))</f>
        <v/>
      </c>
      <c r="E115" s="47">
        <f>IF($M115="","",INDEX('Form Calc'!$K:$K,$M115))</f>
        <v/>
      </c>
      <c r="F115" s="47">
        <f>IF($M115="","",INDEX('Form Calc'!$C:$C,$M115))</f>
        <v/>
      </c>
      <c r="G115" s="47">
        <f>IF($M115="","",IF(INDEX('Form Calc'!$R:$R,$M115)="","NEW","✓ yes"))</f>
        <v/>
      </c>
      <c r="H115" s="44">
        <f>IF($M115="","",INDEX('Form Calc'!$A:$A,$M115))</f>
        <v/>
      </c>
      <c r="I115" s="63">
        <f>IF($M115="","",INDEX('Form Calc'!$J:$J,$M115))</f>
        <v/>
      </c>
      <c r="J115" s="63">
        <f>IF($M115="","",INDEX('Form Calc'!$L:$L,$M115))</f>
        <v/>
      </c>
      <c r="K115" s="63">
        <f>IF($M115="","",INDEX('Form Calc'!$M:$M,$M115))</f>
        <v/>
      </c>
      <c r="L115" s="47">
        <f>IF($M115="","",INDEX('Form Calc'!$F:$F,$M115))</f>
        <v/>
      </c>
      <c r="M115" s="32">
        <f>IF(110&gt;MAX('Form Calc'!$Y$2:$Y$601),"",IFERROR(MATCH(MAX('Form Calc'!$Y$2:$Y$601)+1-110,'Form Calc'!$Z:$Z,0),""))</f>
        <v/>
      </c>
    </row>
    <row r="116">
      <c r="A116" s="62">
        <f>IF($M116="","",INDEX('Form Calc'!$B:$B,$M116))</f>
        <v/>
      </c>
      <c r="B116" s="47">
        <f>IF($M116="","",INDEX('Form Calc'!$G:$G,$M116))</f>
        <v/>
      </c>
      <c r="C116" s="47">
        <f>IF($M116="","",INDEX('Form Calc'!$H:$H,$M116))</f>
        <v/>
      </c>
      <c r="D116" s="47">
        <f>IF($M116="","",INDEX('Form Calc'!$I:$I,$M116))</f>
        <v/>
      </c>
      <c r="E116" s="47">
        <f>IF($M116="","",INDEX('Form Calc'!$K:$K,$M116))</f>
        <v/>
      </c>
      <c r="F116" s="47">
        <f>IF($M116="","",INDEX('Form Calc'!$C:$C,$M116))</f>
        <v/>
      </c>
      <c r="G116" s="47">
        <f>IF($M116="","",IF(INDEX('Form Calc'!$R:$R,$M116)="","NEW","✓ yes"))</f>
        <v/>
      </c>
      <c r="H116" s="44">
        <f>IF($M116="","",INDEX('Form Calc'!$A:$A,$M116))</f>
        <v/>
      </c>
      <c r="I116" s="63">
        <f>IF($M116="","",INDEX('Form Calc'!$J:$J,$M116))</f>
        <v/>
      </c>
      <c r="J116" s="63">
        <f>IF($M116="","",INDEX('Form Calc'!$L:$L,$M116))</f>
        <v/>
      </c>
      <c r="K116" s="63">
        <f>IF($M116="","",INDEX('Form Calc'!$M:$M,$M116))</f>
        <v/>
      </c>
      <c r="L116" s="47">
        <f>IF($M116="","",INDEX('Form Calc'!$F:$F,$M116))</f>
        <v/>
      </c>
      <c r="M116" s="32">
        <f>IF(111&gt;MAX('Form Calc'!$Y$2:$Y$601),"",IFERROR(MATCH(MAX('Form Calc'!$Y$2:$Y$601)+1-111,'Form Calc'!$Z:$Z,0),""))</f>
        <v/>
      </c>
    </row>
    <row r="117">
      <c r="A117" s="62">
        <f>IF($M117="","",INDEX('Form Calc'!$B:$B,$M117))</f>
        <v/>
      </c>
      <c r="B117" s="47">
        <f>IF($M117="","",INDEX('Form Calc'!$G:$G,$M117))</f>
        <v/>
      </c>
      <c r="C117" s="47">
        <f>IF($M117="","",INDEX('Form Calc'!$H:$H,$M117))</f>
        <v/>
      </c>
      <c r="D117" s="47">
        <f>IF($M117="","",INDEX('Form Calc'!$I:$I,$M117))</f>
        <v/>
      </c>
      <c r="E117" s="47">
        <f>IF($M117="","",INDEX('Form Calc'!$K:$K,$M117))</f>
        <v/>
      </c>
      <c r="F117" s="47">
        <f>IF($M117="","",INDEX('Form Calc'!$C:$C,$M117))</f>
        <v/>
      </c>
      <c r="G117" s="47">
        <f>IF($M117="","",IF(INDEX('Form Calc'!$R:$R,$M117)="","NEW","✓ yes"))</f>
        <v/>
      </c>
      <c r="H117" s="44">
        <f>IF($M117="","",INDEX('Form Calc'!$A:$A,$M117))</f>
        <v/>
      </c>
      <c r="I117" s="63">
        <f>IF($M117="","",INDEX('Form Calc'!$J:$J,$M117))</f>
        <v/>
      </c>
      <c r="J117" s="63">
        <f>IF($M117="","",INDEX('Form Calc'!$L:$L,$M117))</f>
        <v/>
      </c>
      <c r="K117" s="63">
        <f>IF($M117="","",INDEX('Form Calc'!$M:$M,$M117))</f>
        <v/>
      </c>
      <c r="L117" s="47">
        <f>IF($M117="","",INDEX('Form Calc'!$F:$F,$M117))</f>
        <v/>
      </c>
      <c r="M117" s="32">
        <f>IF(112&gt;MAX('Form Calc'!$Y$2:$Y$601),"",IFERROR(MATCH(MAX('Form Calc'!$Y$2:$Y$601)+1-112,'Form Calc'!$Z:$Z,0),""))</f>
        <v/>
      </c>
    </row>
    <row r="118">
      <c r="A118" s="62">
        <f>IF($M118="","",INDEX('Form Calc'!$B:$B,$M118))</f>
        <v/>
      </c>
      <c r="B118" s="47">
        <f>IF($M118="","",INDEX('Form Calc'!$G:$G,$M118))</f>
        <v/>
      </c>
      <c r="C118" s="47">
        <f>IF($M118="","",INDEX('Form Calc'!$H:$H,$M118))</f>
        <v/>
      </c>
      <c r="D118" s="47">
        <f>IF($M118="","",INDEX('Form Calc'!$I:$I,$M118))</f>
        <v/>
      </c>
      <c r="E118" s="47">
        <f>IF($M118="","",INDEX('Form Calc'!$K:$K,$M118))</f>
        <v/>
      </c>
      <c r="F118" s="47">
        <f>IF($M118="","",INDEX('Form Calc'!$C:$C,$M118))</f>
        <v/>
      </c>
      <c r="G118" s="47">
        <f>IF($M118="","",IF(INDEX('Form Calc'!$R:$R,$M118)="","NEW","✓ yes"))</f>
        <v/>
      </c>
      <c r="H118" s="44">
        <f>IF($M118="","",INDEX('Form Calc'!$A:$A,$M118))</f>
        <v/>
      </c>
      <c r="I118" s="63">
        <f>IF($M118="","",INDEX('Form Calc'!$J:$J,$M118))</f>
        <v/>
      </c>
      <c r="J118" s="63">
        <f>IF($M118="","",INDEX('Form Calc'!$L:$L,$M118))</f>
        <v/>
      </c>
      <c r="K118" s="63">
        <f>IF($M118="","",INDEX('Form Calc'!$M:$M,$M118))</f>
        <v/>
      </c>
      <c r="L118" s="47">
        <f>IF($M118="","",INDEX('Form Calc'!$F:$F,$M118))</f>
        <v/>
      </c>
      <c r="M118" s="32">
        <f>IF(113&gt;MAX('Form Calc'!$Y$2:$Y$601),"",IFERROR(MATCH(MAX('Form Calc'!$Y$2:$Y$601)+1-113,'Form Calc'!$Z:$Z,0),""))</f>
        <v/>
      </c>
    </row>
    <row r="119">
      <c r="A119" s="62">
        <f>IF($M119="","",INDEX('Form Calc'!$B:$B,$M119))</f>
        <v/>
      </c>
      <c r="B119" s="47">
        <f>IF($M119="","",INDEX('Form Calc'!$G:$G,$M119))</f>
        <v/>
      </c>
      <c r="C119" s="47">
        <f>IF($M119="","",INDEX('Form Calc'!$H:$H,$M119))</f>
        <v/>
      </c>
      <c r="D119" s="47">
        <f>IF($M119="","",INDEX('Form Calc'!$I:$I,$M119))</f>
        <v/>
      </c>
      <c r="E119" s="47">
        <f>IF($M119="","",INDEX('Form Calc'!$K:$K,$M119))</f>
        <v/>
      </c>
      <c r="F119" s="47">
        <f>IF($M119="","",INDEX('Form Calc'!$C:$C,$M119))</f>
        <v/>
      </c>
      <c r="G119" s="47">
        <f>IF($M119="","",IF(INDEX('Form Calc'!$R:$R,$M119)="","NEW","✓ yes"))</f>
        <v/>
      </c>
      <c r="H119" s="44">
        <f>IF($M119="","",INDEX('Form Calc'!$A:$A,$M119))</f>
        <v/>
      </c>
      <c r="I119" s="63">
        <f>IF($M119="","",INDEX('Form Calc'!$J:$J,$M119))</f>
        <v/>
      </c>
      <c r="J119" s="63">
        <f>IF($M119="","",INDEX('Form Calc'!$L:$L,$M119))</f>
        <v/>
      </c>
      <c r="K119" s="63">
        <f>IF($M119="","",INDEX('Form Calc'!$M:$M,$M119))</f>
        <v/>
      </c>
      <c r="L119" s="47">
        <f>IF($M119="","",INDEX('Form Calc'!$F:$F,$M119))</f>
        <v/>
      </c>
      <c r="M119" s="32">
        <f>IF(114&gt;MAX('Form Calc'!$Y$2:$Y$601),"",IFERROR(MATCH(MAX('Form Calc'!$Y$2:$Y$601)+1-114,'Form Calc'!$Z:$Z,0),""))</f>
        <v/>
      </c>
    </row>
    <row r="120">
      <c r="A120" s="62">
        <f>IF($M120="","",INDEX('Form Calc'!$B:$B,$M120))</f>
        <v/>
      </c>
      <c r="B120" s="47">
        <f>IF($M120="","",INDEX('Form Calc'!$G:$G,$M120))</f>
        <v/>
      </c>
      <c r="C120" s="47">
        <f>IF($M120="","",INDEX('Form Calc'!$H:$H,$M120))</f>
        <v/>
      </c>
      <c r="D120" s="47">
        <f>IF($M120="","",INDEX('Form Calc'!$I:$I,$M120))</f>
        <v/>
      </c>
      <c r="E120" s="47">
        <f>IF($M120="","",INDEX('Form Calc'!$K:$K,$M120))</f>
        <v/>
      </c>
      <c r="F120" s="47">
        <f>IF($M120="","",INDEX('Form Calc'!$C:$C,$M120))</f>
        <v/>
      </c>
      <c r="G120" s="47">
        <f>IF($M120="","",IF(INDEX('Form Calc'!$R:$R,$M120)="","NEW","✓ yes"))</f>
        <v/>
      </c>
      <c r="H120" s="44">
        <f>IF($M120="","",INDEX('Form Calc'!$A:$A,$M120))</f>
        <v/>
      </c>
      <c r="I120" s="63">
        <f>IF($M120="","",INDEX('Form Calc'!$J:$J,$M120))</f>
        <v/>
      </c>
      <c r="J120" s="63">
        <f>IF($M120="","",INDEX('Form Calc'!$L:$L,$M120))</f>
        <v/>
      </c>
      <c r="K120" s="63">
        <f>IF($M120="","",INDEX('Form Calc'!$M:$M,$M120))</f>
        <v/>
      </c>
      <c r="L120" s="47">
        <f>IF($M120="","",INDEX('Form Calc'!$F:$F,$M120))</f>
        <v/>
      </c>
      <c r="M120" s="32">
        <f>IF(115&gt;MAX('Form Calc'!$Y$2:$Y$601),"",IFERROR(MATCH(MAX('Form Calc'!$Y$2:$Y$601)+1-115,'Form Calc'!$Z:$Z,0),""))</f>
        <v/>
      </c>
    </row>
    <row r="121">
      <c r="A121" s="62">
        <f>IF($M121="","",INDEX('Form Calc'!$B:$B,$M121))</f>
        <v/>
      </c>
      <c r="B121" s="47">
        <f>IF($M121="","",INDEX('Form Calc'!$G:$G,$M121))</f>
        <v/>
      </c>
      <c r="C121" s="47">
        <f>IF($M121="","",INDEX('Form Calc'!$H:$H,$M121))</f>
        <v/>
      </c>
      <c r="D121" s="47">
        <f>IF($M121="","",INDEX('Form Calc'!$I:$I,$M121))</f>
        <v/>
      </c>
      <c r="E121" s="47">
        <f>IF($M121="","",INDEX('Form Calc'!$K:$K,$M121))</f>
        <v/>
      </c>
      <c r="F121" s="47">
        <f>IF($M121="","",INDEX('Form Calc'!$C:$C,$M121))</f>
        <v/>
      </c>
      <c r="G121" s="47">
        <f>IF($M121="","",IF(INDEX('Form Calc'!$R:$R,$M121)="","NEW","✓ yes"))</f>
        <v/>
      </c>
      <c r="H121" s="44">
        <f>IF($M121="","",INDEX('Form Calc'!$A:$A,$M121))</f>
        <v/>
      </c>
      <c r="I121" s="63">
        <f>IF($M121="","",INDEX('Form Calc'!$J:$J,$M121))</f>
        <v/>
      </c>
      <c r="J121" s="63">
        <f>IF($M121="","",INDEX('Form Calc'!$L:$L,$M121))</f>
        <v/>
      </c>
      <c r="K121" s="63">
        <f>IF($M121="","",INDEX('Form Calc'!$M:$M,$M121))</f>
        <v/>
      </c>
      <c r="L121" s="47">
        <f>IF($M121="","",INDEX('Form Calc'!$F:$F,$M121))</f>
        <v/>
      </c>
      <c r="M121" s="32">
        <f>IF(116&gt;MAX('Form Calc'!$Y$2:$Y$601),"",IFERROR(MATCH(MAX('Form Calc'!$Y$2:$Y$601)+1-116,'Form Calc'!$Z:$Z,0),""))</f>
        <v/>
      </c>
    </row>
    <row r="122">
      <c r="A122" s="62">
        <f>IF($M122="","",INDEX('Form Calc'!$B:$B,$M122))</f>
        <v/>
      </c>
      <c r="B122" s="47">
        <f>IF($M122="","",INDEX('Form Calc'!$G:$G,$M122))</f>
        <v/>
      </c>
      <c r="C122" s="47">
        <f>IF($M122="","",INDEX('Form Calc'!$H:$H,$M122))</f>
        <v/>
      </c>
      <c r="D122" s="47">
        <f>IF($M122="","",INDEX('Form Calc'!$I:$I,$M122))</f>
        <v/>
      </c>
      <c r="E122" s="47">
        <f>IF($M122="","",INDEX('Form Calc'!$K:$K,$M122))</f>
        <v/>
      </c>
      <c r="F122" s="47">
        <f>IF($M122="","",INDEX('Form Calc'!$C:$C,$M122))</f>
        <v/>
      </c>
      <c r="G122" s="47">
        <f>IF($M122="","",IF(INDEX('Form Calc'!$R:$R,$M122)="","NEW","✓ yes"))</f>
        <v/>
      </c>
      <c r="H122" s="44">
        <f>IF($M122="","",INDEX('Form Calc'!$A:$A,$M122))</f>
        <v/>
      </c>
      <c r="I122" s="63">
        <f>IF($M122="","",INDEX('Form Calc'!$J:$J,$M122))</f>
        <v/>
      </c>
      <c r="J122" s="63">
        <f>IF($M122="","",INDEX('Form Calc'!$L:$L,$M122))</f>
        <v/>
      </c>
      <c r="K122" s="63">
        <f>IF($M122="","",INDEX('Form Calc'!$M:$M,$M122))</f>
        <v/>
      </c>
      <c r="L122" s="47">
        <f>IF($M122="","",INDEX('Form Calc'!$F:$F,$M122))</f>
        <v/>
      </c>
      <c r="M122" s="32">
        <f>IF(117&gt;MAX('Form Calc'!$Y$2:$Y$601),"",IFERROR(MATCH(MAX('Form Calc'!$Y$2:$Y$601)+1-117,'Form Calc'!$Z:$Z,0),""))</f>
        <v/>
      </c>
    </row>
    <row r="123">
      <c r="A123" s="62">
        <f>IF($M123="","",INDEX('Form Calc'!$B:$B,$M123))</f>
        <v/>
      </c>
      <c r="B123" s="47">
        <f>IF($M123="","",INDEX('Form Calc'!$G:$G,$M123))</f>
        <v/>
      </c>
      <c r="C123" s="47">
        <f>IF($M123="","",INDEX('Form Calc'!$H:$H,$M123))</f>
        <v/>
      </c>
      <c r="D123" s="47">
        <f>IF($M123="","",INDEX('Form Calc'!$I:$I,$M123))</f>
        <v/>
      </c>
      <c r="E123" s="47">
        <f>IF($M123="","",INDEX('Form Calc'!$K:$K,$M123))</f>
        <v/>
      </c>
      <c r="F123" s="47">
        <f>IF($M123="","",INDEX('Form Calc'!$C:$C,$M123))</f>
        <v/>
      </c>
      <c r="G123" s="47">
        <f>IF($M123="","",IF(INDEX('Form Calc'!$R:$R,$M123)="","NEW","✓ yes"))</f>
        <v/>
      </c>
      <c r="H123" s="44">
        <f>IF($M123="","",INDEX('Form Calc'!$A:$A,$M123))</f>
        <v/>
      </c>
      <c r="I123" s="63">
        <f>IF($M123="","",INDEX('Form Calc'!$J:$J,$M123))</f>
        <v/>
      </c>
      <c r="J123" s="63">
        <f>IF($M123="","",INDEX('Form Calc'!$L:$L,$M123))</f>
        <v/>
      </c>
      <c r="K123" s="63">
        <f>IF($M123="","",INDEX('Form Calc'!$M:$M,$M123))</f>
        <v/>
      </c>
      <c r="L123" s="47">
        <f>IF($M123="","",INDEX('Form Calc'!$F:$F,$M123))</f>
        <v/>
      </c>
      <c r="M123" s="32">
        <f>IF(118&gt;MAX('Form Calc'!$Y$2:$Y$601),"",IFERROR(MATCH(MAX('Form Calc'!$Y$2:$Y$601)+1-118,'Form Calc'!$Z:$Z,0),""))</f>
        <v/>
      </c>
    </row>
    <row r="124">
      <c r="A124" s="62">
        <f>IF($M124="","",INDEX('Form Calc'!$B:$B,$M124))</f>
        <v/>
      </c>
      <c r="B124" s="47">
        <f>IF($M124="","",INDEX('Form Calc'!$G:$G,$M124))</f>
        <v/>
      </c>
      <c r="C124" s="47">
        <f>IF($M124="","",INDEX('Form Calc'!$H:$H,$M124))</f>
        <v/>
      </c>
      <c r="D124" s="47">
        <f>IF($M124="","",INDEX('Form Calc'!$I:$I,$M124))</f>
        <v/>
      </c>
      <c r="E124" s="47">
        <f>IF($M124="","",INDEX('Form Calc'!$K:$K,$M124))</f>
        <v/>
      </c>
      <c r="F124" s="47">
        <f>IF($M124="","",INDEX('Form Calc'!$C:$C,$M124))</f>
        <v/>
      </c>
      <c r="G124" s="47">
        <f>IF($M124="","",IF(INDEX('Form Calc'!$R:$R,$M124)="","NEW","✓ yes"))</f>
        <v/>
      </c>
      <c r="H124" s="44">
        <f>IF($M124="","",INDEX('Form Calc'!$A:$A,$M124))</f>
        <v/>
      </c>
      <c r="I124" s="63">
        <f>IF($M124="","",INDEX('Form Calc'!$J:$J,$M124))</f>
        <v/>
      </c>
      <c r="J124" s="63">
        <f>IF($M124="","",INDEX('Form Calc'!$L:$L,$M124))</f>
        <v/>
      </c>
      <c r="K124" s="63">
        <f>IF($M124="","",INDEX('Form Calc'!$M:$M,$M124))</f>
        <v/>
      </c>
      <c r="L124" s="47">
        <f>IF($M124="","",INDEX('Form Calc'!$F:$F,$M124))</f>
        <v/>
      </c>
      <c r="M124" s="32">
        <f>IF(119&gt;MAX('Form Calc'!$Y$2:$Y$601),"",IFERROR(MATCH(MAX('Form Calc'!$Y$2:$Y$601)+1-119,'Form Calc'!$Z:$Z,0),""))</f>
        <v/>
      </c>
    </row>
    <row r="125">
      <c r="A125" s="62">
        <f>IF($M125="","",INDEX('Form Calc'!$B:$B,$M125))</f>
        <v/>
      </c>
      <c r="B125" s="47">
        <f>IF($M125="","",INDEX('Form Calc'!$G:$G,$M125))</f>
        <v/>
      </c>
      <c r="C125" s="47">
        <f>IF($M125="","",INDEX('Form Calc'!$H:$H,$M125))</f>
        <v/>
      </c>
      <c r="D125" s="47">
        <f>IF($M125="","",INDEX('Form Calc'!$I:$I,$M125))</f>
        <v/>
      </c>
      <c r="E125" s="47">
        <f>IF($M125="","",INDEX('Form Calc'!$K:$K,$M125))</f>
        <v/>
      </c>
      <c r="F125" s="47">
        <f>IF($M125="","",INDEX('Form Calc'!$C:$C,$M125))</f>
        <v/>
      </c>
      <c r="G125" s="47">
        <f>IF($M125="","",IF(INDEX('Form Calc'!$R:$R,$M125)="","NEW","✓ yes"))</f>
        <v/>
      </c>
      <c r="H125" s="44">
        <f>IF($M125="","",INDEX('Form Calc'!$A:$A,$M125))</f>
        <v/>
      </c>
      <c r="I125" s="63">
        <f>IF($M125="","",INDEX('Form Calc'!$J:$J,$M125))</f>
        <v/>
      </c>
      <c r="J125" s="63">
        <f>IF($M125="","",INDEX('Form Calc'!$L:$L,$M125))</f>
        <v/>
      </c>
      <c r="K125" s="63">
        <f>IF($M125="","",INDEX('Form Calc'!$M:$M,$M125))</f>
        <v/>
      </c>
      <c r="L125" s="47">
        <f>IF($M125="","",INDEX('Form Calc'!$F:$F,$M125))</f>
        <v/>
      </c>
      <c r="M125" s="32">
        <f>IF(120&gt;MAX('Form Calc'!$Y$2:$Y$601),"",IFERROR(MATCH(MAX('Form Calc'!$Y$2:$Y$601)+1-120,'Form Calc'!$Z:$Z,0),""))</f>
        <v/>
      </c>
    </row>
    <row r="126">
      <c r="A126" s="62">
        <f>IF($M126="","",INDEX('Form Calc'!$B:$B,$M126))</f>
        <v/>
      </c>
      <c r="B126" s="47">
        <f>IF($M126="","",INDEX('Form Calc'!$G:$G,$M126))</f>
        <v/>
      </c>
      <c r="C126" s="47">
        <f>IF($M126="","",INDEX('Form Calc'!$H:$H,$M126))</f>
        <v/>
      </c>
      <c r="D126" s="47">
        <f>IF($M126="","",INDEX('Form Calc'!$I:$I,$M126))</f>
        <v/>
      </c>
      <c r="E126" s="47">
        <f>IF($M126="","",INDEX('Form Calc'!$K:$K,$M126))</f>
        <v/>
      </c>
      <c r="F126" s="47">
        <f>IF($M126="","",INDEX('Form Calc'!$C:$C,$M126))</f>
        <v/>
      </c>
      <c r="G126" s="47">
        <f>IF($M126="","",IF(INDEX('Form Calc'!$R:$R,$M126)="","NEW","✓ yes"))</f>
        <v/>
      </c>
      <c r="H126" s="44">
        <f>IF($M126="","",INDEX('Form Calc'!$A:$A,$M126))</f>
        <v/>
      </c>
      <c r="I126" s="63">
        <f>IF($M126="","",INDEX('Form Calc'!$J:$J,$M126))</f>
        <v/>
      </c>
      <c r="J126" s="63">
        <f>IF($M126="","",INDEX('Form Calc'!$L:$L,$M126))</f>
        <v/>
      </c>
      <c r="K126" s="63">
        <f>IF($M126="","",INDEX('Form Calc'!$M:$M,$M126))</f>
        <v/>
      </c>
      <c r="L126" s="47">
        <f>IF($M126="","",INDEX('Form Calc'!$F:$F,$M126))</f>
        <v/>
      </c>
      <c r="M126" s="32">
        <f>IF(121&gt;MAX('Form Calc'!$Y$2:$Y$601),"",IFERROR(MATCH(MAX('Form Calc'!$Y$2:$Y$601)+1-121,'Form Calc'!$Z:$Z,0),""))</f>
        <v/>
      </c>
    </row>
    <row r="127">
      <c r="A127" s="62">
        <f>IF($M127="","",INDEX('Form Calc'!$B:$B,$M127))</f>
        <v/>
      </c>
      <c r="B127" s="47">
        <f>IF($M127="","",INDEX('Form Calc'!$G:$G,$M127))</f>
        <v/>
      </c>
      <c r="C127" s="47">
        <f>IF($M127="","",INDEX('Form Calc'!$H:$H,$M127))</f>
        <v/>
      </c>
      <c r="D127" s="47">
        <f>IF($M127="","",INDEX('Form Calc'!$I:$I,$M127))</f>
        <v/>
      </c>
      <c r="E127" s="47">
        <f>IF($M127="","",INDEX('Form Calc'!$K:$K,$M127))</f>
        <v/>
      </c>
      <c r="F127" s="47">
        <f>IF($M127="","",INDEX('Form Calc'!$C:$C,$M127))</f>
        <v/>
      </c>
      <c r="G127" s="47">
        <f>IF($M127="","",IF(INDEX('Form Calc'!$R:$R,$M127)="","NEW","✓ yes"))</f>
        <v/>
      </c>
      <c r="H127" s="44">
        <f>IF($M127="","",INDEX('Form Calc'!$A:$A,$M127))</f>
        <v/>
      </c>
      <c r="I127" s="63">
        <f>IF($M127="","",INDEX('Form Calc'!$J:$J,$M127))</f>
        <v/>
      </c>
      <c r="J127" s="63">
        <f>IF($M127="","",INDEX('Form Calc'!$L:$L,$M127))</f>
        <v/>
      </c>
      <c r="K127" s="63">
        <f>IF($M127="","",INDEX('Form Calc'!$M:$M,$M127))</f>
        <v/>
      </c>
      <c r="L127" s="47">
        <f>IF($M127="","",INDEX('Form Calc'!$F:$F,$M127))</f>
        <v/>
      </c>
      <c r="M127" s="32">
        <f>IF(122&gt;MAX('Form Calc'!$Y$2:$Y$601),"",IFERROR(MATCH(MAX('Form Calc'!$Y$2:$Y$601)+1-122,'Form Calc'!$Z:$Z,0),""))</f>
        <v/>
      </c>
    </row>
    <row r="128">
      <c r="A128" s="62">
        <f>IF($M128="","",INDEX('Form Calc'!$B:$B,$M128))</f>
        <v/>
      </c>
      <c r="B128" s="47">
        <f>IF($M128="","",INDEX('Form Calc'!$G:$G,$M128))</f>
        <v/>
      </c>
      <c r="C128" s="47">
        <f>IF($M128="","",INDEX('Form Calc'!$H:$H,$M128))</f>
        <v/>
      </c>
      <c r="D128" s="47">
        <f>IF($M128="","",INDEX('Form Calc'!$I:$I,$M128))</f>
        <v/>
      </c>
      <c r="E128" s="47">
        <f>IF($M128="","",INDEX('Form Calc'!$K:$K,$M128))</f>
        <v/>
      </c>
      <c r="F128" s="47">
        <f>IF($M128="","",INDEX('Form Calc'!$C:$C,$M128))</f>
        <v/>
      </c>
      <c r="G128" s="47">
        <f>IF($M128="","",IF(INDEX('Form Calc'!$R:$R,$M128)="","NEW","✓ yes"))</f>
        <v/>
      </c>
      <c r="H128" s="44">
        <f>IF($M128="","",INDEX('Form Calc'!$A:$A,$M128))</f>
        <v/>
      </c>
      <c r="I128" s="63">
        <f>IF($M128="","",INDEX('Form Calc'!$J:$J,$M128))</f>
        <v/>
      </c>
      <c r="J128" s="63">
        <f>IF($M128="","",INDEX('Form Calc'!$L:$L,$M128))</f>
        <v/>
      </c>
      <c r="K128" s="63">
        <f>IF($M128="","",INDEX('Form Calc'!$M:$M,$M128))</f>
        <v/>
      </c>
      <c r="L128" s="47">
        <f>IF($M128="","",INDEX('Form Calc'!$F:$F,$M128))</f>
        <v/>
      </c>
      <c r="M128" s="32">
        <f>IF(123&gt;MAX('Form Calc'!$Y$2:$Y$601),"",IFERROR(MATCH(MAX('Form Calc'!$Y$2:$Y$601)+1-123,'Form Calc'!$Z:$Z,0),""))</f>
        <v/>
      </c>
    </row>
    <row r="129">
      <c r="A129" s="62">
        <f>IF($M129="","",INDEX('Form Calc'!$B:$B,$M129))</f>
        <v/>
      </c>
      <c r="B129" s="47">
        <f>IF($M129="","",INDEX('Form Calc'!$G:$G,$M129))</f>
        <v/>
      </c>
      <c r="C129" s="47">
        <f>IF($M129="","",INDEX('Form Calc'!$H:$H,$M129))</f>
        <v/>
      </c>
      <c r="D129" s="47">
        <f>IF($M129="","",INDEX('Form Calc'!$I:$I,$M129))</f>
        <v/>
      </c>
      <c r="E129" s="47">
        <f>IF($M129="","",INDEX('Form Calc'!$K:$K,$M129))</f>
        <v/>
      </c>
      <c r="F129" s="47">
        <f>IF($M129="","",INDEX('Form Calc'!$C:$C,$M129))</f>
        <v/>
      </c>
      <c r="G129" s="47">
        <f>IF($M129="","",IF(INDEX('Form Calc'!$R:$R,$M129)="","NEW","✓ yes"))</f>
        <v/>
      </c>
      <c r="H129" s="44">
        <f>IF($M129="","",INDEX('Form Calc'!$A:$A,$M129))</f>
        <v/>
      </c>
      <c r="I129" s="63">
        <f>IF($M129="","",INDEX('Form Calc'!$J:$J,$M129))</f>
        <v/>
      </c>
      <c r="J129" s="63">
        <f>IF($M129="","",INDEX('Form Calc'!$L:$L,$M129))</f>
        <v/>
      </c>
      <c r="K129" s="63">
        <f>IF($M129="","",INDEX('Form Calc'!$M:$M,$M129))</f>
        <v/>
      </c>
      <c r="L129" s="47">
        <f>IF($M129="","",INDEX('Form Calc'!$F:$F,$M129))</f>
        <v/>
      </c>
      <c r="M129" s="32">
        <f>IF(124&gt;MAX('Form Calc'!$Y$2:$Y$601),"",IFERROR(MATCH(MAX('Form Calc'!$Y$2:$Y$601)+1-124,'Form Calc'!$Z:$Z,0),""))</f>
        <v/>
      </c>
    </row>
    <row r="130">
      <c r="A130" s="62">
        <f>IF($M130="","",INDEX('Form Calc'!$B:$B,$M130))</f>
        <v/>
      </c>
      <c r="B130" s="47">
        <f>IF($M130="","",INDEX('Form Calc'!$G:$G,$M130))</f>
        <v/>
      </c>
      <c r="C130" s="47">
        <f>IF($M130="","",INDEX('Form Calc'!$H:$H,$M130))</f>
        <v/>
      </c>
      <c r="D130" s="47">
        <f>IF($M130="","",INDEX('Form Calc'!$I:$I,$M130))</f>
        <v/>
      </c>
      <c r="E130" s="47">
        <f>IF($M130="","",INDEX('Form Calc'!$K:$K,$M130))</f>
        <v/>
      </c>
      <c r="F130" s="47">
        <f>IF($M130="","",INDEX('Form Calc'!$C:$C,$M130))</f>
        <v/>
      </c>
      <c r="G130" s="47">
        <f>IF($M130="","",IF(INDEX('Form Calc'!$R:$R,$M130)="","NEW","✓ yes"))</f>
        <v/>
      </c>
      <c r="H130" s="44">
        <f>IF($M130="","",INDEX('Form Calc'!$A:$A,$M130))</f>
        <v/>
      </c>
      <c r="I130" s="63">
        <f>IF($M130="","",INDEX('Form Calc'!$J:$J,$M130))</f>
        <v/>
      </c>
      <c r="J130" s="63">
        <f>IF($M130="","",INDEX('Form Calc'!$L:$L,$M130))</f>
        <v/>
      </c>
      <c r="K130" s="63">
        <f>IF($M130="","",INDEX('Form Calc'!$M:$M,$M130))</f>
        <v/>
      </c>
      <c r="L130" s="47">
        <f>IF($M130="","",INDEX('Form Calc'!$F:$F,$M130))</f>
        <v/>
      </c>
      <c r="M130" s="32">
        <f>IF(125&gt;MAX('Form Calc'!$Y$2:$Y$601),"",IFERROR(MATCH(MAX('Form Calc'!$Y$2:$Y$601)+1-125,'Form Calc'!$Z:$Z,0),""))</f>
        <v/>
      </c>
    </row>
    <row r="131">
      <c r="A131" s="62">
        <f>IF($M131="","",INDEX('Form Calc'!$B:$B,$M131))</f>
        <v/>
      </c>
      <c r="B131" s="47">
        <f>IF($M131="","",INDEX('Form Calc'!$G:$G,$M131))</f>
        <v/>
      </c>
      <c r="C131" s="47">
        <f>IF($M131="","",INDEX('Form Calc'!$H:$H,$M131))</f>
        <v/>
      </c>
      <c r="D131" s="47">
        <f>IF($M131="","",INDEX('Form Calc'!$I:$I,$M131))</f>
        <v/>
      </c>
      <c r="E131" s="47">
        <f>IF($M131="","",INDEX('Form Calc'!$K:$K,$M131))</f>
        <v/>
      </c>
      <c r="F131" s="47">
        <f>IF($M131="","",INDEX('Form Calc'!$C:$C,$M131))</f>
        <v/>
      </c>
      <c r="G131" s="47">
        <f>IF($M131="","",IF(INDEX('Form Calc'!$R:$R,$M131)="","NEW","✓ yes"))</f>
        <v/>
      </c>
      <c r="H131" s="44">
        <f>IF($M131="","",INDEX('Form Calc'!$A:$A,$M131))</f>
        <v/>
      </c>
      <c r="I131" s="63">
        <f>IF($M131="","",INDEX('Form Calc'!$J:$J,$M131))</f>
        <v/>
      </c>
      <c r="J131" s="63">
        <f>IF($M131="","",INDEX('Form Calc'!$L:$L,$M131))</f>
        <v/>
      </c>
      <c r="K131" s="63">
        <f>IF($M131="","",INDEX('Form Calc'!$M:$M,$M131))</f>
        <v/>
      </c>
      <c r="L131" s="47">
        <f>IF($M131="","",INDEX('Form Calc'!$F:$F,$M131))</f>
        <v/>
      </c>
      <c r="M131" s="32">
        <f>IF(126&gt;MAX('Form Calc'!$Y$2:$Y$601),"",IFERROR(MATCH(MAX('Form Calc'!$Y$2:$Y$601)+1-126,'Form Calc'!$Z:$Z,0),""))</f>
        <v/>
      </c>
    </row>
    <row r="132">
      <c r="A132" s="62">
        <f>IF($M132="","",INDEX('Form Calc'!$B:$B,$M132))</f>
        <v/>
      </c>
      <c r="B132" s="47">
        <f>IF($M132="","",INDEX('Form Calc'!$G:$G,$M132))</f>
        <v/>
      </c>
      <c r="C132" s="47">
        <f>IF($M132="","",INDEX('Form Calc'!$H:$H,$M132))</f>
        <v/>
      </c>
      <c r="D132" s="47">
        <f>IF($M132="","",INDEX('Form Calc'!$I:$I,$M132))</f>
        <v/>
      </c>
      <c r="E132" s="47">
        <f>IF($M132="","",INDEX('Form Calc'!$K:$K,$M132))</f>
        <v/>
      </c>
      <c r="F132" s="47">
        <f>IF($M132="","",INDEX('Form Calc'!$C:$C,$M132))</f>
        <v/>
      </c>
      <c r="G132" s="47">
        <f>IF($M132="","",IF(INDEX('Form Calc'!$R:$R,$M132)="","NEW","✓ yes"))</f>
        <v/>
      </c>
      <c r="H132" s="44">
        <f>IF($M132="","",INDEX('Form Calc'!$A:$A,$M132))</f>
        <v/>
      </c>
      <c r="I132" s="63">
        <f>IF($M132="","",INDEX('Form Calc'!$J:$J,$M132))</f>
        <v/>
      </c>
      <c r="J132" s="63">
        <f>IF($M132="","",INDEX('Form Calc'!$L:$L,$M132))</f>
        <v/>
      </c>
      <c r="K132" s="63">
        <f>IF($M132="","",INDEX('Form Calc'!$M:$M,$M132))</f>
        <v/>
      </c>
      <c r="L132" s="47">
        <f>IF($M132="","",INDEX('Form Calc'!$F:$F,$M132))</f>
        <v/>
      </c>
      <c r="M132" s="32">
        <f>IF(127&gt;MAX('Form Calc'!$Y$2:$Y$601),"",IFERROR(MATCH(MAX('Form Calc'!$Y$2:$Y$601)+1-127,'Form Calc'!$Z:$Z,0),""))</f>
        <v/>
      </c>
    </row>
    <row r="133">
      <c r="A133" s="62">
        <f>IF($M133="","",INDEX('Form Calc'!$B:$B,$M133))</f>
        <v/>
      </c>
      <c r="B133" s="47">
        <f>IF($M133="","",INDEX('Form Calc'!$G:$G,$M133))</f>
        <v/>
      </c>
      <c r="C133" s="47">
        <f>IF($M133="","",INDEX('Form Calc'!$H:$H,$M133))</f>
        <v/>
      </c>
      <c r="D133" s="47">
        <f>IF($M133="","",INDEX('Form Calc'!$I:$I,$M133))</f>
        <v/>
      </c>
      <c r="E133" s="47">
        <f>IF($M133="","",INDEX('Form Calc'!$K:$K,$M133))</f>
        <v/>
      </c>
      <c r="F133" s="47">
        <f>IF($M133="","",INDEX('Form Calc'!$C:$C,$M133))</f>
        <v/>
      </c>
      <c r="G133" s="47">
        <f>IF($M133="","",IF(INDEX('Form Calc'!$R:$R,$M133)="","NEW","✓ yes"))</f>
        <v/>
      </c>
      <c r="H133" s="44">
        <f>IF($M133="","",INDEX('Form Calc'!$A:$A,$M133))</f>
        <v/>
      </c>
      <c r="I133" s="63">
        <f>IF($M133="","",INDEX('Form Calc'!$J:$J,$M133))</f>
        <v/>
      </c>
      <c r="J133" s="63">
        <f>IF($M133="","",INDEX('Form Calc'!$L:$L,$M133))</f>
        <v/>
      </c>
      <c r="K133" s="63">
        <f>IF($M133="","",INDEX('Form Calc'!$M:$M,$M133))</f>
        <v/>
      </c>
      <c r="L133" s="47">
        <f>IF($M133="","",INDEX('Form Calc'!$F:$F,$M133))</f>
        <v/>
      </c>
      <c r="M133" s="32">
        <f>IF(128&gt;MAX('Form Calc'!$Y$2:$Y$601),"",IFERROR(MATCH(MAX('Form Calc'!$Y$2:$Y$601)+1-128,'Form Calc'!$Z:$Z,0),""))</f>
        <v/>
      </c>
    </row>
    <row r="134">
      <c r="A134" s="62">
        <f>IF($M134="","",INDEX('Form Calc'!$B:$B,$M134))</f>
        <v/>
      </c>
      <c r="B134" s="47">
        <f>IF($M134="","",INDEX('Form Calc'!$G:$G,$M134))</f>
        <v/>
      </c>
      <c r="C134" s="47">
        <f>IF($M134="","",INDEX('Form Calc'!$H:$H,$M134))</f>
        <v/>
      </c>
      <c r="D134" s="47">
        <f>IF($M134="","",INDEX('Form Calc'!$I:$I,$M134))</f>
        <v/>
      </c>
      <c r="E134" s="47">
        <f>IF($M134="","",INDEX('Form Calc'!$K:$K,$M134))</f>
        <v/>
      </c>
      <c r="F134" s="47">
        <f>IF($M134="","",INDEX('Form Calc'!$C:$C,$M134))</f>
        <v/>
      </c>
      <c r="G134" s="47">
        <f>IF($M134="","",IF(INDEX('Form Calc'!$R:$R,$M134)="","NEW","✓ yes"))</f>
        <v/>
      </c>
      <c r="H134" s="44">
        <f>IF($M134="","",INDEX('Form Calc'!$A:$A,$M134))</f>
        <v/>
      </c>
      <c r="I134" s="63">
        <f>IF($M134="","",INDEX('Form Calc'!$J:$J,$M134))</f>
        <v/>
      </c>
      <c r="J134" s="63">
        <f>IF($M134="","",INDEX('Form Calc'!$L:$L,$M134))</f>
        <v/>
      </c>
      <c r="K134" s="63">
        <f>IF($M134="","",INDEX('Form Calc'!$M:$M,$M134))</f>
        <v/>
      </c>
      <c r="L134" s="47">
        <f>IF($M134="","",INDEX('Form Calc'!$F:$F,$M134))</f>
        <v/>
      </c>
      <c r="M134" s="32">
        <f>IF(129&gt;MAX('Form Calc'!$Y$2:$Y$601),"",IFERROR(MATCH(MAX('Form Calc'!$Y$2:$Y$601)+1-129,'Form Calc'!$Z:$Z,0),""))</f>
        <v/>
      </c>
    </row>
    <row r="135">
      <c r="A135" s="62">
        <f>IF($M135="","",INDEX('Form Calc'!$B:$B,$M135))</f>
        <v/>
      </c>
      <c r="B135" s="47">
        <f>IF($M135="","",INDEX('Form Calc'!$G:$G,$M135))</f>
        <v/>
      </c>
      <c r="C135" s="47">
        <f>IF($M135="","",INDEX('Form Calc'!$H:$H,$M135))</f>
        <v/>
      </c>
      <c r="D135" s="47">
        <f>IF($M135="","",INDEX('Form Calc'!$I:$I,$M135))</f>
        <v/>
      </c>
      <c r="E135" s="47">
        <f>IF($M135="","",INDEX('Form Calc'!$K:$K,$M135))</f>
        <v/>
      </c>
      <c r="F135" s="47">
        <f>IF($M135="","",INDEX('Form Calc'!$C:$C,$M135))</f>
        <v/>
      </c>
      <c r="G135" s="47">
        <f>IF($M135="","",IF(INDEX('Form Calc'!$R:$R,$M135)="","NEW","✓ yes"))</f>
        <v/>
      </c>
      <c r="H135" s="44">
        <f>IF($M135="","",INDEX('Form Calc'!$A:$A,$M135))</f>
        <v/>
      </c>
      <c r="I135" s="63">
        <f>IF($M135="","",INDEX('Form Calc'!$J:$J,$M135))</f>
        <v/>
      </c>
      <c r="J135" s="63">
        <f>IF($M135="","",INDEX('Form Calc'!$L:$L,$M135))</f>
        <v/>
      </c>
      <c r="K135" s="63">
        <f>IF($M135="","",INDEX('Form Calc'!$M:$M,$M135))</f>
        <v/>
      </c>
      <c r="L135" s="47">
        <f>IF($M135="","",INDEX('Form Calc'!$F:$F,$M135))</f>
        <v/>
      </c>
      <c r="M135" s="32">
        <f>IF(130&gt;MAX('Form Calc'!$Y$2:$Y$601),"",IFERROR(MATCH(MAX('Form Calc'!$Y$2:$Y$601)+1-130,'Form Calc'!$Z:$Z,0),""))</f>
        <v/>
      </c>
    </row>
    <row r="136">
      <c r="A136" s="62">
        <f>IF($M136="","",INDEX('Form Calc'!$B:$B,$M136))</f>
        <v/>
      </c>
      <c r="B136" s="47">
        <f>IF($M136="","",INDEX('Form Calc'!$G:$G,$M136))</f>
        <v/>
      </c>
      <c r="C136" s="47">
        <f>IF($M136="","",INDEX('Form Calc'!$H:$H,$M136))</f>
        <v/>
      </c>
      <c r="D136" s="47">
        <f>IF($M136="","",INDEX('Form Calc'!$I:$I,$M136))</f>
        <v/>
      </c>
      <c r="E136" s="47">
        <f>IF($M136="","",INDEX('Form Calc'!$K:$K,$M136))</f>
        <v/>
      </c>
      <c r="F136" s="47">
        <f>IF($M136="","",INDEX('Form Calc'!$C:$C,$M136))</f>
        <v/>
      </c>
      <c r="G136" s="47">
        <f>IF($M136="","",IF(INDEX('Form Calc'!$R:$R,$M136)="","NEW","✓ yes"))</f>
        <v/>
      </c>
      <c r="H136" s="44">
        <f>IF($M136="","",INDEX('Form Calc'!$A:$A,$M136))</f>
        <v/>
      </c>
      <c r="I136" s="63">
        <f>IF($M136="","",INDEX('Form Calc'!$J:$J,$M136))</f>
        <v/>
      </c>
      <c r="J136" s="63">
        <f>IF($M136="","",INDEX('Form Calc'!$L:$L,$M136))</f>
        <v/>
      </c>
      <c r="K136" s="63">
        <f>IF($M136="","",INDEX('Form Calc'!$M:$M,$M136))</f>
        <v/>
      </c>
      <c r="L136" s="47">
        <f>IF($M136="","",INDEX('Form Calc'!$F:$F,$M136))</f>
        <v/>
      </c>
      <c r="M136" s="32">
        <f>IF(131&gt;MAX('Form Calc'!$Y$2:$Y$601),"",IFERROR(MATCH(MAX('Form Calc'!$Y$2:$Y$601)+1-131,'Form Calc'!$Z:$Z,0),""))</f>
        <v/>
      </c>
    </row>
    <row r="137">
      <c r="A137" s="62">
        <f>IF($M137="","",INDEX('Form Calc'!$B:$B,$M137))</f>
        <v/>
      </c>
      <c r="B137" s="47">
        <f>IF($M137="","",INDEX('Form Calc'!$G:$G,$M137))</f>
        <v/>
      </c>
      <c r="C137" s="47">
        <f>IF($M137="","",INDEX('Form Calc'!$H:$H,$M137))</f>
        <v/>
      </c>
      <c r="D137" s="47">
        <f>IF($M137="","",INDEX('Form Calc'!$I:$I,$M137))</f>
        <v/>
      </c>
      <c r="E137" s="47">
        <f>IF($M137="","",INDEX('Form Calc'!$K:$K,$M137))</f>
        <v/>
      </c>
      <c r="F137" s="47">
        <f>IF($M137="","",INDEX('Form Calc'!$C:$C,$M137))</f>
        <v/>
      </c>
      <c r="G137" s="47">
        <f>IF($M137="","",IF(INDEX('Form Calc'!$R:$R,$M137)="","NEW","✓ yes"))</f>
        <v/>
      </c>
      <c r="H137" s="44">
        <f>IF($M137="","",INDEX('Form Calc'!$A:$A,$M137))</f>
        <v/>
      </c>
      <c r="I137" s="63">
        <f>IF($M137="","",INDEX('Form Calc'!$J:$J,$M137))</f>
        <v/>
      </c>
      <c r="J137" s="63">
        <f>IF($M137="","",INDEX('Form Calc'!$L:$L,$M137))</f>
        <v/>
      </c>
      <c r="K137" s="63">
        <f>IF($M137="","",INDEX('Form Calc'!$M:$M,$M137))</f>
        <v/>
      </c>
      <c r="L137" s="47">
        <f>IF($M137="","",INDEX('Form Calc'!$F:$F,$M137))</f>
        <v/>
      </c>
      <c r="M137" s="32">
        <f>IF(132&gt;MAX('Form Calc'!$Y$2:$Y$601),"",IFERROR(MATCH(MAX('Form Calc'!$Y$2:$Y$601)+1-132,'Form Calc'!$Z:$Z,0),""))</f>
        <v/>
      </c>
    </row>
    <row r="138">
      <c r="A138" s="62">
        <f>IF($M138="","",INDEX('Form Calc'!$B:$B,$M138))</f>
        <v/>
      </c>
      <c r="B138" s="47">
        <f>IF($M138="","",INDEX('Form Calc'!$G:$G,$M138))</f>
        <v/>
      </c>
      <c r="C138" s="47">
        <f>IF($M138="","",INDEX('Form Calc'!$H:$H,$M138))</f>
        <v/>
      </c>
      <c r="D138" s="47">
        <f>IF($M138="","",INDEX('Form Calc'!$I:$I,$M138))</f>
        <v/>
      </c>
      <c r="E138" s="47">
        <f>IF($M138="","",INDEX('Form Calc'!$K:$K,$M138))</f>
        <v/>
      </c>
      <c r="F138" s="47">
        <f>IF($M138="","",INDEX('Form Calc'!$C:$C,$M138))</f>
        <v/>
      </c>
      <c r="G138" s="47">
        <f>IF($M138="","",IF(INDEX('Form Calc'!$R:$R,$M138)="","NEW","✓ yes"))</f>
        <v/>
      </c>
      <c r="H138" s="44">
        <f>IF($M138="","",INDEX('Form Calc'!$A:$A,$M138))</f>
        <v/>
      </c>
      <c r="I138" s="63">
        <f>IF($M138="","",INDEX('Form Calc'!$J:$J,$M138))</f>
        <v/>
      </c>
      <c r="J138" s="63">
        <f>IF($M138="","",INDEX('Form Calc'!$L:$L,$M138))</f>
        <v/>
      </c>
      <c r="K138" s="63">
        <f>IF($M138="","",INDEX('Form Calc'!$M:$M,$M138))</f>
        <v/>
      </c>
      <c r="L138" s="47">
        <f>IF($M138="","",INDEX('Form Calc'!$F:$F,$M138))</f>
        <v/>
      </c>
      <c r="M138" s="32">
        <f>IF(133&gt;MAX('Form Calc'!$Y$2:$Y$601),"",IFERROR(MATCH(MAX('Form Calc'!$Y$2:$Y$601)+1-133,'Form Calc'!$Z:$Z,0),""))</f>
        <v/>
      </c>
    </row>
    <row r="139">
      <c r="A139" s="62">
        <f>IF($M139="","",INDEX('Form Calc'!$B:$B,$M139))</f>
        <v/>
      </c>
      <c r="B139" s="47">
        <f>IF($M139="","",INDEX('Form Calc'!$G:$G,$M139))</f>
        <v/>
      </c>
      <c r="C139" s="47">
        <f>IF($M139="","",INDEX('Form Calc'!$H:$H,$M139))</f>
        <v/>
      </c>
      <c r="D139" s="47">
        <f>IF($M139="","",INDEX('Form Calc'!$I:$I,$M139))</f>
        <v/>
      </c>
      <c r="E139" s="47">
        <f>IF($M139="","",INDEX('Form Calc'!$K:$K,$M139))</f>
        <v/>
      </c>
      <c r="F139" s="47">
        <f>IF($M139="","",INDEX('Form Calc'!$C:$C,$M139))</f>
        <v/>
      </c>
      <c r="G139" s="47">
        <f>IF($M139="","",IF(INDEX('Form Calc'!$R:$R,$M139)="","NEW","✓ yes"))</f>
        <v/>
      </c>
      <c r="H139" s="44">
        <f>IF($M139="","",INDEX('Form Calc'!$A:$A,$M139))</f>
        <v/>
      </c>
      <c r="I139" s="63">
        <f>IF($M139="","",INDEX('Form Calc'!$J:$J,$M139))</f>
        <v/>
      </c>
      <c r="J139" s="63">
        <f>IF($M139="","",INDEX('Form Calc'!$L:$L,$M139))</f>
        <v/>
      </c>
      <c r="K139" s="63">
        <f>IF($M139="","",INDEX('Form Calc'!$M:$M,$M139))</f>
        <v/>
      </c>
      <c r="L139" s="47">
        <f>IF($M139="","",INDEX('Form Calc'!$F:$F,$M139))</f>
        <v/>
      </c>
      <c r="M139" s="32">
        <f>IF(134&gt;MAX('Form Calc'!$Y$2:$Y$601),"",IFERROR(MATCH(MAX('Form Calc'!$Y$2:$Y$601)+1-134,'Form Calc'!$Z:$Z,0),""))</f>
        <v/>
      </c>
    </row>
    <row r="140">
      <c r="A140" s="62">
        <f>IF($M140="","",INDEX('Form Calc'!$B:$B,$M140))</f>
        <v/>
      </c>
      <c r="B140" s="47">
        <f>IF($M140="","",INDEX('Form Calc'!$G:$G,$M140))</f>
        <v/>
      </c>
      <c r="C140" s="47">
        <f>IF($M140="","",INDEX('Form Calc'!$H:$H,$M140))</f>
        <v/>
      </c>
      <c r="D140" s="47">
        <f>IF($M140="","",INDEX('Form Calc'!$I:$I,$M140))</f>
        <v/>
      </c>
      <c r="E140" s="47">
        <f>IF($M140="","",INDEX('Form Calc'!$K:$K,$M140))</f>
        <v/>
      </c>
      <c r="F140" s="47">
        <f>IF($M140="","",INDEX('Form Calc'!$C:$C,$M140))</f>
        <v/>
      </c>
      <c r="G140" s="47">
        <f>IF($M140="","",IF(INDEX('Form Calc'!$R:$R,$M140)="","NEW","✓ yes"))</f>
        <v/>
      </c>
      <c r="H140" s="44">
        <f>IF($M140="","",INDEX('Form Calc'!$A:$A,$M140))</f>
        <v/>
      </c>
      <c r="I140" s="63">
        <f>IF($M140="","",INDEX('Form Calc'!$J:$J,$M140))</f>
        <v/>
      </c>
      <c r="J140" s="63">
        <f>IF($M140="","",INDEX('Form Calc'!$L:$L,$M140))</f>
        <v/>
      </c>
      <c r="K140" s="63">
        <f>IF($M140="","",INDEX('Form Calc'!$M:$M,$M140))</f>
        <v/>
      </c>
      <c r="L140" s="47">
        <f>IF($M140="","",INDEX('Form Calc'!$F:$F,$M140))</f>
        <v/>
      </c>
      <c r="M140" s="32">
        <f>IF(135&gt;MAX('Form Calc'!$Y$2:$Y$601),"",IFERROR(MATCH(MAX('Form Calc'!$Y$2:$Y$601)+1-135,'Form Calc'!$Z:$Z,0),""))</f>
        <v/>
      </c>
    </row>
    <row r="141">
      <c r="A141" s="62">
        <f>IF($M141="","",INDEX('Form Calc'!$B:$B,$M141))</f>
        <v/>
      </c>
      <c r="B141" s="47">
        <f>IF($M141="","",INDEX('Form Calc'!$G:$G,$M141))</f>
        <v/>
      </c>
      <c r="C141" s="47">
        <f>IF($M141="","",INDEX('Form Calc'!$H:$H,$M141))</f>
        <v/>
      </c>
      <c r="D141" s="47">
        <f>IF($M141="","",INDEX('Form Calc'!$I:$I,$M141))</f>
        <v/>
      </c>
      <c r="E141" s="47">
        <f>IF($M141="","",INDEX('Form Calc'!$K:$K,$M141))</f>
        <v/>
      </c>
      <c r="F141" s="47">
        <f>IF($M141="","",INDEX('Form Calc'!$C:$C,$M141))</f>
        <v/>
      </c>
      <c r="G141" s="47">
        <f>IF($M141="","",IF(INDEX('Form Calc'!$R:$R,$M141)="","NEW","✓ yes"))</f>
        <v/>
      </c>
      <c r="H141" s="44">
        <f>IF($M141="","",INDEX('Form Calc'!$A:$A,$M141))</f>
        <v/>
      </c>
      <c r="I141" s="63">
        <f>IF($M141="","",INDEX('Form Calc'!$J:$J,$M141))</f>
        <v/>
      </c>
      <c r="J141" s="63">
        <f>IF($M141="","",INDEX('Form Calc'!$L:$L,$M141))</f>
        <v/>
      </c>
      <c r="K141" s="63">
        <f>IF($M141="","",INDEX('Form Calc'!$M:$M,$M141))</f>
        <v/>
      </c>
      <c r="L141" s="47">
        <f>IF($M141="","",INDEX('Form Calc'!$F:$F,$M141))</f>
        <v/>
      </c>
      <c r="M141" s="32">
        <f>IF(136&gt;MAX('Form Calc'!$Y$2:$Y$601),"",IFERROR(MATCH(MAX('Form Calc'!$Y$2:$Y$601)+1-136,'Form Calc'!$Z:$Z,0),""))</f>
        <v/>
      </c>
    </row>
    <row r="142">
      <c r="A142" s="62">
        <f>IF($M142="","",INDEX('Form Calc'!$B:$B,$M142))</f>
        <v/>
      </c>
      <c r="B142" s="47">
        <f>IF($M142="","",INDEX('Form Calc'!$G:$G,$M142))</f>
        <v/>
      </c>
      <c r="C142" s="47">
        <f>IF($M142="","",INDEX('Form Calc'!$H:$H,$M142))</f>
        <v/>
      </c>
      <c r="D142" s="47">
        <f>IF($M142="","",INDEX('Form Calc'!$I:$I,$M142))</f>
        <v/>
      </c>
      <c r="E142" s="47">
        <f>IF($M142="","",INDEX('Form Calc'!$K:$K,$M142))</f>
        <v/>
      </c>
      <c r="F142" s="47">
        <f>IF($M142="","",INDEX('Form Calc'!$C:$C,$M142))</f>
        <v/>
      </c>
      <c r="G142" s="47">
        <f>IF($M142="","",IF(INDEX('Form Calc'!$R:$R,$M142)="","NEW","✓ yes"))</f>
        <v/>
      </c>
      <c r="H142" s="44">
        <f>IF($M142="","",INDEX('Form Calc'!$A:$A,$M142))</f>
        <v/>
      </c>
      <c r="I142" s="63">
        <f>IF($M142="","",INDEX('Form Calc'!$J:$J,$M142))</f>
        <v/>
      </c>
      <c r="J142" s="63">
        <f>IF($M142="","",INDEX('Form Calc'!$L:$L,$M142))</f>
        <v/>
      </c>
      <c r="K142" s="63">
        <f>IF($M142="","",INDEX('Form Calc'!$M:$M,$M142))</f>
        <v/>
      </c>
      <c r="L142" s="47">
        <f>IF($M142="","",INDEX('Form Calc'!$F:$F,$M142))</f>
        <v/>
      </c>
      <c r="M142" s="32">
        <f>IF(137&gt;MAX('Form Calc'!$Y$2:$Y$601),"",IFERROR(MATCH(MAX('Form Calc'!$Y$2:$Y$601)+1-137,'Form Calc'!$Z:$Z,0),""))</f>
        <v/>
      </c>
    </row>
    <row r="143">
      <c r="A143" s="62">
        <f>IF($M143="","",INDEX('Form Calc'!$B:$B,$M143))</f>
        <v/>
      </c>
      <c r="B143" s="47">
        <f>IF($M143="","",INDEX('Form Calc'!$G:$G,$M143))</f>
        <v/>
      </c>
      <c r="C143" s="47">
        <f>IF($M143="","",INDEX('Form Calc'!$H:$H,$M143))</f>
        <v/>
      </c>
      <c r="D143" s="47">
        <f>IF($M143="","",INDEX('Form Calc'!$I:$I,$M143))</f>
        <v/>
      </c>
      <c r="E143" s="47">
        <f>IF($M143="","",INDEX('Form Calc'!$K:$K,$M143))</f>
        <v/>
      </c>
      <c r="F143" s="47">
        <f>IF($M143="","",INDEX('Form Calc'!$C:$C,$M143))</f>
        <v/>
      </c>
      <c r="G143" s="47">
        <f>IF($M143="","",IF(INDEX('Form Calc'!$R:$R,$M143)="","NEW","✓ yes"))</f>
        <v/>
      </c>
      <c r="H143" s="44">
        <f>IF($M143="","",INDEX('Form Calc'!$A:$A,$M143))</f>
        <v/>
      </c>
      <c r="I143" s="63">
        <f>IF($M143="","",INDEX('Form Calc'!$J:$J,$M143))</f>
        <v/>
      </c>
      <c r="J143" s="63">
        <f>IF($M143="","",INDEX('Form Calc'!$L:$L,$M143))</f>
        <v/>
      </c>
      <c r="K143" s="63">
        <f>IF($M143="","",INDEX('Form Calc'!$M:$M,$M143))</f>
        <v/>
      </c>
      <c r="L143" s="47">
        <f>IF($M143="","",INDEX('Form Calc'!$F:$F,$M143))</f>
        <v/>
      </c>
      <c r="M143" s="32">
        <f>IF(138&gt;MAX('Form Calc'!$Y$2:$Y$601),"",IFERROR(MATCH(MAX('Form Calc'!$Y$2:$Y$601)+1-138,'Form Calc'!$Z:$Z,0),""))</f>
        <v/>
      </c>
    </row>
    <row r="144">
      <c r="A144" s="62">
        <f>IF($M144="","",INDEX('Form Calc'!$B:$B,$M144))</f>
        <v/>
      </c>
      <c r="B144" s="47">
        <f>IF($M144="","",INDEX('Form Calc'!$G:$G,$M144))</f>
        <v/>
      </c>
      <c r="C144" s="47">
        <f>IF($M144="","",INDEX('Form Calc'!$H:$H,$M144))</f>
        <v/>
      </c>
      <c r="D144" s="47">
        <f>IF($M144="","",INDEX('Form Calc'!$I:$I,$M144))</f>
        <v/>
      </c>
      <c r="E144" s="47">
        <f>IF($M144="","",INDEX('Form Calc'!$K:$K,$M144))</f>
        <v/>
      </c>
      <c r="F144" s="47">
        <f>IF($M144="","",INDEX('Form Calc'!$C:$C,$M144))</f>
        <v/>
      </c>
      <c r="G144" s="47">
        <f>IF($M144="","",IF(INDEX('Form Calc'!$R:$R,$M144)="","NEW","✓ yes"))</f>
        <v/>
      </c>
      <c r="H144" s="44">
        <f>IF($M144="","",INDEX('Form Calc'!$A:$A,$M144))</f>
        <v/>
      </c>
      <c r="I144" s="63">
        <f>IF($M144="","",INDEX('Form Calc'!$J:$J,$M144))</f>
        <v/>
      </c>
      <c r="J144" s="63">
        <f>IF($M144="","",INDEX('Form Calc'!$L:$L,$M144))</f>
        <v/>
      </c>
      <c r="K144" s="63">
        <f>IF($M144="","",INDEX('Form Calc'!$M:$M,$M144))</f>
        <v/>
      </c>
      <c r="L144" s="47">
        <f>IF($M144="","",INDEX('Form Calc'!$F:$F,$M144))</f>
        <v/>
      </c>
      <c r="M144" s="32">
        <f>IF(139&gt;MAX('Form Calc'!$Y$2:$Y$601),"",IFERROR(MATCH(MAX('Form Calc'!$Y$2:$Y$601)+1-139,'Form Calc'!$Z:$Z,0),""))</f>
        <v/>
      </c>
    </row>
    <row r="145">
      <c r="A145" s="62">
        <f>IF($M145="","",INDEX('Form Calc'!$B:$B,$M145))</f>
        <v/>
      </c>
      <c r="B145" s="47">
        <f>IF($M145="","",INDEX('Form Calc'!$G:$G,$M145))</f>
        <v/>
      </c>
      <c r="C145" s="47">
        <f>IF($M145="","",INDEX('Form Calc'!$H:$H,$M145))</f>
        <v/>
      </c>
      <c r="D145" s="47">
        <f>IF($M145="","",INDEX('Form Calc'!$I:$I,$M145))</f>
        <v/>
      </c>
      <c r="E145" s="47">
        <f>IF($M145="","",INDEX('Form Calc'!$K:$K,$M145))</f>
        <v/>
      </c>
      <c r="F145" s="47">
        <f>IF($M145="","",INDEX('Form Calc'!$C:$C,$M145))</f>
        <v/>
      </c>
      <c r="G145" s="47">
        <f>IF($M145="","",IF(INDEX('Form Calc'!$R:$R,$M145)="","NEW","✓ yes"))</f>
        <v/>
      </c>
      <c r="H145" s="44">
        <f>IF($M145="","",INDEX('Form Calc'!$A:$A,$M145))</f>
        <v/>
      </c>
      <c r="I145" s="63">
        <f>IF($M145="","",INDEX('Form Calc'!$J:$J,$M145))</f>
        <v/>
      </c>
      <c r="J145" s="63">
        <f>IF($M145="","",INDEX('Form Calc'!$L:$L,$M145))</f>
        <v/>
      </c>
      <c r="K145" s="63">
        <f>IF($M145="","",INDEX('Form Calc'!$M:$M,$M145))</f>
        <v/>
      </c>
      <c r="L145" s="47">
        <f>IF($M145="","",INDEX('Form Calc'!$F:$F,$M145))</f>
        <v/>
      </c>
      <c r="M145" s="32">
        <f>IF(140&gt;MAX('Form Calc'!$Y$2:$Y$601),"",IFERROR(MATCH(MAX('Form Calc'!$Y$2:$Y$601)+1-140,'Form Calc'!$Z:$Z,0),""))</f>
        <v/>
      </c>
    </row>
    <row r="146">
      <c r="A146" s="62">
        <f>IF($M146="","",INDEX('Form Calc'!$B:$B,$M146))</f>
        <v/>
      </c>
      <c r="B146" s="47">
        <f>IF($M146="","",INDEX('Form Calc'!$G:$G,$M146))</f>
        <v/>
      </c>
      <c r="C146" s="47">
        <f>IF($M146="","",INDEX('Form Calc'!$H:$H,$M146))</f>
        <v/>
      </c>
      <c r="D146" s="47">
        <f>IF($M146="","",INDEX('Form Calc'!$I:$I,$M146))</f>
        <v/>
      </c>
      <c r="E146" s="47">
        <f>IF($M146="","",INDEX('Form Calc'!$K:$K,$M146))</f>
        <v/>
      </c>
      <c r="F146" s="47">
        <f>IF($M146="","",INDEX('Form Calc'!$C:$C,$M146))</f>
        <v/>
      </c>
      <c r="G146" s="47">
        <f>IF($M146="","",IF(INDEX('Form Calc'!$R:$R,$M146)="","NEW","✓ yes"))</f>
        <v/>
      </c>
      <c r="H146" s="44">
        <f>IF($M146="","",INDEX('Form Calc'!$A:$A,$M146))</f>
        <v/>
      </c>
      <c r="I146" s="63">
        <f>IF($M146="","",INDEX('Form Calc'!$J:$J,$M146))</f>
        <v/>
      </c>
      <c r="J146" s="63">
        <f>IF($M146="","",INDEX('Form Calc'!$L:$L,$M146))</f>
        <v/>
      </c>
      <c r="K146" s="63">
        <f>IF($M146="","",INDEX('Form Calc'!$M:$M,$M146))</f>
        <v/>
      </c>
      <c r="L146" s="47">
        <f>IF($M146="","",INDEX('Form Calc'!$F:$F,$M146))</f>
        <v/>
      </c>
      <c r="M146" s="32">
        <f>IF(141&gt;MAX('Form Calc'!$Y$2:$Y$601),"",IFERROR(MATCH(MAX('Form Calc'!$Y$2:$Y$601)+1-141,'Form Calc'!$Z:$Z,0),""))</f>
        <v/>
      </c>
    </row>
    <row r="147">
      <c r="A147" s="62">
        <f>IF($M147="","",INDEX('Form Calc'!$B:$B,$M147))</f>
        <v/>
      </c>
      <c r="B147" s="47">
        <f>IF($M147="","",INDEX('Form Calc'!$G:$G,$M147))</f>
        <v/>
      </c>
      <c r="C147" s="47">
        <f>IF($M147="","",INDEX('Form Calc'!$H:$H,$M147))</f>
        <v/>
      </c>
      <c r="D147" s="47">
        <f>IF($M147="","",INDEX('Form Calc'!$I:$I,$M147))</f>
        <v/>
      </c>
      <c r="E147" s="47">
        <f>IF($M147="","",INDEX('Form Calc'!$K:$K,$M147))</f>
        <v/>
      </c>
      <c r="F147" s="47">
        <f>IF($M147="","",INDEX('Form Calc'!$C:$C,$M147))</f>
        <v/>
      </c>
      <c r="G147" s="47">
        <f>IF($M147="","",IF(INDEX('Form Calc'!$R:$R,$M147)="","NEW","✓ yes"))</f>
        <v/>
      </c>
      <c r="H147" s="44">
        <f>IF($M147="","",INDEX('Form Calc'!$A:$A,$M147))</f>
        <v/>
      </c>
      <c r="I147" s="63">
        <f>IF($M147="","",INDEX('Form Calc'!$J:$J,$M147))</f>
        <v/>
      </c>
      <c r="J147" s="63">
        <f>IF($M147="","",INDEX('Form Calc'!$L:$L,$M147))</f>
        <v/>
      </c>
      <c r="K147" s="63">
        <f>IF($M147="","",INDEX('Form Calc'!$M:$M,$M147))</f>
        <v/>
      </c>
      <c r="L147" s="47">
        <f>IF($M147="","",INDEX('Form Calc'!$F:$F,$M147))</f>
        <v/>
      </c>
      <c r="M147" s="32">
        <f>IF(142&gt;MAX('Form Calc'!$Y$2:$Y$601),"",IFERROR(MATCH(MAX('Form Calc'!$Y$2:$Y$601)+1-142,'Form Calc'!$Z:$Z,0),""))</f>
        <v/>
      </c>
    </row>
    <row r="148">
      <c r="A148" s="62">
        <f>IF($M148="","",INDEX('Form Calc'!$B:$B,$M148))</f>
        <v/>
      </c>
      <c r="B148" s="47">
        <f>IF($M148="","",INDEX('Form Calc'!$G:$G,$M148))</f>
        <v/>
      </c>
      <c r="C148" s="47">
        <f>IF($M148="","",INDEX('Form Calc'!$H:$H,$M148))</f>
        <v/>
      </c>
      <c r="D148" s="47">
        <f>IF($M148="","",INDEX('Form Calc'!$I:$I,$M148))</f>
        <v/>
      </c>
      <c r="E148" s="47">
        <f>IF($M148="","",INDEX('Form Calc'!$K:$K,$M148))</f>
        <v/>
      </c>
      <c r="F148" s="47">
        <f>IF($M148="","",INDEX('Form Calc'!$C:$C,$M148))</f>
        <v/>
      </c>
      <c r="G148" s="47">
        <f>IF($M148="","",IF(INDEX('Form Calc'!$R:$R,$M148)="","NEW","✓ yes"))</f>
        <v/>
      </c>
      <c r="H148" s="44">
        <f>IF($M148="","",INDEX('Form Calc'!$A:$A,$M148))</f>
        <v/>
      </c>
      <c r="I148" s="63">
        <f>IF($M148="","",INDEX('Form Calc'!$J:$J,$M148))</f>
        <v/>
      </c>
      <c r="J148" s="63">
        <f>IF($M148="","",INDEX('Form Calc'!$L:$L,$M148))</f>
        <v/>
      </c>
      <c r="K148" s="63">
        <f>IF($M148="","",INDEX('Form Calc'!$M:$M,$M148))</f>
        <v/>
      </c>
      <c r="L148" s="47">
        <f>IF($M148="","",INDEX('Form Calc'!$F:$F,$M148))</f>
        <v/>
      </c>
      <c r="M148" s="32">
        <f>IF(143&gt;MAX('Form Calc'!$Y$2:$Y$601),"",IFERROR(MATCH(MAX('Form Calc'!$Y$2:$Y$601)+1-143,'Form Calc'!$Z:$Z,0),""))</f>
        <v/>
      </c>
    </row>
    <row r="149">
      <c r="A149" s="62">
        <f>IF($M149="","",INDEX('Form Calc'!$B:$B,$M149))</f>
        <v/>
      </c>
      <c r="B149" s="47">
        <f>IF($M149="","",INDEX('Form Calc'!$G:$G,$M149))</f>
        <v/>
      </c>
      <c r="C149" s="47">
        <f>IF($M149="","",INDEX('Form Calc'!$H:$H,$M149))</f>
        <v/>
      </c>
      <c r="D149" s="47">
        <f>IF($M149="","",INDEX('Form Calc'!$I:$I,$M149))</f>
        <v/>
      </c>
      <c r="E149" s="47">
        <f>IF($M149="","",INDEX('Form Calc'!$K:$K,$M149))</f>
        <v/>
      </c>
      <c r="F149" s="47">
        <f>IF($M149="","",INDEX('Form Calc'!$C:$C,$M149))</f>
        <v/>
      </c>
      <c r="G149" s="47">
        <f>IF($M149="","",IF(INDEX('Form Calc'!$R:$R,$M149)="","NEW","✓ yes"))</f>
        <v/>
      </c>
      <c r="H149" s="44">
        <f>IF($M149="","",INDEX('Form Calc'!$A:$A,$M149))</f>
        <v/>
      </c>
      <c r="I149" s="63">
        <f>IF($M149="","",INDEX('Form Calc'!$J:$J,$M149))</f>
        <v/>
      </c>
      <c r="J149" s="63">
        <f>IF($M149="","",INDEX('Form Calc'!$L:$L,$M149))</f>
        <v/>
      </c>
      <c r="K149" s="63">
        <f>IF($M149="","",INDEX('Form Calc'!$M:$M,$M149))</f>
        <v/>
      </c>
      <c r="L149" s="47">
        <f>IF($M149="","",INDEX('Form Calc'!$F:$F,$M149))</f>
        <v/>
      </c>
      <c r="M149" s="32">
        <f>IF(144&gt;MAX('Form Calc'!$Y$2:$Y$601),"",IFERROR(MATCH(MAX('Form Calc'!$Y$2:$Y$601)+1-144,'Form Calc'!$Z:$Z,0),""))</f>
        <v/>
      </c>
    </row>
    <row r="150">
      <c r="A150" s="62">
        <f>IF($M150="","",INDEX('Form Calc'!$B:$B,$M150))</f>
        <v/>
      </c>
      <c r="B150" s="47">
        <f>IF($M150="","",INDEX('Form Calc'!$G:$G,$M150))</f>
        <v/>
      </c>
      <c r="C150" s="47">
        <f>IF($M150="","",INDEX('Form Calc'!$H:$H,$M150))</f>
        <v/>
      </c>
      <c r="D150" s="47">
        <f>IF($M150="","",INDEX('Form Calc'!$I:$I,$M150))</f>
        <v/>
      </c>
      <c r="E150" s="47">
        <f>IF($M150="","",INDEX('Form Calc'!$K:$K,$M150))</f>
        <v/>
      </c>
      <c r="F150" s="47">
        <f>IF($M150="","",INDEX('Form Calc'!$C:$C,$M150))</f>
        <v/>
      </c>
      <c r="G150" s="47">
        <f>IF($M150="","",IF(INDEX('Form Calc'!$R:$R,$M150)="","NEW","✓ yes"))</f>
        <v/>
      </c>
      <c r="H150" s="44">
        <f>IF($M150="","",INDEX('Form Calc'!$A:$A,$M150))</f>
        <v/>
      </c>
      <c r="I150" s="63">
        <f>IF($M150="","",INDEX('Form Calc'!$J:$J,$M150))</f>
        <v/>
      </c>
      <c r="J150" s="63">
        <f>IF($M150="","",INDEX('Form Calc'!$L:$L,$M150))</f>
        <v/>
      </c>
      <c r="K150" s="63">
        <f>IF($M150="","",INDEX('Form Calc'!$M:$M,$M150))</f>
        <v/>
      </c>
      <c r="L150" s="47">
        <f>IF($M150="","",INDEX('Form Calc'!$F:$F,$M150))</f>
        <v/>
      </c>
      <c r="M150" s="32">
        <f>IF(145&gt;MAX('Form Calc'!$Y$2:$Y$601),"",IFERROR(MATCH(MAX('Form Calc'!$Y$2:$Y$601)+1-145,'Form Calc'!$Z:$Z,0),""))</f>
        <v/>
      </c>
    </row>
    <row r="151">
      <c r="A151" s="62">
        <f>IF($M151="","",INDEX('Form Calc'!$B:$B,$M151))</f>
        <v/>
      </c>
      <c r="B151" s="47">
        <f>IF($M151="","",INDEX('Form Calc'!$G:$G,$M151))</f>
        <v/>
      </c>
      <c r="C151" s="47">
        <f>IF($M151="","",INDEX('Form Calc'!$H:$H,$M151))</f>
        <v/>
      </c>
      <c r="D151" s="47">
        <f>IF($M151="","",INDEX('Form Calc'!$I:$I,$M151))</f>
        <v/>
      </c>
      <c r="E151" s="47">
        <f>IF($M151="","",INDEX('Form Calc'!$K:$K,$M151))</f>
        <v/>
      </c>
      <c r="F151" s="47">
        <f>IF($M151="","",INDEX('Form Calc'!$C:$C,$M151))</f>
        <v/>
      </c>
      <c r="G151" s="47">
        <f>IF($M151="","",IF(INDEX('Form Calc'!$R:$R,$M151)="","NEW","✓ yes"))</f>
        <v/>
      </c>
      <c r="H151" s="44">
        <f>IF($M151="","",INDEX('Form Calc'!$A:$A,$M151))</f>
        <v/>
      </c>
      <c r="I151" s="63">
        <f>IF($M151="","",INDEX('Form Calc'!$J:$J,$M151))</f>
        <v/>
      </c>
      <c r="J151" s="63">
        <f>IF($M151="","",INDEX('Form Calc'!$L:$L,$M151))</f>
        <v/>
      </c>
      <c r="K151" s="63">
        <f>IF($M151="","",INDEX('Form Calc'!$M:$M,$M151))</f>
        <v/>
      </c>
      <c r="L151" s="47">
        <f>IF($M151="","",INDEX('Form Calc'!$F:$F,$M151))</f>
        <v/>
      </c>
      <c r="M151" s="32">
        <f>IF(146&gt;MAX('Form Calc'!$Y$2:$Y$601),"",IFERROR(MATCH(MAX('Form Calc'!$Y$2:$Y$601)+1-146,'Form Calc'!$Z:$Z,0),""))</f>
        <v/>
      </c>
    </row>
    <row r="152">
      <c r="A152" s="62">
        <f>IF($M152="","",INDEX('Form Calc'!$B:$B,$M152))</f>
        <v/>
      </c>
      <c r="B152" s="47">
        <f>IF($M152="","",INDEX('Form Calc'!$G:$G,$M152))</f>
        <v/>
      </c>
      <c r="C152" s="47">
        <f>IF($M152="","",INDEX('Form Calc'!$H:$H,$M152))</f>
        <v/>
      </c>
      <c r="D152" s="47">
        <f>IF($M152="","",INDEX('Form Calc'!$I:$I,$M152))</f>
        <v/>
      </c>
      <c r="E152" s="47">
        <f>IF($M152="","",INDEX('Form Calc'!$K:$K,$M152))</f>
        <v/>
      </c>
      <c r="F152" s="47">
        <f>IF($M152="","",INDEX('Form Calc'!$C:$C,$M152))</f>
        <v/>
      </c>
      <c r="G152" s="47">
        <f>IF($M152="","",IF(INDEX('Form Calc'!$R:$R,$M152)="","NEW","✓ yes"))</f>
        <v/>
      </c>
      <c r="H152" s="44">
        <f>IF($M152="","",INDEX('Form Calc'!$A:$A,$M152))</f>
        <v/>
      </c>
      <c r="I152" s="63">
        <f>IF($M152="","",INDEX('Form Calc'!$J:$J,$M152))</f>
        <v/>
      </c>
      <c r="J152" s="63">
        <f>IF($M152="","",INDEX('Form Calc'!$L:$L,$M152))</f>
        <v/>
      </c>
      <c r="K152" s="63">
        <f>IF($M152="","",INDEX('Form Calc'!$M:$M,$M152))</f>
        <v/>
      </c>
      <c r="L152" s="47">
        <f>IF($M152="","",INDEX('Form Calc'!$F:$F,$M152))</f>
        <v/>
      </c>
      <c r="M152" s="32">
        <f>IF(147&gt;MAX('Form Calc'!$Y$2:$Y$601),"",IFERROR(MATCH(MAX('Form Calc'!$Y$2:$Y$601)+1-147,'Form Calc'!$Z:$Z,0),""))</f>
        <v/>
      </c>
    </row>
    <row r="153">
      <c r="A153" s="62">
        <f>IF($M153="","",INDEX('Form Calc'!$B:$B,$M153))</f>
        <v/>
      </c>
      <c r="B153" s="47">
        <f>IF($M153="","",INDEX('Form Calc'!$G:$G,$M153))</f>
        <v/>
      </c>
      <c r="C153" s="47">
        <f>IF($M153="","",INDEX('Form Calc'!$H:$H,$M153))</f>
        <v/>
      </c>
      <c r="D153" s="47">
        <f>IF($M153="","",INDEX('Form Calc'!$I:$I,$M153))</f>
        <v/>
      </c>
      <c r="E153" s="47">
        <f>IF($M153="","",INDEX('Form Calc'!$K:$K,$M153))</f>
        <v/>
      </c>
      <c r="F153" s="47">
        <f>IF($M153="","",INDEX('Form Calc'!$C:$C,$M153))</f>
        <v/>
      </c>
      <c r="G153" s="47">
        <f>IF($M153="","",IF(INDEX('Form Calc'!$R:$R,$M153)="","NEW","✓ yes"))</f>
        <v/>
      </c>
      <c r="H153" s="44">
        <f>IF($M153="","",INDEX('Form Calc'!$A:$A,$M153))</f>
        <v/>
      </c>
      <c r="I153" s="63">
        <f>IF($M153="","",INDEX('Form Calc'!$J:$J,$M153))</f>
        <v/>
      </c>
      <c r="J153" s="63">
        <f>IF($M153="","",INDEX('Form Calc'!$L:$L,$M153))</f>
        <v/>
      </c>
      <c r="K153" s="63">
        <f>IF($M153="","",INDEX('Form Calc'!$M:$M,$M153))</f>
        <v/>
      </c>
      <c r="L153" s="47">
        <f>IF($M153="","",INDEX('Form Calc'!$F:$F,$M153))</f>
        <v/>
      </c>
      <c r="M153" s="32">
        <f>IF(148&gt;MAX('Form Calc'!$Y$2:$Y$601),"",IFERROR(MATCH(MAX('Form Calc'!$Y$2:$Y$601)+1-148,'Form Calc'!$Z:$Z,0),""))</f>
        <v/>
      </c>
    </row>
    <row r="154">
      <c r="A154" s="62">
        <f>IF($M154="","",INDEX('Form Calc'!$B:$B,$M154))</f>
        <v/>
      </c>
      <c r="B154" s="47">
        <f>IF($M154="","",INDEX('Form Calc'!$G:$G,$M154))</f>
        <v/>
      </c>
      <c r="C154" s="47">
        <f>IF($M154="","",INDEX('Form Calc'!$H:$H,$M154))</f>
        <v/>
      </c>
      <c r="D154" s="47">
        <f>IF($M154="","",INDEX('Form Calc'!$I:$I,$M154))</f>
        <v/>
      </c>
      <c r="E154" s="47">
        <f>IF($M154="","",INDEX('Form Calc'!$K:$K,$M154))</f>
        <v/>
      </c>
      <c r="F154" s="47">
        <f>IF($M154="","",INDEX('Form Calc'!$C:$C,$M154))</f>
        <v/>
      </c>
      <c r="G154" s="47">
        <f>IF($M154="","",IF(INDEX('Form Calc'!$R:$R,$M154)="","NEW","✓ yes"))</f>
        <v/>
      </c>
      <c r="H154" s="44">
        <f>IF($M154="","",INDEX('Form Calc'!$A:$A,$M154))</f>
        <v/>
      </c>
      <c r="I154" s="63">
        <f>IF($M154="","",INDEX('Form Calc'!$J:$J,$M154))</f>
        <v/>
      </c>
      <c r="J154" s="63">
        <f>IF($M154="","",INDEX('Form Calc'!$L:$L,$M154))</f>
        <v/>
      </c>
      <c r="K154" s="63">
        <f>IF($M154="","",INDEX('Form Calc'!$M:$M,$M154))</f>
        <v/>
      </c>
      <c r="L154" s="47">
        <f>IF($M154="","",INDEX('Form Calc'!$F:$F,$M154))</f>
        <v/>
      </c>
      <c r="M154" s="32">
        <f>IF(149&gt;MAX('Form Calc'!$Y$2:$Y$601),"",IFERROR(MATCH(MAX('Form Calc'!$Y$2:$Y$601)+1-149,'Form Calc'!$Z:$Z,0),""))</f>
        <v/>
      </c>
    </row>
    <row r="155">
      <c r="A155" s="62">
        <f>IF($M155="","",INDEX('Form Calc'!$B:$B,$M155))</f>
        <v/>
      </c>
      <c r="B155" s="47">
        <f>IF($M155="","",INDEX('Form Calc'!$G:$G,$M155))</f>
        <v/>
      </c>
      <c r="C155" s="47">
        <f>IF($M155="","",INDEX('Form Calc'!$H:$H,$M155))</f>
        <v/>
      </c>
      <c r="D155" s="47">
        <f>IF($M155="","",INDEX('Form Calc'!$I:$I,$M155))</f>
        <v/>
      </c>
      <c r="E155" s="47">
        <f>IF($M155="","",INDEX('Form Calc'!$K:$K,$M155))</f>
        <v/>
      </c>
      <c r="F155" s="47">
        <f>IF($M155="","",INDEX('Form Calc'!$C:$C,$M155))</f>
        <v/>
      </c>
      <c r="G155" s="47">
        <f>IF($M155="","",IF(INDEX('Form Calc'!$R:$R,$M155)="","NEW","✓ yes"))</f>
        <v/>
      </c>
      <c r="H155" s="44">
        <f>IF($M155="","",INDEX('Form Calc'!$A:$A,$M155))</f>
        <v/>
      </c>
      <c r="I155" s="63">
        <f>IF($M155="","",INDEX('Form Calc'!$J:$J,$M155))</f>
        <v/>
      </c>
      <c r="J155" s="63">
        <f>IF($M155="","",INDEX('Form Calc'!$L:$L,$M155))</f>
        <v/>
      </c>
      <c r="K155" s="63">
        <f>IF($M155="","",INDEX('Form Calc'!$M:$M,$M155))</f>
        <v/>
      </c>
      <c r="L155" s="47">
        <f>IF($M155="","",INDEX('Form Calc'!$F:$F,$M155))</f>
        <v/>
      </c>
      <c r="M155" s="32">
        <f>IF(150&gt;MAX('Form Calc'!$Y$2:$Y$601),"",IFERROR(MATCH(MAX('Form Calc'!$Y$2:$Y$601)+1-150,'Form Calc'!$Z:$Z,0),""))</f>
        <v/>
      </c>
    </row>
    <row r="156">
      <c r="A156" s="62">
        <f>IF($M156="","",INDEX('Form Calc'!$B:$B,$M156))</f>
        <v/>
      </c>
      <c r="B156" s="47">
        <f>IF($M156="","",INDEX('Form Calc'!$G:$G,$M156))</f>
        <v/>
      </c>
      <c r="C156" s="47">
        <f>IF($M156="","",INDEX('Form Calc'!$H:$H,$M156))</f>
        <v/>
      </c>
      <c r="D156" s="47">
        <f>IF($M156="","",INDEX('Form Calc'!$I:$I,$M156))</f>
        <v/>
      </c>
      <c r="E156" s="47">
        <f>IF($M156="","",INDEX('Form Calc'!$K:$K,$M156))</f>
        <v/>
      </c>
      <c r="F156" s="47">
        <f>IF($M156="","",INDEX('Form Calc'!$C:$C,$M156))</f>
        <v/>
      </c>
      <c r="G156" s="47">
        <f>IF($M156="","",IF(INDEX('Form Calc'!$R:$R,$M156)="","NEW","✓ yes"))</f>
        <v/>
      </c>
      <c r="H156" s="44">
        <f>IF($M156="","",INDEX('Form Calc'!$A:$A,$M156))</f>
        <v/>
      </c>
      <c r="I156" s="63">
        <f>IF($M156="","",INDEX('Form Calc'!$J:$J,$M156))</f>
        <v/>
      </c>
      <c r="J156" s="63">
        <f>IF($M156="","",INDEX('Form Calc'!$L:$L,$M156))</f>
        <v/>
      </c>
      <c r="K156" s="63">
        <f>IF($M156="","",INDEX('Form Calc'!$M:$M,$M156))</f>
        <v/>
      </c>
      <c r="L156" s="47">
        <f>IF($M156="","",INDEX('Form Calc'!$F:$F,$M156))</f>
        <v/>
      </c>
      <c r="M156" s="32">
        <f>IF(151&gt;MAX('Form Calc'!$Y$2:$Y$601),"",IFERROR(MATCH(MAX('Form Calc'!$Y$2:$Y$601)+1-151,'Form Calc'!$Z:$Z,0),""))</f>
        <v/>
      </c>
    </row>
    <row r="157">
      <c r="A157" s="62">
        <f>IF($M157="","",INDEX('Form Calc'!$B:$B,$M157))</f>
        <v/>
      </c>
      <c r="B157" s="47">
        <f>IF($M157="","",INDEX('Form Calc'!$G:$G,$M157))</f>
        <v/>
      </c>
      <c r="C157" s="47">
        <f>IF($M157="","",INDEX('Form Calc'!$H:$H,$M157))</f>
        <v/>
      </c>
      <c r="D157" s="47">
        <f>IF($M157="","",INDEX('Form Calc'!$I:$I,$M157))</f>
        <v/>
      </c>
      <c r="E157" s="47">
        <f>IF($M157="","",INDEX('Form Calc'!$K:$K,$M157))</f>
        <v/>
      </c>
      <c r="F157" s="47">
        <f>IF($M157="","",INDEX('Form Calc'!$C:$C,$M157))</f>
        <v/>
      </c>
      <c r="G157" s="47">
        <f>IF($M157="","",IF(INDEX('Form Calc'!$R:$R,$M157)="","NEW","✓ yes"))</f>
        <v/>
      </c>
      <c r="H157" s="44">
        <f>IF($M157="","",INDEX('Form Calc'!$A:$A,$M157))</f>
        <v/>
      </c>
      <c r="I157" s="63">
        <f>IF($M157="","",INDEX('Form Calc'!$J:$J,$M157))</f>
        <v/>
      </c>
      <c r="J157" s="63">
        <f>IF($M157="","",INDEX('Form Calc'!$L:$L,$M157))</f>
        <v/>
      </c>
      <c r="K157" s="63">
        <f>IF($M157="","",INDEX('Form Calc'!$M:$M,$M157))</f>
        <v/>
      </c>
      <c r="L157" s="47">
        <f>IF($M157="","",INDEX('Form Calc'!$F:$F,$M157))</f>
        <v/>
      </c>
      <c r="M157" s="32">
        <f>IF(152&gt;MAX('Form Calc'!$Y$2:$Y$601),"",IFERROR(MATCH(MAX('Form Calc'!$Y$2:$Y$601)+1-152,'Form Calc'!$Z:$Z,0),""))</f>
        <v/>
      </c>
    </row>
    <row r="158">
      <c r="A158" s="62">
        <f>IF($M158="","",INDEX('Form Calc'!$B:$B,$M158))</f>
        <v/>
      </c>
      <c r="B158" s="47">
        <f>IF($M158="","",INDEX('Form Calc'!$G:$G,$M158))</f>
        <v/>
      </c>
      <c r="C158" s="47">
        <f>IF($M158="","",INDEX('Form Calc'!$H:$H,$M158))</f>
        <v/>
      </c>
      <c r="D158" s="47">
        <f>IF($M158="","",INDEX('Form Calc'!$I:$I,$M158))</f>
        <v/>
      </c>
      <c r="E158" s="47">
        <f>IF($M158="","",INDEX('Form Calc'!$K:$K,$M158))</f>
        <v/>
      </c>
      <c r="F158" s="47">
        <f>IF($M158="","",INDEX('Form Calc'!$C:$C,$M158))</f>
        <v/>
      </c>
      <c r="G158" s="47">
        <f>IF($M158="","",IF(INDEX('Form Calc'!$R:$R,$M158)="","NEW","✓ yes"))</f>
        <v/>
      </c>
      <c r="H158" s="44">
        <f>IF($M158="","",INDEX('Form Calc'!$A:$A,$M158))</f>
        <v/>
      </c>
      <c r="I158" s="63">
        <f>IF($M158="","",INDEX('Form Calc'!$J:$J,$M158))</f>
        <v/>
      </c>
      <c r="J158" s="63">
        <f>IF($M158="","",INDEX('Form Calc'!$L:$L,$M158))</f>
        <v/>
      </c>
      <c r="K158" s="63">
        <f>IF($M158="","",INDEX('Form Calc'!$M:$M,$M158))</f>
        <v/>
      </c>
      <c r="L158" s="47">
        <f>IF($M158="","",INDEX('Form Calc'!$F:$F,$M158))</f>
        <v/>
      </c>
      <c r="M158" s="32">
        <f>IF(153&gt;MAX('Form Calc'!$Y$2:$Y$601),"",IFERROR(MATCH(MAX('Form Calc'!$Y$2:$Y$601)+1-153,'Form Calc'!$Z:$Z,0),""))</f>
        <v/>
      </c>
    </row>
    <row r="159">
      <c r="A159" s="62">
        <f>IF($M159="","",INDEX('Form Calc'!$B:$B,$M159))</f>
        <v/>
      </c>
      <c r="B159" s="47">
        <f>IF($M159="","",INDEX('Form Calc'!$G:$G,$M159))</f>
        <v/>
      </c>
      <c r="C159" s="47">
        <f>IF($M159="","",INDEX('Form Calc'!$H:$H,$M159))</f>
        <v/>
      </c>
      <c r="D159" s="47">
        <f>IF($M159="","",INDEX('Form Calc'!$I:$I,$M159))</f>
        <v/>
      </c>
      <c r="E159" s="47">
        <f>IF($M159="","",INDEX('Form Calc'!$K:$K,$M159))</f>
        <v/>
      </c>
      <c r="F159" s="47">
        <f>IF($M159="","",INDEX('Form Calc'!$C:$C,$M159))</f>
        <v/>
      </c>
      <c r="G159" s="47">
        <f>IF($M159="","",IF(INDEX('Form Calc'!$R:$R,$M159)="","NEW","✓ yes"))</f>
        <v/>
      </c>
      <c r="H159" s="44">
        <f>IF($M159="","",INDEX('Form Calc'!$A:$A,$M159))</f>
        <v/>
      </c>
      <c r="I159" s="63">
        <f>IF($M159="","",INDEX('Form Calc'!$J:$J,$M159))</f>
        <v/>
      </c>
      <c r="J159" s="63">
        <f>IF($M159="","",INDEX('Form Calc'!$L:$L,$M159))</f>
        <v/>
      </c>
      <c r="K159" s="63">
        <f>IF($M159="","",INDEX('Form Calc'!$M:$M,$M159))</f>
        <v/>
      </c>
      <c r="L159" s="47">
        <f>IF($M159="","",INDEX('Form Calc'!$F:$F,$M159))</f>
        <v/>
      </c>
      <c r="M159" s="32">
        <f>IF(154&gt;MAX('Form Calc'!$Y$2:$Y$601),"",IFERROR(MATCH(MAX('Form Calc'!$Y$2:$Y$601)+1-154,'Form Calc'!$Z:$Z,0),""))</f>
        <v/>
      </c>
    </row>
    <row r="160">
      <c r="A160" s="62">
        <f>IF($M160="","",INDEX('Form Calc'!$B:$B,$M160))</f>
        <v/>
      </c>
      <c r="B160" s="47">
        <f>IF($M160="","",INDEX('Form Calc'!$G:$G,$M160))</f>
        <v/>
      </c>
      <c r="C160" s="47">
        <f>IF($M160="","",INDEX('Form Calc'!$H:$H,$M160))</f>
        <v/>
      </c>
      <c r="D160" s="47">
        <f>IF($M160="","",INDEX('Form Calc'!$I:$I,$M160))</f>
        <v/>
      </c>
      <c r="E160" s="47">
        <f>IF($M160="","",INDEX('Form Calc'!$K:$K,$M160))</f>
        <v/>
      </c>
      <c r="F160" s="47">
        <f>IF($M160="","",INDEX('Form Calc'!$C:$C,$M160))</f>
        <v/>
      </c>
      <c r="G160" s="47">
        <f>IF($M160="","",IF(INDEX('Form Calc'!$R:$R,$M160)="","NEW","✓ yes"))</f>
        <v/>
      </c>
      <c r="H160" s="44">
        <f>IF($M160="","",INDEX('Form Calc'!$A:$A,$M160))</f>
        <v/>
      </c>
      <c r="I160" s="63">
        <f>IF($M160="","",INDEX('Form Calc'!$J:$J,$M160))</f>
        <v/>
      </c>
      <c r="J160" s="63">
        <f>IF($M160="","",INDEX('Form Calc'!$L:$L,$M160))</f>
        <v/>
      </c>
      <c r="K160" s="63">
        <f>IF($M160="","",INDEX('Form Calc'!$M:$M,$M160))</f>
        <v/>
      </c>
      <c r="L160" s="47">
        <f>IF($M160="","",INDEX('Form Calc'!$F:$F,$M160))</f>
        <v/>
      </c>
      <c r="M160" s="32">
        <f>IF(155&gt;MAX('Form Calc'!$Y$2:$Y$601),"",IFERROR(MATCH(MAX('Form Calc'!$Y$2:$Y$601)+1-155,'Form Calc'!$Z:$Z,0),""))</f>
        <v/>
      </c>
    </row>
    <row r="161">
      <c r="A161" s="62">
        <f>IF($M161="","",INDEX('Form Calc'!$B:$B,$M161))</f>
        <v/>
      </c>
      <c r="B161" s="47">
        <f>IF($M161="","",INDEX('Form Calc'!$G:$G,$M161))</f>
        <v/>
      </c>
      <c r="C161" s="47">
        <f>IF($M161="","",INDEX('Form Calc'!$H:$H,$M161))</f>
        <v/>
      </c>
      <c r="D161" s="47">
        <f>IF($M161="","",INDEX('Form Calc'!$I:$I,$M161))</f>
        <v/>
      </c>
      <c r="E161" s="47">
        <f>IF($M161="","",INDEX('Form Calc'!$K:$K,$M161))</f>
        <v/>
      </c>
      <c r="F161" s="47">
        <f>IF($M161="","",INDEX('Form Calc'!$C:$C,$M161))</f>
        <v/>
      </c>
      <c r="G161" s="47">
        <f>IF($M161="","",IF(INDEX('Form Calc'!$R:$R,$M161)="","NEW","✓ yes"))</f>
        <v/>
      </c>
      <c r="H161" s="44">
        <f>IF($M161="","",INDEX('Form Calc'!$A:$A,$M161))</f>
        <v/>
      </c>
      <c r="I161" s="63">
        <f>IF($M161="","",INDEX('Form Calc'!$J:$J,$M161))</f>
        <v/>
      </c>
      <c r="J161" s="63">
        <f>IF($M161="","",INDEX('Form Calc'!$L:$L,$M161))</f>
        <v/>
      </c>
      <c r="K161" s="63">
        <f>IF($M161="","",INDEX('Form Calc'!$M:$M,$M161))</f>
        <v/>
      </c>
      <c r="L161" s="47">
        <f>IF($M161="","",INDEX('Form Calc'!$F:$F,$M161))</f>
        <v/>
      </c>
      <c r="M161" s="32">
        <f>IF(156&gt;MAX('Form Calc'!$Y$2:$Y$601),"",IFERROR(MATCH(MAX('Form Calc'!$Y$2:$Y$601)+1-156,'Form Calc'!$Z:$Z,0),""))</f>
        <v/>
      </c>
    </row>
    <row r="162">
      <c r="A162" s="62">
        <f>IF($M162="","",INDEX('Form Calc'!$B:$B,$M162))</f>
        <v/>
      </c>
      <c r="B162" s="47">
        <f>IF($M162="","",INDEX('Form Calc'!$G:$G,$M162))</f>
        <v/>
      </c>
      <c r="C162" s="47">
        <f>IF($M162="","",INDEX('Form Calc'!$H:$H,$M162))</f>
        <v/>
      </c>
      <c r="D162" s="47">
        <f>IF($M162="","",INDEX('Form Calc'!$I:$I,$M162))</f>
        <v/>
      </c>
      <c r="E162" s="47">
        <f>IF($M162="","",INDEX('Form Calc'!$K:$K,$M162))</f>
        <v/>
      </c>
      <c r="F162" s="47">
        <f>IF($M162="","",INDEX('Form Calc'!$C:$C,$M162))</f>
        <v/>
      </c>
      <c r="G162" s="47">
        <f>IF($M162="","",IF(INDEX('Form Calc'!$R:$R,$M162)="","NEW","✓ yes"))</f>
        <v/>
      </c>
      <c r="H162" s="44">
        <f>IF($M162="","",INDEX('Form Calc'!$A:$A,$M162))</f>
        <v/>
      </c>
      <c r="I162" s="63">
        <f>IF($M162="","",INDEX('Form Calc'!$J:$J,$M162))</f>
        <v/>
      </c>
      <c r="J162" s="63">
        <f>IF($M162="","",INDEX('Form Calc'!$L:$L,$M162))</f>
        <v/>
      </c>
      <c r="K162" s="63">
        <f>IF($M162="","",INDEX('Form Calc'!$M:$M,$M162))</f>
        <v/>
      </c>
      <c r="L162" s="47">
        <f>IF($M162="","",INDEX('Form Calc'!$F:$F,$M162))</f>
        <v/>
      </c>
      <c r="M162" s="32">
        <f>IF(157&gt;MAX('Form Calc'!$Y$2:$Y$601),"",IFERROR(MATCH(MAX('Form Calc'!$Y$2:$Y$601)+1-157,'Form Calc'!$Z:$Z,0),""))</f>
        <v/>
      </c>
    </row>
    <row r="163">
      <c r="A163" s="62">
        <f>IF($M163="","",INDEX('Form Calc'!$B:$B,$M163))</f>
        <v/>
      </c>
      <c r="B163" s="47">
        <f>IF($M163="","",INDEX('Form Calc'!$G:$G,$M163))</f>
        <v/>
      </c>
      <c r="C163" s="47">
        <f>IF($M163="","",INDEX('Form Calc'!$H:$H,$M163))</f>
        <v/>
      </c>
      <c r="D163" s="47">
        <f>IF($M163="","",INDEX('Form Calc'!$I:$I,$M163))</f>
        <v/>
      </c>
      <c r="E163" s="47">
        <f>IF($M163="","",INDEX('Form Calc'!$K:$K,$M163))</f>
        <v/>
      </c>
      <c r="F163" s="47">
        <f>IF($M163="","",INDEX('Form Calc'!$C:$C,$M163))</f>
        <v/>
      </c>
      <c r="G163" s="47">
        <f>IF($M163="","",IF(INDEX('Form Calc'!$R:$R,$M163)="","NEW","✓ yes"))</f>
        <v/>
      </c>
      <c r="H163" s="44">
        <f>IF($M163="","",INDEX('Form Calc'!$A:$A,$M163))</f>
        <v/>
      </c>
      <c r="I163" s="63">
        <f>IF($M163="","",INDEX('Form Calc'!$J:$J,$M163))</f>
        <v/>
      </c>
      <c r="J163" s="63">
        <f>IF($M163="","",INDEX('Form Calc'!$L:$L,$M163))</f>
        <v/>
      </c>
      <c r="K163" s="63">
        <f>IF($M163="","",INDEX('Form Calc'!$M:$M,$M163))</f>
        <v/>
      </c>
      <c r="L163" s="47">
        <f>IF($M163="","",INDEX('Form Calc'!$F:$F,$M163))</f>
        <v/>
      </c>
      <c r="M163" s="32">
        <f>IF(158&gt;MAX('Form Calc'!$Y$2:$Y$601),"",IFERROR(MATCH(MAX('Form Calc'!$Y$2:$Y$601)+1-158,'Form Calc'!$Z:$Z,0),""))</f>
        <v/>
      </c>
    </row>
    <row r="164">
      <c r="A164" s="62">
        <f>IF($M164="","",INDEX('Form Calc'!$B:$B,$M164))</f>
        <v/>
      </c>
      <c r="B164" s="47">
        <f>IF($M164="","",INDEX('Form Calc'!$G:$G,$M164))</f>
        <v/>
      </c>
      <c r="C164" s="47">
        <f>IF($M164="","",INDEX('Form Calc'!$H:$H,$M164))</f>
        <v/>
      </c>
      <c r="D164" s="47">
        <f>IF($M164="","",INDEX('Form Calc'!$I:$I,$M164))</f>
        <v/>
      </c>
      <c r="E164" s="47">
        <f>IF($M164="","",INDEX('Form Calc'!$K:$K,$M164))</f>
        <v/>
      </c>
      <c r="F164" s="47">
        <f>IF($M164="","",INDEX('Form Calc'!$C:$C,$M164))</f>
        <v/>
      </c>
      <c r="G164" s="47">
        <f>IF($M164="","",IF(INDEX('Form Calc'!$R:$R,$M164)="","NEW","✓ yes"))</f>
        <v/>
      </c>
      <c r="H164" s="44">
        <f>IF($M164="","",INDEX('Form Calc'!$A:$A,$M164))</f>
        <v/>
      </c>
      <c r="I164" s="63">
        <f>IF($M164="","",INDEX('Form Calc'!$J:$J,$M164))</f>
        <v/>
      </c>
      <c r="J164" s="63">
        <f>IF($M164="","",INDEX('Form Calc'!$L:$L,$M164))</f>
        <v/>
      </c>
      <c r="K164" s="63">
        <f>IF($M164="","",INDEX('Form Calc'!$M:$M,$M164))</f>
        <v/>
      </c>
      <c r="L164" s="47">
        <f>IF($M164="","",INDEX('Form Calc'!$F:$F,$M164))</f>
        <v/>
      </c>
      <c r="M164" s="32">
        <f>IF(159&gt;MAX('Form Calc'!$Y$2:$Y$601),"",IFERROR(MATCH(MAX('Form Calc'!$Y$2:$Y$601)+1-159,'Form Calc'!$Z:$Z,0),""))</f>
        <v/>
      </c>
    </row>
    <row r="165">
      <c r="A165" s="62">
        <f>IF($M165="","",INDEX('Form Calc'!$B:$B,$M165))</f>
        <v/>
      </c>
      <c r="B165" s="47">
        <f>IF($M165="","",INDEX('Form Calc'!$G:$G,$M165))</f>
        <v/>
      </c>
      <c r="C165" s="47">
        <f>IF($M165="","",INDEX('Form Calc'!$H:$H,$M165))</f>
        <v/>
      </c>
      <c r="D165" s="47">
        <f>IF($M165="","",INDEX('Form Calc'!$I:$I,$M165))</f>
        <v/>
      </c>
      <c r="E165" s="47">
        <f>IF($M165="","",INDEX('Form Calc'!$K:$K,$M165))</f>
        <v/>
      </c>
      <c r="F165" s="47">
        <f>IF($M165="","",INDEX('Form Calc'!$C:$C,$M165))</f>
        <v/>
      </c>
      <c r="G165" s="47">
        <f>IF($M165="","",IF(INDEX('Form Calc'!$R:$R,$M165)="","NEW","✓ yes"))</f>
        <v/>
      </c>
      <c r="H165" s="44">
        <f>IF($M165="","",INDEX('Form Calc'!$A:$A,$M165))</f>
        <v/>
      </c>
      <c r="I165" s="63">
        <f>IF($M165="","",INDEX('Form Calc'!$J:$J,$M165))</f>
        <v/>
      </c>
      <c r="J165" s="63">
        <f>IF($M165="","",INDEX('Form Calc'!$L:$L,$M165))</f>
        <v/>
      </c>
      <c r="K165" s="63">
        <f>IF($M165="","",INDEX('Form Calc'!$M:$M,$M165))</f>
        <v/>
      </c>
      <c r="L165" s="47">
        <f>IF($M165="","",INDEX('Form Calc'!$F:$F,$M165))</f>
        <v/>
      </c>
      <c r="M165" s="32">
        <f>IF(160&gt;MAX('Form Calc'!$Y$2:$Y$601),"",IFERROR(MATCH(MAX('Form Calc'!$Y$2:$Y$601)+1-160,'Form Calc'!$Z:$Z,0),""))</f>
        <v/>
      </c>
    </row>
    <row r="166">
      <c r="A166" s="62">
        <f>IF($M166="","",INDEX('Form Calc'!$B:$B,$M166))</f>
        <v/>
      </c>
      <c r="B166" s="47">
        <f>IF($M166="","",INDEX('Form Calc'!$G:$G,$M166))</f>
        <v/>
      </c>
      <c r="C166" s="47">
        <f>IF($M166="","",INDEX('Form Calc'!$H:$H,$M166))</f>
        <v/>
      </c>
      <c r="D166" s="47">
        <f>IF($M166="","",INDEX('Form Calc'!$I:$I,$M166))</f>
        <v/>
      </c>
      <c r="E166" s="47">
        <f>IF($M166="","",INDEX('Form Calc'!$K:$K,$M166))</f>
        <v/>
      </c>
      <c r="F166" s="47">
        <f>IF($M166="","",INDEX('Form Calc'!$C:$C,$M166))</f>
        <v/>
      </c>
      <c r="G166" s="47">
        <f>IF($M166="","",IF(INDEX('Form Calc'!$R:$R,$M166)="","NEW","✓ yes"))</f>
        <v/>
      </c>
      <c r="H166" s="44">
        <f>IF($M166="","",INDEX('Form Calc'!$A:$A,$M166))</f>
        <v/>
      </c>
      <c r="I166" s="63">
        <f>IF($M166="","",INDEX('Form Calc'!$J:$J,$M166))</f>
        <v/>
      </c>
      <c r="J166" s="63">
        <f>IF($M166="","",INDEX('Form Calc'!$L:$L,$M166))</f>
        <v/>
      </c>
      <c r="K166" s="63">
        <f>IF($M166="","",INDEX('Form Calc'!$M:$M,$M166))</f>
        <v/>
      </c>
      <c r="L166" s="47">
        <f>IF($M166="","",INDEX('Form Calc'!$F:$F,$M166))</f>
        <v/>
      </c>
      <c r="M166" s="32">
        <f>IF(161&gt;MAX('Form Calc'!$Y$2:$Y$601),"",IFERROR(MATCH(MAX('Form Calc'!$Y$2:$Y$601)+1-161,'Form Calc'!$Z:$Z,0),""))</f>
        <v/>
      </c>
    </row>
    <row r="167">
      <c r="A167" s="62">
        <f>IF($M167="","",INDEX('Form Calc'!$B:$B,$M167))</f>
        <v/>
      </c>
      <c r="B167" s="47">
        <f>IF($M167="","",INDEX('Form Calc'!$G:$G,$M167))</f>
        <v/>
      </c>
      <c r="C167" s="47">
        <f>IF($M167="","",INDEX('Form Calc'!$H:$H,$M167))</f>
        <v/>
      </c>
      <c r="D167" s="47">
        <f>IF($M167="","",INDEX('Form Calc'!$I:$I,$M167))</f>
        <v/>
      </c>
      <c r="E167" s="47">
        <f>IF($M167="","",INDEX('Form Calc'!$K:$K,$M167))</f>
        <v/>
      </c>
      <c r="F167" s="47">
        <f>IF($M167="","",INDEX('Form Calc'!$C:$C,$M167))</f>
        <v/>
      </c>
      <c r="G167" s="47">
        <f>IF($M167="","",IF(INDEX('Form Calc'!$R:$R,$M167)="","NEW","✓ yes"))</f>
        <v/>
      </c>
      <c r="H167" s="44">
        <f>IF($M167="","",INDEX('Form Calc'!$A:$A,$M167))</f>
        <v/>
      </c>
      <c r="I167" s="63">
        <f>IF($M167="","",INDEX('Form Calc'!$J:$J,$M167))</f>
        <v/>
      </c>
      <c r="J167" s="63">
        <f>IF($M167="","",INDEX('Form Calc'!$L:$L,$M167))</f>
        <v/>
      </c>
      <c r="K167" s="63">
        <f>IF($M167="","",INDEX('Form Calc'!$M:$M,$M167))</f>
        <v/>
      </c>
      <c r="L167" s="47">
        <f>IF($M167="","",INDEX('Form Calc'!$F:$F,$M167))</f>
        <v/>
      </c>
      <c r="M167" s="32">
        <f>IF(162&gt;MAX('Form Calc'!$Y$2:$Y$601),"",IFERROR(MATCH(MAX('Form Calc'!$Y$2:$Y$601)+1-162,'Form Calc'!$Z:$Z,0),""))</f>
        <v/>
      </c>
    </row>
    <row r="168">
      <c r="A168" s="62">
        <f>IF($M168="","",INDEX('Form Calc'!$B:$B,$M168))</f>
        <v/>
      </c>
      <c r="B168" s="47">
        <f>IF($M168="","",INDEX('Form Calc'!$G:$G,$M168))</f>
        <v/>
      </c>
      <c r="C168" s="47">
        <f>IF($M168="","",INDEX('Form Calc'!$H:$H,$M168))</f>
        <v/>
      </c>
      <c r="D168" s="47">
        <f>IF($M168="","",INDEX('Form Calc'!$I:$I,$M168))</f>
        <v/>
      </c>
      <c r="E168" s="47">
        <f>IF($M168="","",INDEX('Form Calc'!$K:$K,$M168))</f>
        <v/>
      </c>
      <c r="F168" s="47">
        <f>IF($M168="","",INDEX('Form Calc'!$C:$C,$M168))</f>
        <v/>
      </c>
      <c r="G168" s="47">
        <f>IF($M168="","",IF(INDEX('Form Calc'!$R:$R,$M168)="","NEW","✓ yes"))</f>
        <v/>
      </c>
      <c r="H168" s="44">
        <f>IF($M168="","",INDEX('Form Calc'!$A:$A,$M168))</f>
        <v/>
      </c>
      <c r="I168" s="63">
        <f>IF($M168="","",INDEX('Form Calc'!$J:$J,$M168))</f>
        <v/>
      </c>
      <c r="J168" s="63">
        <f>IF($M168="","",INDEX('Form Calc'!$L:$L,$M168))</f>
        <v/>
      </c>
      <c r="K168" s="63">
        <f>IF($M168="","",INDEX('Form Calc'!$M:$M,$M168))</f>
        <v/>
      </c>
      <c r="L168" s="47">
        <f>IF($M168="","",INDEX('Form Calc'!$F:$F,$M168))</f>
        <v/>
      </c>
      <c r="M168" s="32">
        <f>IF(163&gt;MAX('Form Calc'!$Y$2:$Y$601),"",IFERROR(MATCH(MAX('Form Calc'!$Y$2:$Y$601)+1-163,'Form Calc'!$Z:$Z,0),""))</f>
        <v/>
      </c>
    </row>
    <row r="169">
      <c r="A169" s="62">
        <f>IF($M169="","",INDEX('Form Calc'!$B:$B,$M169))</f>
        <v/>
      </c>
      <c r="B169" s="47">
        <f>IF($M169="","",INDEX('Form Calc'!$G:$G,$M169))</f>
        <v/>
      </c>
      <c r="C169" s="47">
        <f>IF($M169="","",INDEX('Form Calc'!$H:$H,$M169))</f>
        <v/>
      </c>
      <c r="D169" s="47">
        <f>IF($M169="","",INDEX('Form Calc'!$I:$I,$M169))</f>
        <v/>
      </c>
      <c r="E169" s="47">
        <f>IF($M169="","",INDEX('Form Calc'!$K:$K,$M169))</f>
        <v/>
      </c>
      <c r="F169" s="47">
        <f>IF($M169="","",INDEX('Form Calc'!$C:$C,$M169))</f>
        <v/>
      </c>
      <c r="G169" s="47">
        <f>IF($M169="","",IF(INDEX('Form Calc'!$R:$R,$M169)="","NEW","✓ yes"))</f>
        <v/>
      </c>
      <c r="H169" s="44">
        <f>IF($M169="","",INDEX('Form Calc'!$A:$A,$M169))</f>
        <v/>
      </c>
      <c r="I169" s="63">
        <f>IF($M169="","",INDEX('Form Calc'!$J:$J,$M169))</f>
        <v/>
      </c>
      <c r="J169" s="63">
        <f>IF($M169="","",INDEX('Form Calc'!$L:$L,$M169))</f>
        <v/>
      </c>
      <c r="K169" s="63">
        <f>IF($M169="","",INDEX('Form Calc'!$M:$M,$M169))</f>
        <v/>
      </c>
      <c r="L169" s="47">
        <f>IF($M169="","",INDEX('Form Calc'!$F:$F,$M169))</f>
        <v/>
      </c>
      <c r="M169" s="32">
        <f>IF(164&gt;MAX('Form Calc'!$Y$2:$Y$601),"",IFERROR(MATCH(MAX('Form Calc'!$Y$2:$Y$601)+1-164,'Form Calc'!$Z:$Z,0),""))</f>
        <v/>
      </c>
    </row>
    <row r="170">
      <c r="A170" s="62">
        <f>IF($M170="","",INDEX('Form Calc'!$B:$B,$M170))</f>
        <v/>
      </c>
      <c r="B170" s="47">
        <f>IF($M170="","",INDEX('Form Calc'!$G:$G,$M170))</f>
        <v/>
      </c>
      <c r="C170" s="47">
        <f>IF($M170="","",INDEX('Form Calc'!$H:$H,$M170))</f>
        <v/>
      </c>
      <c r="D170" s="47">
        <f>IF($M170="","",INDEX('Form Calc'!$I:$I,$M170))</f>
        <v/>
      </c>
      <c r="E170" s="47">
        <f>IF($M170="","",INDEX('Form Calc'!$K:$K,$M170))</f>
        <v/>
      </c>
      <c r="F170" s="47">
        <f>IF($M170="","",INDEX('Form Calc'!$C:$C,$M170))</f>
        <v/>
      </c>
      <c r="G170" s="47">
        <f>IF($M170="","",IF(INDEX('Form Calc'!$R:$R,$M170)="","NEW","✓ yes"))</f>
        <v/>
      </c>
      <c r="H170" s="44">
        <f>IF($M170="","",INDEX('Form Calc'!$A:$A,$M170))</f>
        <v/>
      </c>
      <c r="I170" s="63">
        <f>IF($M170="","",INDEX('Form Calc'!$J:$J,$M170))</f>
        <v/>
      </c>
      <c r="J170" s="63">
        <f>IF($M170="","",INDEX('Form Calc'!$L:$L,$M170))</f>
        <v/>
      </c>
      <c r="K170" s="63">
        <f>IF($M170="","",INDEX('Form Calc'!$M:$M,$M170))</f>
        <v/>
      </c>
      <c r="L170" s="47">
        <f>IF($M170="","",INDEX('Form Calc'!$F:$F,$M170))</f>
        <v/>
      </c>
      <c r="M170" s="32">
        <f>IF(165&gt;MAX('Form Calc'!$Y$2:$Y$601),"",IFERROR(MATCH(MAX('Form Calc'!$Y$2:$Y$601)+1-165,'Form Calc'!$Z:$Z,0),""))</f>
        <v/>
      </c>
    </row>
    <row r="171">
      <c r="A171" s="62">
        <f>IF($M171="","",INDEX('Form Calc'!$B:$B,$M171))</f>
        <v/>
      </c>
      <c r="B171" s="47">
        <f>IF($M171="","",INDEX('Form Calc'!$G:$G,$M171))</f>
        <v/>
      </c>
      <c r="C171" s="47">
        <f>IF($M171="","",INDEX('Form Calc'!$H:$H,$M171))</f>
        <v/>
      </c>
      <c r="D171" s="47">
        <f>IF($M171="","",INDEX('Form Calc'!$I:$I,$M171))</f>
        <v/>
      </c>
      <c r="E171" s="47">
        <f>IF($M171="","",INDEX('Form Calc'!$K:$K,$M171))</f>
        <v/>
      </c>
      <c r="F171" s="47">
        <f>IF($M171="","",INDEX('Form Calc'!$C:$C,$M171))</f>
        <v/>
      </c>
      <c r="G171" s="47">
        <f>IF($M171="","",IF(INDEX('Form Calc'!$R:$R,$M171)="","NEW","✓ yes"))</f>
        <v/>
      </c>
      <c r="H171" s="44">
        <f>IF($M171="","",INDEX('Form Calc'!$A:$A,$M171))</f>
        <v/>
      </c>
      <c r="I171" s="63">
        <f>IF($M171="","",INDEX('Form Calc'!$J:$J,$M171))</f>
        <v/>
      </c>
      <c r="J171" s="63">
        <f>IF($M171="","",INDEX('Form Calc'!$L:$L,$M171))</f>
        <v/>
      </c>
      <c r="K171" s="63">
        <f>IF($M171="","",INDEX('Form Calc'!$M:$M,$M171))</f>
        <v/>
      </c>
      <c r="L171" s="47">
        <f>IF($M171="","",INDEX('Form Calc'!$F:$F,$M171))</f>
        <v/>
      </c>
      <c r="M171" s="32">
        <f>IF(166&gt;MAX('Form Calc'!$Y$2:$Y$601),"",IFERROR(MATCH(MAX('Form Calc'!$Y$2:$Y$601)+1-166,'Form Calc'!$Z:$Z,0),""))</f>
        <v/>
      </c>
    </row>
    <row r="172">
      <c r="A172" s="62">
        <f>IF($M172="","",INDEX('Form Calc'!$B:$B,$M172))</f>
        <v/>
      </c>
      <c r="B172" s="47">
        <f>IF($M172="","",INDEX('Form Calc'!$G:$G,$M172))</f>
        <v/>
      </c>
      <c r="C172" s="47">
        <f>IF($M172="","",INDEX('Form Calc'!$H:$H,$M172))</f>
        <v/>
      </c>
      <c r="D172" s="47">
        <f>IF($M172="","",INDEX('Form Calc'!$I:$I,$M172))</f>
        <v/>
      </c>
      <c r="E172" s="47">
        <f>IF($M172="","",INDEX('Form Calc'!$K:$K,$M172))</f>
        <v/>
      </c>
      <c r="F172" s="47">
        <f>IF($M172="","",INDEX('Form Calc'!$C:$C,$M172))</f>
        <v/>
      </c>
      <c r="G172" s="47">
        <f>IF($M172="","",IF(INDEX('Form Calc'!$R:$R,$M172)="","NEW","✓ yes"))</f>
        <v/>
      </c>
      <c r="H172" s="44">
        <f>IF($M172="","",INDEX('Form Calc'!$A:$A,$M172))</f>
        <v/>
      </c>
      <c r="I172" s="63">
        <f>IF($M172="","",INDEX('Form Calc'!$J:$J,$M172))</f>
        <v/>
      </c>
      <c r="J172" s="63">
        <f>IF($M172="","",INDEX('Form Calc'!$L:$L,$M172))</f>
        <v/>
      </c>
      <c r="K172" s="63">
        <f>IF($M172="","",INDEX('Form Calc'!$M:$M,$M172))</f>
        <v/>
      </c>
      <c r="L172" s="47">
        <f>IF($M172="","",INDEX('Form Calc'!$F:$F,$M172))</f>
        <v/>
      </c>
      <c r="M172" s="32">
        <f>IF(167&gt;MAX('Form Calc'!$Y$2:$Y$601),"",IFERROR(MATCH(MAX('Form Calc'!$Y$2:$Y$601)+1-167,'Form Calc'!$Z:$Z,0),""))</f>
        <v/>
      </c>
    </row>
    <row r="173">
      <c r="A173" s="62">
        <f>IF($M173="","",INDEX('Form Calc'!$B:$B,$M173))</f>
        <v/>
      </c>
      <c r="B173" s="47">
        <f>IF($M173="","",INDEX('Form Calc'!$G:$G,$M173))</f>
        <v/>
      </c>
      <c r="C173" s="47">
        <f>IF($M173="","",INDEX('Form Calc'!$H:$H,$M173))</f>
        <v/>
      </c>
      <c r="D173" s="47">
        <f>IF($M173="","",INDEX('Form Calc'!$I:$I,$M173))</f>
        <v/>
      </c>
      <c r="E173" s="47">
        <f>IF($M173="","",INDEX('Form Calc'!$K:$K,$M173))</f>
        <v/>
      </c>
      <c r="F173" s="47">
        <f>IF($M173="","",INDEX('Form Calc'!$C:$C,$M173))</f>
        <v/>
      </c>
      <c r="G173" s="47">
        <f>IF($M173="","",IF(INDEX('Form Calc'!$R:$R,$M173)="","NEW","✓ yes"))</f>
        <v/>
      </c>
      <c r="H173" s="44">
        <f>IF($M173="","",INDEX('Form Calc'!$A:$A,$M173))</f>
        <v/>
      </c>
      <c r="I173" s="63">
        <f>IF($M173="","",INDEX('Form Calc'!$J:$J,$M173))</f>
        <v/>
      </c>
      <c r="J173" s="63">
        <f>IF($M173="","",INDEX('Form Calc'!$L:$L,$M173))</f>
        <v/>
      </c>
      <c r="K173" s="63">
        <f>IF($M173="","",INDEX('Form Calc'!$M:$M,$M173))</f>
        <v/>
      </c>
      <c r="L173" s="47">
        <f>IF($M173="","",INDEX('Form Calc'!$F:$F,$M173))</f>
        <v/>
      </c>
      <c r="M173" s="32">
        <f>IF(168&gt;MAX('Form Calc'!$Y$2:$Y$601),"",IFERROR(MATCH(MAX('Form Calc'!$Y$2:$Y$601)+1-168,'Form Calc'!$Z:$Z,0),""))</f>
        <v/>
      </c>
    </row>
    <row r="174">
      <c r="A174" s="62">
        <f>IF($M174="","",INDEX('Form Calc'!$B:$B,$M174))</f>
        <v/>
      </c>
      <c r="B174" s="47">
        <f>IF($M174="","",INDEX('Form Calc'!$G:$G,$M174))</f>
        <v/>
      </c>
      <c r="C174" s="47">
        <f>IF($M174="","",INDEX('Form Calc'!$H:$H,$M174))</f>
        <v/>
      </c>
      <c r="D174" s="47">
        <f>IF($M174="","",INDEX('Form Calc'!$I:$I,$M174))</f>
        <v/>
      </c>
      <c r="E174" s="47">
        <f>IF($M174="","",INDEX('Form Calc'!$K:$K,$M174))</f>
        <v/>
      </c>
      <c r="F174" s="47">
        <f>IF($M174="","",INDEX('Form Calc'!$C:$C,$M174))</f>
        <v/>
      </c>
      <c r="G174" s="47">
        <f>IF($M174="","",IF(INDEX('Form Calc'!$R:$R,$M174)="","NEW","✓ yes"))</f>
        <v/>
      </c>
      <c r="H174" s="44">
        <f>IF($M174="","",INDEX('Form Calc'!$A:$A,$M174))</f>
        <v/>
      </c>
      <c r="I174" s="63">
        <f>IF($M174="","",INDEX('Form Calc'!$J:$J,$M174))</f>
        <v/>
      </c>
      <c r="J174" s="63">
        <f>IF($M174="","",INDEX('Form Calc'!$L:$L,$M174))</f>
        <v/>
      </c>
      <c r="K174" s="63">
        <f>IF($M174="","",INDEX('Form Calc'!$M:$M,$M174))</f>
        <v/>
      </c>
      <c r="L174" s="47">
        <f>IF($M174="","",INDEX('Form Calc'!$F:$F,$M174))</f>
        <v/>
      </c>
      <c r="M174" s="32">
        <f>IF(169&gt;MAX('Form Calc'!$Y$2:$Y$601),"",IFERROR(MATCH(MAX('Form Calc'!$Y$2:$Y$601)+1-169,'Form Calc'!$Z:$Z,0),""))</f>
        <v/>
      </c>
    </row>
    <row r="175">
      <c r="A175" s="62">
        <f>IF($M175="","",INDEX('Form Calc'!$B:$B,$M175))</f>
        <v/>
      </c>
      <c r="B175" s="47">
        <f>IF($M175="","",INDEX('Form Calc'!$G:$G,$M175))</f>
        <v/>
      </c>
      <c r="C175" s="47">
        <f>IF($M175="","",INDEX('Form Calc'!$H:$H,$M175))</f>
        <v/>
      </c>
      <c r="D175" s="47">
        <f>IF($M175="","",INDEX('Form Calc'!$I:$I,$M175))</f>
        <v/>
      </c>
      <c r="E175" s="47">
        <f>IF($M175="","",INDEX('Form Calc'!$K:$K,$M175))</f>
        <v/>
      </c>
      <c r="F175" s="47">
        <f>IF($M175="","",INDEX('Form Calc'!$C:$C,$M175))</f>
        <v/>
      </c>
      <c r="G175" s="47">
        <f>IF($M175="","",IF(INDEX('Form Calc'!$R:$R,$M175)="","NEW","✓ yes"))</f>
        <v/>
      </c>
      <c r="H175" s="44">
        <f>IF($M175="","",INDEX('Form Calc'!$A:$A,$M175))</f>
        <v/>
      </c>
      <c r="I175" s="63">
        <f>IF($M175="","",INDEX('Form Calc'!$J:$J,$M175))</f>
        <v/>
      </c>
      <c r="J175" s="63">
        <f>IF($M175="","",INDEX('Form Calc'!$L:$L,$M175))</f>
        <v/>
      </c>
      <c r="K175" s="63">
        <f>IF($M175="","",INDEX('Form Calc'!$M:$M,$M175))</f>
        <v/>
      </c>
      <c r="L175" s="47">
        <f>IF($M175="","",INDEX('Form Calc'!$F:$F,$M175))</f>
        <v/>
      </c>
      <c r="M175" s="32">
        <f>IF(170&gt;MAX('Form Calc'!$Y$2:$Y$601),"",IFERROR(MATCH(MAX('Form Calc'!$Y$2:$Y$601)+1-170,'Form Calc'!$Z:$Z,0),""))</f>
        <v/>
      </c>
    </row>
    <row r="176">
      <c r="A176" s="62">
        <f>IF($M176="","",INDEX('Form Calc'!$B:$B,$M176))</f>
        <v/>
      </c>
      <c r="B176" s="47">
        <f>IF($M176="","",INDEX('Form Calc'!$G:$G,$M176))</f>
        <v/>
      </c>
      <c r="C176" s="47">
        <f>IF($M176="","",INDEX('Form Calc'!$H:$H,$M176))</f>
        <v/>
      </c>
      <c r="D176" s="47">
        <f>IF($M176="","",INDEX('Form Calc'!$I:$I,$M176))</f>
        <v/>
      </c>
      <c r="E176" s="47">
        <f>IF($M176="","",INDEX('Form Calc'!$K:$K,$M176))</f>
        <v/>
      </c>
      <c r="F176" s="47">
        <f>IF($M176="","",INDEX('Form Calc'!$C:$C,$M176))</f>
        <v/>
      </c>
      <c r="G176" s="47">
        <f>IF($M176="","",IF(INDEX('Form Calc'!$R:$R,$M176)="","NEW","✓ yes"))</f>
        <v/>
      </c>
      <c r="H176" s="44">
        <f>IF($M176="","",INDEX('Form Calc'!$A:$A,$M176))</f>
        <v/>
      </c>
      <c r="I176" s="63">
        <f>IF($M176="","",INDEX('Form Calc'!$J:$J,$M176))</f>
        <v/>
      </c>
      <c r="J176" s="63">
        <f>IF($M176="","",INDEX('Form Calc'!$L:$L,$M176))</f>
        <v/>
      </c>
      <c r="K176" s="63">
        <f>IF($M176="","",INDEX('Form Calc'!$M:$M,$M176))</f>
        <v/>
      </c>
      <c r="L176" s="47">
        <f>IF($M176="","",INDEX('Form Calc'!$F:$F,$M176))</f>
        <v/>
      </c>
      <c r="M176" s="32">
        <f>IF(171&gt;MAX('Form Calc'!$Y$2:$Y$601),"",IFERROR(MATCH(MAX('Form Calc'!$Y$2:$Y$601)+1-171,'Form Calc'!$Z:$Z,0),""))</f>
        <v/>
      </c>
    </row>
    <row r="177">
      <c r="A177" s="62">
        <f>IF($M177="","",INDEX('Form Calc'!$B:$B,$M177))</f>
        <v/>
      </c>
      <c r="B177" s="47">
        <f>IF($M177="","",INDEX('Form Calc'!$G:$G,$M177))</f>
        <v/>
      </c>
      <c r="C177" s="47">
        <f>IF($M177="","",INDEX('Form Calc'!$H:$H,$M177))</f>
        <v/>
      </c>
      <c r="D177" s="47">
        <f>IF($M177="","",INDEX('Form Calc'!$I:$I,$M177))</f>
        <v/>
      </c>
      <c r="E177" s="47">
        <f>IF($M177="","",INDEX('Form Calc'!$K:$K,$M177))</f>
        <v/>
      </c>
      <c r="F177" s="47">
        <f>IF($M177="","",INDEX('Form Calc'!$C:$C,$M177))</f>
        <v/>
      </c>
      <c r="G177" s="47">
        <f>IF($M177="","",IF(INDEX('Form Calc'!$R:$R,$M177)="","NEW","✓ yes"))</f>
        <v/>
      </c>
      <c r="H177" s="44">
        <f>IF($M177="","",INDEX('Form Calc'!$A:$A,$M177))</f>
        <v/>
      </c>
      <c r="I177" s="63">
        <f>IF($M177="","",INDEX('Form Calc'!$J:$J,$M177))</f>
        <v/>
      </c>
      <c r="J177" s="63">
        <f>IF($M177="","",INDEX('Form Calc'!$L:$L,$M177))</f>
        <v/>
      </c>
      <c r="K177" s="63">
        <f>IF($M177="","",INDEX('Form Calc'!$M:$M,$M177))</f>
        <v/>
      </c>
      <c r="L177" s="47">
        <f>IF($M177="","",INDEX('Form Calc'!$F:$F,$M177))</f>
        <v/>
      </c>
      <c r="M177" s="32">
        <f>IF(172&gt;MAX('Form Calc'!$Y$2:$Y$601),"",IFERROR(MATCH(MAX('Form Calc'!$Y$2:$Y$601)+1-172,'Form Calc'!$Z:$Z,0),""))</f>
        <v/>
      </c>
    </row>
    <row r="178">
      <c r="A178" s="62">
        <f>IF($M178="","",INDEX('Form Calc'!$B:$B,$M178))</f>
        <v/>
      </c>
      <c r="B178" s="47">
        <f>IF($M178="","",INDEX('Form Calc'!$G:$G,$M178))</f>
        <v/>
      </c>
      <c r="C178" s="47">
        <f>IF($M178="","",INDEX('Form Calc'!$H:$H,$M178))</f>
        <v/>
      </c>
      <c r="D178" s="47">
        <f>IF($M178="","",INDEX('Form Calc'!$I:$I,$M178))</f>
        <v/>
      </c>
      <c r="E178" s="47">
        <f>IF($M178="","",INDEX('Form Calc'!$K:$K,$M178))</f>
        <v/>
      </c>
      <c r="F178" s="47">
        <f>IF($M178="","",INDEX('Form Calc'!$C:$C,$M178))</f>
        <v/>
      </c>
      <c r="G178" s="47">
        <f>IF($M178="","",IF(INDEX('Form Calc'!$R:$R,$M178)="","NEW","✓ yes"))</f>
        <v/>
      </c>
      <c r="H178" s="44">
        <f>IF($M178="","",INDEX('Form Calc'!$A:$A,$M178))</f>
        <v/>
      </c>
      <c r="I178" s="63">
        <f>IF($M178="","",INDEX('Form Calc'!$J:$J,$M178))</f>
        <v/>
      </c>
      <c r="J178" s="63">
        <f>IF($M178="","",INDEX('Form Calc'!$L:$L,$M178))</f>
        <v/>
      </c>
      <c r="K178" s="63">
        <f>IF($M178="","",INDEX('Form Calc'!$M:$M,$M178))</f>
        <v/>
      </c>
      <c r="L178" s="47">
        <f>IF($M178="","",INDEX('Form Calc'!$F:$F,$M178))</f>
        <v/>
      </c>
      <c r="M178" s="32">
        <f>IF(173&gt;MAX('Form Calc'!$Y$2:$Y$601),"",IFERROR(MATCH(MAX('Form Calc'!$Y$2:$Y$601)+1-173,'Form Calc'!$Z:$Z,0),""))</f>
        <v/>
      </c>
    </row>
    <row r="179">
      <c r="A179" s="62">
        <f>IF($M179="","",INDEX('Form Calc'!$B:$B,$M179))</f>
        <v/>
      </c>
      <c r="B179" s="47">
        <f>IF($M179="","",INDEX('Form Calc'!$G:$G,$M179))</f>
        <v/>
      </c>
      <c r="C179" s="47">
        <f>IF($M179="","",INDEX('Form Calc'!$H:$H,$M179))</f>
        <v/>
      </c>
      <c r="D179" s="47">
        <f>IF($M179="","",INDEX('Form Calc'!$I:$I,$M179))</f>
        <v/>
      </c>
      <c r="E179" s="47">
        <f>IF($M179="","",INDEX('Form Calc'!$K:$K,$M179))</f>
        <v/>
      </c>
      <c r="F179" s="47">
        <f>IF($M179="","",INDEX('Form Calc'!$C:$C,$M179))</f>
        <v/>
      </c>
      <c r="G179" s="47">
        <f>IF($M179="","",IF(INDEX('Form Calc'!$R:$R,$M179)="","NEW","✓ yes"))</f>
        <v/>
      </c>
      <c r="H179" s="44">
        <f>IF($M179="","",INDEX('Form Calc'!$A:$A,$M179))</f>
        <v/>
      </c>
      <c r="I179" s="63">
        <f>IF($M179="","",INDEX('Form Calc'!$J:$J,$M179))</f>
        <v/>
      </c>
      <c r="J179" s="63">
        <f>IF($M179="","",INDEX('Form Calc'!$L:$L,$M179))</f>
        <v/>
      </c>
      <c r="K179" s="63">
        <f>IF($M179="","",INDEX('Form Calc'!$M:$M,$M179))</f>
        <v/>
      </c>
      <c r="L179" s="47">
        <f>IF($M179="","",INDEX('Form Calc'!$F:$F,$M179))</f>
        <v/>
      </c>
      <c r="M179" s="32">
        <f>IF(174&gt;MAX('Form Calc'!$Y$2:$Y$601),"",IFERROR(MATCH(MAX('Form Calc'!$Y$2:$Y$601)+1-174,'Form Calc'!$Z:$Z,0),""))</f>
        <v/>
      </c>
    </row>
    <row r="180">
      <c r="A180" s="62">
        <f>IF($M180="","",INDEX('Form Calc'!$B:$B,$M180))</f>
        <v/>
      </c>
      <c r="B180" s="47">
        <f>IF($M180="","",INDEX('Form Calc'!$G:$G,$M180))</f>
        <v/>
      </c>
      <c r="C180" s="47">
        <f>IF($M180="","",INDEX('Form Calc'!$H:$H,$M180))</f>
        <v/>
      </c>
      <c r="D180" s="47">
        <f>IF($M180="","",INDEX('Form Calc'!$I:$I,$M180))</f>
        <v/>
      </c>
      <c r="E180" s="47">
        <f>IF($M180="","",INDEX('Form Calc'!$K:$K,$M180))</f>
        <v/>
      </c>
      <c r="F180" s="47">
        <f>IF($M180="","",INDEX('Form Calc'!$C:$C,$M180))</f>
        <v/>
      </c>
      <c r="G180" s="47">
        <f>IF($M180="","",IF(INDEX('Form Calc'!$R:$R,$M180)="","NEW","✓ yes"))</f>
        <v/>
      </c>
      <c r="H180" s="44">
        <f>IF($M180="","",INDEX('Form Calc'!$A:$A,$M180))</f>
        <v/>
      </c>
      <c r="I180" s="63">
        <f>IF($M180="","",INDEX('Form Calc'!$J:$J,$M180))</f>
        <v/>
      </c>
      <c r="J180" s="63">
        <f>IF($M180="","",INDEX('Form Calc'!$L:$L,$M180))</f>
        <v/>
      </c>
      <c r="K180" s="63">
        <f>IF($M180="","",INDEX('Form Calc'!$M:$M,$M180))</f>
        <v/>
      </c>
      <c r="L180" s="47">
        <f>IF($M180="","",INDEX('Form Calc'!$F:$F,$M180))</f>
        <v/>
      </c>
      <c r="M180" s="32">
        <f>IF(175&gt;MAX('Form Calc'!$Y$2:$Y$601),"",IFERROR(MATCH(MAX('Form Calc'!$Y$2:$Y$601)+1-175,'Form Calc'!$Z:$Z,0),""))</f>
        <v/>
      </c>
    </row>
    <row r="181">
      <c r="A181" s="62">
        <f>IF($M181="","",INDEX('Form Calc'!$B:$B,$M181))</f>
        <v/>
      </c>
      <c r="B181" s="47">
        <f>IF($M181="","",INDEX('Form Calc'!$G:$G,$M181))</f>
        <v/>
      </c>
      <c r="C181" s="47">
        <f>IF($M181="","",INDEX('Form Calc'!$H:$H,$M181))</f>
        <v/>
      </c>
      <c r="D181" s="47">
        <f>IF($M181="","",INDEX('Form Calc'!$I:$I,$M181))</f>
        <v/>
      </c>
      <c r="E181" s="47">
        <f>IF($M181="","",INDEX('Form Calc'!$K:$K,$M181))</f>
        <v/>
      </c>
      <c r="F181" s="47">
        <f>IF($M181="","",INDEX('Form Calc'!$C:$C,$M181))</f>
        <v/>
      </c>
      <c r="G181" s="47">
        <f>IF($M181="","",IF(INDEX('Form Calc'!$R:$R,$M181)="","NEW","✓ yes"))</f>
        <v/>
      </c>
      <c r="H181" s="44">
        <f>IF($M181="","",INDEX('Form Calc'!$A:$A,$M181))</f>
        <v/>
      </c>
      <c r="I181" s="63">
        <f>IF($M181="","",INDEX('Form Calc'!$J:$J,$M181))</f>
        <v/>
      </c>
      <c r="J181" s="63">
        <f>IF($M181="","",INDEX('Form Calc'!$L:$L,$M181))</f>
        <v/>
      </c>
      <c r="K181" s="63">
        <f>IF($M181="","",INDEX('Form Calc'!$M:$M,$M181))</f>
        <v/>
      </c>
      <c r="L181" s="47">
        <f>IF($M181="","",INDEX('Form Calc'!$F:$F,$M181))</f>
        <v/>
      </c>
      <c r="M181" s="32">
        <f>IF(176&gt;MAX('Form Calc'!$Y$2:$Y$601),"",IFERROR(MATCH(MAX('Form Calc'!$Y$2:$Y$601)+1-176,'Form Calc'!$Z:$Z,0),""))</f>
        <v/>
      </c>
    </row>
    <row r="182">
      <c r="A182" s="62">
        <f>IF($M182="","",INDEX('Form Calc'!$B:$B,$M182))</f>
        <v/>
      </c>
      <c r="B182" s="47">
        <f>IF($M182="","",INDEX('Form Calc'!$G:$G,$M182))</f>
        <v/>
      </c>
      <c r="C182" s="47">
        <f>IF($M182="","",INDEX('Form Calc'!$H:$H,$M182))</f>
        <v/>
      </c>
      <c r="D182" s="47">
        <f>IF($M182="","",INDEX('Form Calc'!$I:$I,$M182))</f>
        <v/>
      </c>
      <c r="E182" s="47">
        <f>IF($M182="","",INDEX('Form Calc'!$K:$K,$M182))</f>
        <v/>
      </c>
      <c r="F182" s="47">
        <f>IF($M182="","",INDEX('Form Calc'!$C:$C,$M182))</f>
        <v/>
      </c>
      <c r="G182" s="47">
        <f>IF($M182="","",IF(INDEX('Form Calc'!$R:$R,$M182)="","NEW","✓ yes"))</f>
        <v/>
      </c>
      <c r="H182" s="44">
        <f>IF($M182="","",INDEX('Form Calc'!$A:$A,$M182))</f>
        <v/>
      </c>
      <c r="I182" s="63">
        <f>IF($M182="","",INDEX('Form Calc'!$J:$J,$M182))</f>
        <v/>
      </c>
      <c r="J182" s="63">
        <f>IF($M182="","",INDEX('Form Calc'!$L:$L,$M182))</f>
        <v/>
      </c>
      <c r="K182" s="63">
        <f>IF($M182="","",INDEX('Form Calc'!$M:$M,$M182))</f>
        <v/>
      </c>
      <c r="L182" s="47">
        <f>IF($M182="","",INDEX('Form Calc'!$F:$F,$M182))</f>
        <v/>
      </c>
      <c r="M182" s="32">
        <f>IF(177&gt;MAX('Form Calc'!$Y$2:$Y$601),"",IFERROR(MATCH(MAX('Form Calc'!$Y$2:$Y$601)+1-177,'Form Calc'!$Z:$Z,0),""))</f>
        <v/>
      </c>
    </row>
    <row r="183">
      <c r="A183" s="62">
        <f>IF($M183="","",INDEX('Form Calc'!$B:$B,$M183))</f>
        <v/>
      </c>
      <c r="B183" s="47">
        <f>IF($M183="","",INDEX('Form Calc'!$G:$G,$M183))</f>
        <v/>
      </c>
      <c r="C183" s="47">
        <f>IF($M183="","",INDEX('Form Calc'!$H:$H,$M183))</f>
        <v/>
      </c>
      <c r="D183" s="47">
        <f>IF($M183="","",INDEX('Form Calc'!$I:$I,$M183))</f>
        <v/>
      </c>
      <c r="E183" s="47">
        <f>IF($M183="","",INDEX('Form Calc'!$K:$K,$M183))</f>
        <v/>
      </c>
      <c r="F183" s="47">
        <f>IF($M183="","",INDEX('Form Calc'!$C:$C,$M183))</f>
        <v/>
      </c>
      <c r="G183" s="47">
        <f>IF($M183="","",IF(INDEX('Form Calc'!$R:$R,$M183)="","NEW","✓ yes"))</f>
        <v/>
      </c>
      <c r="H183" s="44">
        <f>IF($M183="","",INDEX('Form Calc'!$A:$A,$M183))</f>
        <v/>
      </c>
      <c r="I183" s="63">
        <f>IF($M183="","",INDEX('Form Calc'!$J:$J,$M183))</f>
        <v/>
      </c>
      <c r="J183" s="63">
        <f>IF($M183="","",INDEX('Form Calc'!$L:$L,$M183))</f>
        <v/>
      </c>
      <c r="K183" s="63">
        <f>IF($M183="","",INDEX('Form Calc'!$M:$M,$M183))</f>
        <v/>
      </c>
      <c r="L183" s="47">
        <f>IF($M183="","",INDEX('Form Calc'!$F:$F,$M183))</f>
        <v/>
      </c>
      <c r="M183" s="32">
        <f>IF(178&gt;MAX('Form Calc'!$Y$2:$Y$601),"",IFERROR(MATCH(MAX('Form Calc'!$Y$2:$Y$601)+1-178,'Form Calc'!$Z:$Z,0),""))</f>
        <v/>
      </c>
    </row>
    <row r="184">
      <c r="A184" s="62">
        <f>IF($M184="","",INDEX('Form Calc'!$B:$B,$M184))</f>
        <v/>
      </c>
      <c r="B184" s="47">
        <f>IF($M184="","",INDEX('Form Calc'!$G:$G,$M184))</f>
        <v/>
      </c>
      <c r="C184" s="47">
        <f>IF($M184="","",INDEX('Form Calc'!$H:$H,$M184))</f>
        <v/>
      </c>
      <c r="D184" s="47">
        <f>IF($M184="","",INDEX('Form Calc'!$I:$I,$M184))</f>
        <v/>
      </c>
      <c r="E184" s="47">
        <f>IF($M184="","",INDEX('Form Calc'!$K:$K,$M184))</f>
        <v/>
      </c>
      <c r="F184" s="47">
        <f>IF($M184="","",INDEX('Form Calc'!$C:$C,$M184))</f>
        <v/>
      </c>
      <c r="G184" s="47">
        <f>IF($M184="","",IF(INDEX('Form Calc'!$R:$R,$M184)="","NEW","✓ yes"))</f>
        <v/>
      </c>
      <c r="H184" s="44">
        <f>IF($M184="","",INDEX('Form Calc'!$A:$A,$M184))</f>
        <v/>
      </c>
      <c r="I184" s="63">
        <f>IF($M184="","",INDEX('Form Calc'!$J:$J,$M184))</f>
        <v/>
      </c>
      <c r="J184" s="63">
        <f>IF($M184="","",INDEX('Form Calc'!$L:$L,$M184))</f>
        <v/>
      </c>
      <c r="K184" s="63">
        <f>IF($M184="","",INDEX('Form Calc'!$M:$M,$M184))</f>
        <v/>
      </c>
      <c r="L184" s="47">
        <f>IF($M184="","",INDEX('Form Calc'!$F:$F,$M184))</f>
        <v/>
      </c>
      <c r="M184" s="32">
        <f>IF(179&gt;MAX('Form Calc'!$Y$2:$Y$601),"",IFERROR(MATCH(MAX('Form Calc'!$Y$2:$Y$601)+1-179,'Form Calc'!$Z:$Z,0),""))</f>
        <v/>
      </c>
    </row>
    <row r="185">
      <c r="A185" s="62">
        <f>IF($M185="","",INDEX('Form Calc'!$B:$B,$M185))</f>
        <v/>
      </c>
      <c r="B185" s="47">
        <f>IF($M185="","",INDEX('Form Calc'!$G:$G,$M185))</f>
        <v/>
      </c>
      <c r="C185" s="47">
        <f>IF($M185="","",INDEX('Form Calc'!$H:$H,$M185))</f>
        <v/>
      </c>
      <c r="D185" s="47">
        <f>IF($M185="","",INDEX('Form Calc'!$I:$I,$M185))</f>
        <v/>
      </c>
      <c r="E185" s="47">
        <f>IF($M185="","",INDEX('Form Calc'!$K:$K,$M185))</f>
        <v/>
      </c>
      <c r="F185" s="47">
        <f>IF($M185="","",INDEX('Form Calc'!$C:$C,$M185))</f>
        <v/>
      </c>
      <c r="G185" s="47">
        <f>IF($M185="","",IF(INDEX('Form Calc'!$R:$R,$M185)="","NEW","✓ yes"))</f>
        <v/>
      </c>
      <c r="H185" s="44">
        <f>IF($M185="","",INDEX('Form Calc'!$A:$A,$M185))</f>
        <v/>
      </c>
      <c r="I185" s="63">
        <f>IF($M185="","",INDEX('Form Calc'!$J:$J,$M185))</f>
        <v/>
      </c>
      <c r="J185" s="63">
        <f>IF($M185="","",INDEX('Form Calc'!$L:$L,$M185))</f>
        <v/>
      </c>
      <c r="K185" s="63">
        <f>IF($M185="","",INDEX('Form Calc'!$M:$M,$M185))</f>
        <v/>
      </c>
      <c r="L185" s="47">
        <f>IF($M185="","",INDEX('Form Calc'!$F:$F,$M185))</f>
        <v/>
      </c>
      <c r="M185" s="32">
        <f>IF(180&gt;MAX('Form Calc'!$Y$2:$Y$601),"",IFERROR(MATCH(MAX('Form Calc'!$Y$2:$Y$601)+1-180,'Form Calc'!$Z:$Z,0),""))</f>
        <v/>
      </c>
    </row>
    <row r="186">
      <c r="A186" s="62">
        <f>IF($M186="","",INDEX('Form Calc'!$B:$B,$M186))</f>
        <v/>
      </c>
      <c r="B186" s="47">
        <f>IF($M186="","",INDEX('Form Calc'!$G:$G,$M186))</f>
        <v/>
      </c>
      <c r="C186" s="47">
        <f>IF($M186="","",INDEX('Form Calc'!$H:$H,$M186))</f>
        <v/>
      </c>
      <c r="D186" s="47">
        <f>IF($M186="","",INDEX('Form Calc'!$I:$I,$M186))</f>
        <v/>
      </c>
      <c r="E186" s="47">
        <f>IF($M186="","",INDEX('Form Calc'!$K:$K,$M186))</f>
        <v/>
      </c>
      <c r="F186" s="47">
        <f>IF($M186="","",INDEX('Form Calc'!$C:$C,$M186))</f>
        <v/>
      </c>
      <c r="G186" s="47">
        <f>IF($M186="","",IF(INDEX('Form Calc'!$R:$R,$M186)="","NEW","✓ yes"))</f>
        <v/>
      </c>
      <c r="H186" s="44">
        <f>IF($M186="","",INDEX('Form Calc'!$A:$A,$M186))</f>
        <v/>
      </c>
      <c r="I186" s="63">
        <f>IF($M186="","",INDEX('Form Calc'!$J:$J,$M186))</f>
        <v/>
      </c>
      <c r="J186" s="63">
        <f>IF($M186="","",INDEX('Form Calc'!$L:$L,$M186))</f>
        <v/>
      </c>
      <c r="K186" s="63">
        <f>IF($M186="","",INDEX('Form Calc'!$M:$M,$M186))</f>
        <v/>
      </c>
      <c r="L186" s="47">
        <f>IF($M186="","",INDEX('Form Calc'!$F:$F,$M186))</f>
        <v/>
      </c>
      <c r="M186" s="32">
        <f>IF(181&gt;MAX('Form Calc'!$Y$2:$Y$601),"",IFERROR(MATCH(MAX('Form Calc'!$Y$2:$Y$601)+1-181,'Form Calc'!$Z:$Z,0),""))</f>
        <v/>
      </c>
    </row>
    <row r="187">
      <c r="A187" s="62">
        <f>IF($M187="","",INDEX('Form Calc'!$B:$B,$M187))</f>
        <v/>
      </c>
      <c r="B187" s="47">
        <f>IF($M187="","",INDEX('Form Calc'!$G:$G,$M187))</f>
        <v/>
      </c>
      <c r="C187" s="47">
        <f>IF($M187="","",INDEX('Form Calc'!$H:$H,$M187))</f>
        <v/>
      </c>
      <c r="D187" s="47">
        <f>IF($M187="","",INDEX('Form Calc'!$I:$I,$M187))</f>
        <v/>
      </c>
      <c r="E187" s="47">
        <f>IF($M187="","",INDEX('Form Calc'!$K:$K,$M187))</f>
        <v/>
      </c>
      <c r="F187" s="47">
        <f>IF($M187="","",INDEX('Form Calc'!$C:$C,$M187))</f>
        <v/>
      </c>
      <c r="G187" s="47">
        <f>IF($M187="","",IF(INDEX('Form Calc'!$R:$R,$M187)="","NEW","✓ yes"))</f>
        <v/>
      </c>
      <c r="H187" s="44">
        <f>IF($M187="","",INDEX('Form Calc'!$A:$A,$M187))</f>
        <v/>
      </c>
      <c r="I187" s="63">
        <f>IF($M187="","",INDEX('Form Calc'!$J:$J,$M187))</f>
        <v/>
      </c>
      <c r="J187" s="63">
        <f>IF($M187="","",INDEX('Form Calc'!$L:$L,$M187))</f>
        <v/>
      </c>
      <c r="K187" s="63">
        <f>IF($M187="","",INDEX('Form Calc'!$M:$M,$M187))</f>
        <v/>
      </c>
      <c r="L187" s="47">
        <f>IF($M187="","",INDEX('Form Calc'!$F:$F,$M187))</f>
        <v/>
      </c>
      <c r="M187" s="32">
        <f>IF(182&gt;MAX('Form Calc'!$Y$2:$Y$601),"",IFERROR(MATCH(MAX('Form Calc'!$Y$2:$Y$601)+1-182,'Form Calc'!$Z:$Z,0),""))</f>
        <v/>
      </c>
    </row>
    <row r="188">
      <c r="A188" s="62">
        <f>IF($M188="","",INDEX('Form Calc'!$B:$B,$M188))</f>
        <v/>
      </c>
      <c r="B188" s="47">
        <f>IF($M188="","",INDEX('Form Calc'!$G:$G,$M188))</f>
        <v/>
      </c>
      <c r="C188" s="47">
        <f>IF($M188="","",INDEX('Form Calc'!$H:$H,$M188))</f>
        <v/>
      </c>
      <c r="D188" s="47">
        <f>IF($M188="","",INDEX('Form Calc'!$I:$I,$M188))</f>
        <v/>
      </c>
      <c r="E188" s="47">
        <f>IF($M188="","",INDEX('Form Calc'!$K:$K,$M188))</f>
        <v/>
      </c>
      <c r="F188" s="47">
        <f>IF($M188="","",INDEX('Form Calc'!$C:$C,$M188))</f>
        <v/>
      </c>
      <c r="G188" s="47">
        <f>IF($M188="","",IF(INDEX('Form Calc'!$R:$R,$M188)="","NEW","✓ yes"))</f>
        <v/>
      </c>
      <c r="H188" s="44">
        <f>IF($M188="","",INDEX('Form Calc'!$A:$A,$M188))</f>
        <v/>
      </c>
      <c r="I188" s="63">
        <f>IF($M188="","",INDEX('Form Calc'!$J:$J,$M188))</f>
        <v/>
      </c>
      <c r="J188" s="63">
        <f>IF($M188="","",INDEX('Form Calc'!$L:$L,$M188))</f>
        <v/>
      </c>
      <c r="K188" s="63">
        <f>IF($M188="","",INDEX('Form Calc'!$M:$M,$M188))</f>
        <v/>
      </c>
      <c r="L188" s="47">
        <f>IF($M188="","",INDEX('Form Calc'!$F:$F,$M188))</f>
        <v/>
      </c>
      <c r="M188" s="32">
        <f>IF(183&gt;MAX('Form Calc'!$Y$2:$Y$601),"",IFERROR(MATCH(MAX('Form Calc'!$Y$2:$Y$601)+1-183,'Form Calc'!$Z:$Z,0),""))</f>
        <v/>
      </c>
    </row>
    <row r="189">
      <c r="A189" s="62">
        <f>IF($M189="","",INDEX('Form Calc'!$B:$B,$M189))</f>
        <v/>
      </c>
      <c r="B189" s="47">
        <f>IF($M189="","",INDEX('Form Calc'!$G:$G,$M189))</f>
        <v/>
      </c>
      <c r="C189" s="47">
        <f>IF($M189="","",INDEX('Form Calc'!$H:$H,$M189))</f>
        <v/>
      </c>
      <c r="D189" s="47">
        <f>IF($M189="","",INDEX('Form Calc'!$I:$I,$M189))</f>
        <v/>
      </c>
      <c r="E189" s="47">
        <f>IF($M189="","",INDEX('Form Calc'!$K:$K,$M189))</f>
        <v/>
      </c>
      <c r="F189" s="47">
        <f>IF($M189="","",INDEX('Form Calc'!$C:$C,$M189))</f>
        <v/>
      </c>
      <c r="G189" s="47">
        <f>IF($M189="","",IF(INDEX('Form Calc'!$R:$R,$M189)="","NEW","✓ yes"))</f>
        <v/>
      </c>
      <c r="H189" s="44">
        <f>IF($M189="","",INDEX('Form Calc'!$A:$A,$M189))</f>
        <v/>
      </c>
      <c r="I189" s="63">
        <f>IF($M189="","",INDEX('Form Calc'!$J:$J,$M189))</f>
        <v/>
      </c>
      <c r="J189" s="63">
        <f>IF($M189="","",INDEX('Form Calc'!$L:$L,$M189))</f>
        <v/>
      </c>
      <c r="K189" s="63">
        <f>IF($M189="","",INDEX('Form Calc'!$M:$M,$M189))</f>
        <v/>
      </c>
      <c r="L189" s="47">
        <f>IF($M189="","",INDEX('Form Calc'!$F:$F,$M189))</f>
        <v/>
      </c>
      <c r="M189" s="32">
        <f>IF(184&gt;MAX('Form Calc'!$Y$2:$Y$601),"",IFERROR(MATCH(MAX('Form Calc'!$Y$2:$Y$601)+1-184,'Form Calc'!$Z:$Z,0),""))</f>
        <v/>
      </c>
    </row>
    <row r="190">
      <c r="A190" s="62">
        <f>IF($M190="","",INDEX('Form Calc'!$B:$B,$M190))</f>
        <v/>
      </c>
      <c r="B190" s="47">
        <f>IF($M190="","",INDEX('Form Calc'!$G:$G,$M190))</f>
        <v/>
      </c>
      <c r="C190" s="47">
        <f>IF($M190="","",INDEX('Form Calc'!$H:$H,$M190))</f>
        <v/>
      </c>
      <c r="D190" s="47">
        <f>IF($M190="","",INDEX('Form Calc'!$I:$I,$M190))</f>
        <v/>
      </c>
      <c r="E190" s="47">
        <f>IF($M190="","",INDEX('Form Calc'!$K:$K,$M190))</f>
        <v/>
      </c>
      <c r="F190" s="47">
        <f>IF($M190="","",INDEX('Form Calc'!$C:$C,$M190))</f>
        <v/>
      </c>
      <c r="G190" s="47">
        <f>IF($M190="","",IF(INDEX('Form Calc'!$R:$R,$M190)="","NEW","✓ yes"))</f>
        <v/>
      </c>
      <c r="H190" s="44">
        <f>IF($M190="","",INDEX('Form Calc'!$A:$A,$M190))</f>
        <v/>
      </c>
      <c r="I190" s="63">
        <f>IF($M190="","",INDEX('Form Calc'!$J:$J,$M190))</f>
        <v/>
      </c>
      <c r="J190" s="63">
        <f>IF($M190="","",INDEX('Form Calc'!$L:$L,$M190))</f>
        <v/>
      </c>
      <c r="K190" s="63">
        <f>IF($M190="","",INDEX('Form Calc'!$M:$M,$M190))</f>
        <v/>
      </c>
      <c r="L190" s="47">
        <f>IF($M190="","",INDEX('Form Calc'!$F:$F,$M190))</f>
        <v/>
      </c>
      <c r="M190" s="32">
        <f>IF(185&gt;MAX('Form Calc'!$Y$2:$Y$601),"",IFERROR(MATCH(MAX('Form Calc'!$Y$2:$Y$601)+1-185,'Form Calc'!$Z:$Z,0),""))</f>
        <v/>
      </c>
    </row>
    <row r="191">
      <c r="A191" s="62">
        <f>IF($M191="","",INDEX('Form Calc'!$B:$B,$M191))</f>
        <v/>
      </c>
      <c r="B191" s="47">
        <f>IF($M191="","",INDEX('Form Calc'!$G:$G,$M191))</f>
        <v/>
      </c>
      <c r="C191" s="47">
        <f>IF($M191="","",INDEX('Form Calc'!$H:$H,$M191))</f>
        <v/>
      </c>
      <c r="D191" s="47">
        <f>IF($M191="","",INDEX('Form Calc'!$I:$I,$M191))</f>
        <v/>
      </c>
      <c r="E191" s="47">
        <f>IF($M191="","",INDEX('Form Calc'!$K:$K,$M191))</f>
        <v/>
      </c>
      <c r="F191" s="47">
        <f>IF($M191="","",INDEX('Form Calc'!$C:$C,$M191))</f>
        <v/>
      </c>
      <c r="G191" s="47">
        <f>IF($M191="","",IF(INDEX('Form Calc'!$R:$R,$M191)="","NEW","✓ yes"))</f>
        <v/>
      </c>
      <c r="H191" s="44">
        <f>IF($M191="","",INDEX('Form Calc'!$A:$A,$M191))</f>
        <v/>
      </c>
      <c r="I191" s="63">
        <f>IF($M191="","",INDEX('Form Calc'!$J:$J,$M191))</f>
        <v/>
      </c>
      <c r="J191" s="63">
        <f>IF($M191="","",INDEX('Form Calc'!$L:$L,$M191))</f>
        <v/>
      </c>
      <c r="K191" s="63">
        <f>IF($M191="","",INDEX('Form Calc'!$M:$M,$M191))</f>
        <v/>
      </c>
      <c r="L191" s="47">
        <f>IF($M191="","",INDEX('Form Calc'!$F:$F,$M191))</f>
        <v/>
      </c>
      <c r="M191" s="32">
        <f>IF(186&gt;MAX('Form Calc'!$Y$2:$Y$601),"",IFERROR(MATCH(MAX('Form Calc'!$Y$2:$Y$601)+1-186,'Form Calc'!$Z:$Z,0),""))</f>
        <v/>
      </c>
    </row>
    <row r="192">
      <c r="A192" s="62">
        <f>IF($M192="","",INDEX('Form Calc'!$B:$B,$M192))</f>
        <v/>
      </c>
      <c r="B192" s="47">
        <f>IF($M192="","",INDEX('Form Calc'!$G:$G,$M192))</f>
        <v/>
      </c>
      <c r="C192" s="47">
        <f>IF($M192="","",INDEX('Form Calc'!$H:$H,$M192))</f>
        <v/>
      </c>
      <c r="D192" s="47">
        <f>IF($M192="","",INDEX('Form Calc'!$I:$I,$M192))</f>
        <v/>
      </c>
      <c r="E192" s="47">
        <f>IF($M192="","",INDEX('Form Calc'!$K:$K,$M192))</f>
        <v/>
      </c>
      <c r="F192" s="47">
        <f>IF($M192="","",INDEX('Form Calc'!$C:$C,$M192))</f>
        <v/>
      </c>
      <c r="G192" s="47">
        <f>IF($M192="","",IF(INDEX('Form Calc'!$R:$R,$M192)="","NEW","✓ yes"))</f>
        <v/>
      </c>
      <c r="H192" s="44">
        <f>IF($M192="","",INDEX('Form Calc'!$A:$A,$M192))</f>
        <v/>
      </c>
      <c r="I192" s="63">
        <f>IF($M192="","",INDEX('Form Calc'!$J:$J,$M192))</f>
        <v/>
      </c>
      <c r="J192" s="63">
        <f>IF($M192="","",INDEX('Form Calc'!$L:$L,$M192))</f>
        <v/>
      </c>
      <c r="K192" s="63">
        <f>IF($M192="","",INDEX('Form Calc'!$M:$M,$M192))</f>
        <v/>
      </c>
      <c r="L192" s="47">
        <f>IF($M192="","",INDEX('Form Calc'!$F:$F,$M192))</f>
        <v/>
      </c>
      <c r="M192" s="32">
        <f>IF(187&gt;MAX('Form Calc'!$Y$2:$Y$601),"",IFERROR(MATCH(MAX('Form Calc'!$Y$2:$Y$601)+1-187,'Form Calc'!$Z:$Z,0),""))</f>
        <v/>
      </c>
    </row>
    <row r="193">
      <c r="A193" s="62">
        <f>IF($M193="","",INDEX('Form Calc'!$B:$B,$M193))</f>
        <v/>
      </c>
      <c r="B193" s="47">
        <f>IF($M193="","",INDEX('Form Calc'!$G:$G,$M193))</f>
        <v/>
      </c>
      <c r="C193" s="47">
        <f>IF($M193="","",INDEX('Form Calc'!$H:$H,$M193))</f>
        <v/>
      </c>
      <c r="D193" s="47">
        <f>IF($M193="","",INDEX('Form Calc'!$I:$I,$M193))</f>
        <v/>
      </c>
      <c r="E193" s="47">
        <f>IF($M193="","",INDEX('Form Calc'!$K:$K,$M193))</f>
        <v/>
      </c>
      <c r="F193" s="47">
        <f>IF($M193="","",INDEX('Form Calc'!$C:$C,$M193))</f>
        <v/>
      </c>
      <c r="G193" s="47">
        <f>IF($M193="","",IF(INDEX('Form Calc'!$R:$R,$M193)="","NEW","✓ yes"))</f>
        <v/>
      </c>
      <c r="H193" s="44">
        <f>IF($M193="","",INDEX('Form Calc'!$A:$A,$M193))</f>
        <v/>
      </c>
      <c r="I193" s="63">
        <f>IF($M193="","",INDEX('Form Calc'!$J:$J,$M193))</f>
        <v/>
      </c>
      <c r="J193" s="63">
        <f>IF($M193="","",INDEX('Form Calc'!$L:$L,$M193))</f>
        <v/>
      </c>
      <c r="K193" s="63">
        <f>IF($M193="","",INDEX('Form Calc'!$M:$M,$M193))</f>
        <v/>
      </c>
      <c r="L193" s="47">
        <f>IF($M193="","",INDEX('Form Calc'!$F:$F,$M193))</f>
        <v/>
      </c>
      <c r="M193" s="32">
        <f>IF(188&gt;MAX('Form Calc'!$Y$2:$Y$601),"",IFERROR(MATCH(MAX('Form Calc'!$Y$2:$Y$601)+1-188,'Form Calc'!$Z:$Z,0),""))</f>
        <v/>
      </c>
    </row>
    <row r="194">
      <c r="A194" s="62">
        <f>IF($M194="","",INDEX('Form Calc'!$B:$B,$M194))</f>
        <v/>
      </c>
      <c r="B194" s="47">
        <f>IF($M194="","",INDEX('Form Calc'!$G:$G,$M194))</f>
        <v/>
      </c>
      <c r="C194" s="47">
        <f>IF($M194="","",INDEX('Form Calc'!$H:$H,$M194))</f>
        <v/>
      </c>
      <c r="D194" s="47">
        <f>IF($M194="","",INDEX('Form Calc'!$I:$I,$M194))</f>
        <v/>
      </c>
      <c r="E194" s="47">
        <f>IF($M194="","",INDEX('Form Calc'!$K:$K,$M194))</f>
        <v/>
      </c>
      <c r="F194" s="47">
        <f>IF($M194="","",INDEX('Form Calc'!$C:$C,$M194))</f>
        <v/>
      </c>
      <c r="G194" s="47">
        <f>IF($M194="","",IF(INDEX('Form Calc'!$R:$R,$M194)="","NEW","✓ yes"))</f>
        <v/>
      </c>
      <c r="H194" s="44">
        <f>IF($M194="","",INDEX('Form Calc'!$A:$A,$M194))</f>
        <v/>
      </c>
      <c r="I194" s="63">
        <f>IF($M194="","",INDEX('Form Calc'!$J:$J,$M194))</f>
        <v/>
      </c>
      <c r="J194" s="63">
        <f>IF($M194="","",INDEX('Form Calc'!$L:$L,$M194))</f>
        <v/>
      </c>
      <c r="K194" s="63">
        <f>IF($M194="","",INDEX('Form Calc'!$M:$M,$M194))</f>
        <v/>
      </c>
      <c r="L194" s="47">
        <f>IF($M194="","",INDEX('Form Calc'!$F:$F,$M194))</f>
        <v/>
      </c>
      <c r="M194" s="32">
        <f>IF(189&gt;MAX('Form Calc'!$Y$2:$Y$601),"",IFERROR(MATCH(MAX('Form Calc'!$Y$2:$Y$601)+1-189,'Form Calc'!$Z:$Z,0),""))</f>
        <v/>
      </c>
    </row>
    <row r="195">
      <c r="A195" s="62">
        <f>IF($M195="","",INDEX('Form Calc'!$B:$B,$M195))</f>
        <v/>
      </c>
      <c r="B195" s="47">
        <f>IF($M195="","",INDEX('Form Calc'!$G:$G,$M195))</f>
        <v/>
      </c>
      <c r="C195" s="47">
        <f>IF($M195="","",INDEX('Form Calc'!$H:$H,$M195))</f>
        <v/>
      </c>
      <c r="D195" s="47">
        <f>IF($M195="","",INDEX('Form Calc'!$I:$I,$M195))</f>
        <v/>
      </c>
      <c r="E195" s="47">
        <f>IF($M195="","",INDEX('Form Calc'!$K:$K,$M195))</f>
        <v/>
      </c>
      <c r="F195" s="47">
        <f>IF($M195="","",INDEX('Form Calc'!$C:$C,$M195))</f>
        <v/>
      </c>
      <c r="G195" s="47">
        <f>IF($M195="","",IF(INDEX('Form Calc'!$R:$R,$M195)="","NEW","✓ yes"))</f>
        <v/>
      </c>
      <c r="H195" s="44">
        <f>IF($M195="","",INDEX('Form Calc'!$A:$A,$M195))</f>
        <v/>
      </c>
      <c r="I195" s="63">
        <f>IF($M195="","",INDEX('Form Calc'!$J:$J,$M195))</f>
        <v/>
      </c>
      <c r="J195" s="63">
        <f>IF($M195="","",INDEX('Form Calc'!$L:$L,$M195))</f>
        <v/>
      </c>
      <c r="K195" s="63">
        <f>IF($M195="","",INDEX('Form Calc'!$M:$M,$M195))</f>
        <v/>
      </c>
      <c r="L195" s="47">
        <f>IF($M195="","",INDEX('Form Calc'!$F:$F,$M195))</f>
        <v/>
      </c>
      <c r="M195" s="32">
        <f>IF(190&gt;MAX('Form Calc'!$Y$2:$Y$601),"",IFERROR(MATCH(MAX('Form Calc'!$Y$2:$Y$601)+1-190,'Form Calc'!$Z:$Z,0),""))</f>
        <v/>
      </c>
    </row>
    <row r="196">
      <c r="A196" s="62">
        <f>IF($M196="","",INDEX('Form Calc'!$B:$B,$M196))</f>
        <v/>
      </c>
      <c r="B196" s="47">
        <f>IF($M196="","",INDEX('Form Calc'!$G:$G,$M196))</f>
        <v/>
      </c>
      <c r="C196" s="47">
        <f>IF($M196="","",INDEX('Form Calc'!$H:$H,$M196))</f>
        <v/>
      </c>
      <c r="D196" s="47">
        <f>IF($M196="","",INDEX('Form Calc'!$I:$I,$M196))</f>
        <v/>
      </c>
      <c r="E196" s="47">
        <f>IF($M196="","",INDEX('Form Calc'!$K:$K,$M196))</f>
        <v/>
      </c>
      <c r="F196" s="47">
        <f>IF($M196="","",INDEX('Form Calc'!$C:$C,$M196))</f>
        <v/>
      </c>
      <c r="G196" s="47">
        <f>IF($M196="","",IF(INDEX('Form Calc'!$R:$R,$M196)="","NEW","✓ yes"))</f>
        <v/>
      </c>
      <c r="H196" s="44">
        <f>IF($M196="","",INDEX('Form Calc'!$A:$A,$M196))</f>
        <v/>
      </c>
      <c r="I196" s="63">
        <f>IF($M196="","",INDEX('Form Calc'!$J:$J,$M196))</f>
        <v/>
      </c>
      <c r="J196" s="63">
        <f>IF($M196="","",INDEX('Form Calc'!$L:$L,$M196))</f>
        <v/>
      </c>
      <c r="K196" s="63">
        <f>IF($M196="","",INDEX('Form Calc'!$M:$M,$M196))</f>
        <v/>
      </c>
      <c r="L196" s="47">
        <f>IF($M196="","",INDEX('Form Calc'!$F:$F,$M196))</f>
        <v/>
      </c>
      <c r="M196" s="32">
        <f>IF(191&gt;MAX('Form Calc'!$Y$2:$Y$601),"",IFERROR(MATCH(MAX('Form Calc'!$Y$2:$Y$601)+1-191,'Form Calc'!$Z:$Z,0),""))</f>
        <v/>
      </c>
    </row>
    <row r="197">
      <c r="A197" s="62">
        <f>IF($M197="","",INDEX('Form Calc'!$B:$B,$M197))</f>
        <v/>
      </c>
      <c r="B197" s="47">
        <f>IF($M197="","",INDEX('Form Calc'!$G:$G,$M197))</f>
        <v/>
      </c>
      <c r="C197" s="47">
        <f>IF($M197="","",INDEX('Form Calc'!$H:$H,$M197))</f>
        <v/>
      </c>
      <c r="D197" s="47">
        <f>IF($M197="","",INDEX('Form Calc'!$I:$I,$M197))</f>
        <v/>
      </c>
      <c r="E197" s="47">
        <f>IF($M197="","",INDEX('Form Calc'!$K:$K,$M197))</f>
        <v/>
      </c>
      <c r="F197" s="47">
        <f>IF($M197="","",INDEX('Form Calc'!$C:$C,$M197))</f>
        <v/>
      </c>
      <c r="G197" s="47">
        <f>IF($M197="","",IF(INDEX('Form Calc'!$R:$R,$M197)="","NEW","✓ yes"))</f>
        <v/>
      </c>
      <c r="H197" s="44">
        <f>IF($M197="","",INDEX('Form Calc'!$A:$A,$M197))</f>
        <v/>
      </c>
      <c r="I197" s="63">
        <f>IF($M197="","",INDEX('Form Calc'!$J:$J,$M197))</f>
        <v/>
      </c>
      <c r="J197" s="63">
        <f>IF($M197="","",INDEX('Form Calc'!$L:$L,$M197))</f>
        <v/>
      </c>
      <c r="K197" s="63">
        <f>IF($M197="","",INDEX('Form Calc'!$M:$M,$M197))</f>
        <v/>
      </c>
      <c r="L197" s="47">
        <f>IF($M197="","",INDEX('Form Calc'!$F:$F,$M197))</f>
        <v/>
      </c>
      <c r="M197" s="32">
        <f>IF(192&gt;MAX('Form Calc'!$Y$2:$Y$601),"",IFERROR(MATCH(MAX('Form Calc'!$Y$2:$Y$601)+1-192,'Form Calc'!$Z:$Z,0),""))</f>
        <v/>
      </c>
    </row>
    <row r="198">
      <c r="A198" s="62">
        <f>IF($M198="","",INDEX('Form Calc'!$B:$B,$M198))</f>
        <v/>
      </c>
      <c r="B198" s="47">
        <f>IF($M198="","",INDEX('Form Calc'!$G:$G,$M198))</f>
        <v/>
      </c>
      <c r="C198" s="47">
        <f>IF($M198="","",INDEX('Form Calc'!$H:$H,$M198))</f>
        <v/>
      </c>
      <c r="D198" s="47">
        <f>IF($M198="","",INDEX('Form Calc'!$I:$I,$M198))</f>
        <v/>
      </c>
      <c r="E198" s="47">
        <f>IF($M198="","",INDEX('Form Calc'!$K:$K,$M198))</f>
        <v/>
      </c>
      <c r="F198" s="47">
        <f>IF($M198="","",INDEX('Form Calc'!$C:$C,$M198))</f>
        <v/>
      </c>
      <c r="G198" s="47">
        <f>IF($M198="","",IF(INDEX('Form Calc'!$R:$R,$M198)="","NEW","✓ yes"))</f>
        <v/>
      </c>
      <c r="H198" s="44">
        <f>IF($M198="","",INDEX('Form Calc'!$A:$A,$M198))</f>
        <v/>
      </c>
      <c r="I198" s="63">
        <f>IF($M198="","",INDEX('Form Calc'!$J:$J,$M198))</f>
        <v/>
      </c>
      <c r="J198" s="63">
        <f>IF($M198="","",INDEX('Form Calc'!$L:$L,$M198))</f>
        <v/>
      </c>
      <c r="K198" s="63">
        <f>IF($M198="","",INDEX('Form Calc'!$M:$M,$M198))</f>
        <v/>
      </c>
      <c r="L198" s="47">
        <f>IF($M198="","",INDEX('Form Calc'!$F:$F,$M198))</f>
        <v/>
      </c>
      <c r="M198" s="32">
        <f>IF(193&gt;MAX('Form Calc'!$Y$2:$Y$601),"",IFERROR(MATCH(MAX('Form Calc'!$Y$2:$Y$601)+1-193,'Form Calc'!$Z:$Z,0),""))</f>
        <v/>
      </c>
    </row>
    <row r="199">
      <c r="A199" s="62">
        <f>IF($M199="","",INDEX('Form Calc'!$B:$B,$M199))</f>
        <v/>
      </c>
      <c r="B199" s="47">
        <f>IF($M199="","",INDEX('Form Calc'!$G:$G,$M199))</f>
        <v/>
      </c>
      <c r="C199" s="47">
        <f>IF($M199="","",INDEX('Form Calc'!$H:$H,$M199))</f>
        <v/>
      </c>
      <c r="D199" s="47">
        <f>IF($M199="","",INDEX('Form Calc'!$I:$I,$M199))</f>
        <v/>
      </c>
      <c r="E199" s="47">
        <f>IF($M199="","",INDEX('Form Calc'!$K:$K,$M199))</f>
        <v/>
      </c>
      <c r="F199" s="47">
        <f>IF($M199="","",INDEX('Form Calc'!$C:$C,$M199))</f>
        <v/>
      </c>
      <c r="G199" s="47">
        <f>IF($M199="","",IF(INDEX('Form Calc'!$R:$R,$M199)="","NEW","✓ yes"))</f>
        <v/>
      </c>
      <c r="H199" s="44">
        <f>IF($M199="","",INDEX('Form Calc'!$A:$A,$M199))</f>
        <v/>
      </c>
      <c r="I199" s="63">
        <f>IF($M199="","",INDEX('Form Calc'!$J:$J,$M199))</f>
        <v/>
      </c>
      <c r="J199" s="63">
        <f>IF($M199="","",INDEX('Form Calc'!$L:$L,$M199))</f>
        <v/>
      </c>
      <c r="K199" s="63">
        <f>IF($M199="","",INDEX('Form Calc'!$M:$M,$M199))</f>
        <v/>
      </c>
      <c r="L199" s="47">
        <f>IF($M199="","",INDEX('Form Calc'!$F:$F,$M199))</f>
        <v/>
      </c>
      <c r="M199" s="32">
        <f>IF(194&gt;MAX('Form Calc'!$Y$2:$Y$601),"",IFERROR(MATCH(MAX('Form Calc'!$Y$2:$Y$601)+1-194,'Form Calc'!$Z:$Z,0),""))</f>
        <v/>
      </c>
    </row>
    <row r="200">
      <c r="A200" s="62">
        <f>IF($M200="","",INDEX('Form Calc'!$B:$B,$M200))</f>
        <v/>
      </c>
      <c r="B200" s="47">
        <f>IF($M200="","",INDEX('Form Calc'!$G:$G,$M200))</f>
        <v/>
      </c>
      <c r="C200" s="47">
        <f>IF($M200="","",INDEX('Form Calc'!$H:$H,$M200))</f>
        <v/>
      </c>
      <c r="D200" s="47">
        <f>IF($M200="","",INDEX('Form Calc'!$I:$I,$M200))</f>
        <v/>
      </c>
      <c r="E200" s="47">
        <f>IF($M200="","",INDEX('Form Calc'!$K:$K,$M200))</f>
        <v/>
      </c>
      <c r="F200" s="47">
        <f>IF($M200="","",INDEX('Form Calc'!$C:$C,$M200))</f>
        <v/>
      </c>
      <c r="G200" s="47">
        <f>IF($M200="","",IF(INDEX('Form Calc'!$R:$R,$M200)="","NEW","✓ yes"))</f>
        <v/>
      </c>
      <c r="H200" s="44">
        <f>IF($M200="","",INDEX('Form Calc'!$A:$A,$M200))</f>
        <v/>
      </c>
      <c r="I200" s="63">
        <f>IF($M200="","",INDEX('Form Calc'!$J:$J,$M200))</f>
        <v/>
      </c>
      <c r="J200" s="63">
        <f>IF($M200="","",INDEX('Form Calc'!$L:$L,$M200))</f>
        <v/>
      </c>
      <c r="K200" s="63">
        <f>IF($M200="","",INDEX('Form Calc'!$M:$M,$M200))</f>
        <v/>
      </c>
      <c r="L200" s="47">
        <f>IF($M200="","",INDEX('Form Calc'!$F:$F,$M200))</f>
        <v/>
      </c>
      <c r="M200" s="32">
        <f>IF(195&gt;MAX('Form Calc'!$Y$2:$Y$601),"",IFERROR(MATCH(MAX('Form Calc'!$Y$2:$Y$601)+1-195,'Form Calc'!$Z:$Z,0),""))</f>
        <v/>
      </c>
    </row>
    <row r="201">
      <c r="A201" s="62">
        <f>IF($M201="","",INDEX('Form Calc'!$B:$B,$M201))</f>
        <v/>
      </c>
      <c r="B201" s="47">
        <f>IF($M201="","",INDEX('Form Calc'!$G:$G,$M201))</f>
        <v/>
      </c>
      <c r="C201" s="47">
        <f>IF($M201="","",INDEX('Form Calc'!$H:$H,$M201))</f>
        <v/>
      </c>
      <c r="D201" s="47">
        <f>IF($M201="","",INDEX('Form Calc'!$I:$I,$M201))</f>
        <v/>
      </c>
      <c r="E201" s="47">
        <f>IF($M201="","",INDEX('Form Calc'!$K:$K,$M201))</f>
        <v/>
      </c>
      <c r="F201" s="47">
        <f>IF($M201="","",INDEX('Form Calc'!$C:$C,$M201))</f>
        <v/>
      </c>
      <c r="G201" s="47">
        <f>IF($M201="","",IF(INDEX('Form Calc'!$R:$R,$M201)="","NEW","✓ yes"))</f>
        <v/>
      </c>
      <c r="H201" s="44">
        <f>IF($M201="","",INDEX('Form Calc'!$A:$A,$M201))</f>
        <v/>
      </c>
      <c r="I201" s="63">
        <f>IF($M201="","",INDEX('Form Calc'!$J:$J,$M201))</f>
        <v/>
      </c>
      <c r="J201" s="63">
        <f>IF($M201="","",INDEX('Form Calc'!$L:$L,$M201))</f>
        <v/>
      </c>
      <c r="K201" s="63">
        <f>IF($M201="","",INDEX('Form Calc'!$M:$M,$M201))</f>
        <v/>
      </c>
      <c r="L201" s="47">
        <f>IF($M201="","",INDEX('Form Calc'!$F:$F,$M201))</f>
        <v/>
      </c>
      <c r="M201" s="32">
        <f>IF(196&gt;MAX('Form Calc'!$Y$2:$Y$601),"",IFERROR(MATCH(MAX('Form Calc'!$Y$2:$Y$601)+1-196,'Form Calc'!$Z:$Z,0),""))</f>
        <v/>
      </c>
    </row>
    <row r="202">
      <c r="A202" s="62">
        <f>IF($M202="","",INDEX('Form Calc'!$B:$B,$M202))</f>
        <v/>
      </c>
      <c r="B202" s="47">
        <f>IF($M202="","",INDEX('Form Calc'!$G:$G,$M202))</f>
        <v/>
      </c>
      <c r="C202" s="47">
        <f>IF($M202="","",INDEX('Form Calc'!$H:$H,$M202))</f>
        <v/>
      </c>
      <c r="D202" s="47">
        <f>IF($M202="","",INDEX('Form Calc'!$I:$I,$M202))</f>
        <v/>
      </c>
      <c r="E202" s="47">
        <f>IF($M202="","",INDEX('Form Calc'!$K:$K,$M202))</f>
        <v/>
      </c>
      <c r="F202" s="47">
        <f>IF($M202="","",INDEX('Form Calc'!$C:$C,$M202))</f>
        <v/>
      </c>
      <c r="G202" s="47">
        <f>IF($M202="","",IF(INDEX('Form Calc'!$R:$R,$M202)="","NEW","✓ yes"))</f>
        <v/>
      </c>
      <c r="H202" s="44">
        <f>IF($M202="","",INDEX('Form Calc'!$A:$A,$M202))</f>
        <v/>
      </c>
      <c r="I202" s="63">
        <f>IF($M202="","",INDEX('Form Calc'!$J:$J,$M202))</f>
        <v/>
      </c>
      <c r="J202" s="63">
        <f>IF($M202="","",INDEX('Form Calc'!$L:$L,$M202))</f>
        <v/>
      </c>
      <c r="K202" s="63">
        <f>IF($M202="","",INDEX('Form Calc'!$M:$M,$M202))</f>
        <v/>
      </c>
      <c r="L202" s="47">
        <f>IF($M202="","",INDEX('Form Calc'!$F:$F,$M202))</f>
        <v/>
      </c>
      <c r="M202" s="32">
        <f>IF(197&gt;MAX('Form Calc'!$Y$2:$Y$601),"",IFERROR(MATCH(MAX('Form Calc'!$Y$2:$Y$601)+1-197,'Form Calc'!$Z:$Z,0),""))</f>
        <v/>
      </c>
    </row>
    <row r="203">
      <c r="A203" s="62">
        <f>IF($M203="","",INDEX('Form Calc'!$B:$B,$M203))</f>
        <v/>
      </c>
      <c r="B203" s="47">
        <f>IF($M203="","",INDEX('Form Calc'!$G:$G,$M203))</f>
        <v/>
      </c>
      <c r="C203" s="47">
        <f>IF($M203="","",INDEX('Form Calc'!$H:$H,$M203))</f>
        <v/>
      </c>
      <c r="D203" s="47">
        <f>IF($M203="","",INDEX('Form Calc'!$I:$I,$M203))</f>
        <v/>
      </c>
      <c r="E203" s="47">
        <f>IF($M203="","",INDEX('Form Calc'!$K:$K,$M203))</f>
        <v/>
      </c>
      <c r="F203" s="47">
        <f>IF($M203="","",INDEX('Form Calc'!$C:$C,$M203))</f>
        <v/>
      </c>
      <c r="G203" s="47">
        <f>IF($M203="","",IF(INDEX('Form Calc'!$R:$R,$M203)="","NEW","✓ yes"))</f>
        <v/>
      </c>
      <c r="H203" s="44">
        <f>IF($M203="","",INDEX('Form Calc'!$A:$A,$M203))</f>
        <v/>
      </c>
      <c r="I203" s="63">
        <f>IF($M203="","",INDEX('Form Calc'!$J:$J,$M203))</f>
        <v/>
      </c>
      <c r="J203" s="63">
        <f>IF($M203="","",INDEX('Form Calc'!$L:$L,$M203))</f>
        <v/>
      </c>
      <c r="K203" s="63">
        <f>IF($M203="","",INDEX('Form Calc'!$M:$M,$M203))</f>
        <v/>
      </c>
      <c r="L203" s="47">
        <f>IF($M203="","",INDEX('Form Calc'!$F:$F,$M203))</f>
        <v/>
      </c>
      <c r="M203" s="32">
        <f>IF(198&gt;MAX('Form Calc'!$Y$2:$Y$601),"",IFERROR(MATCH(MAX('Form Calc'!$Y$2:$Y$601)+1-198,'Form Calc'!$Z:$Z,0),""))</f>
        <v/>
      </c>
    </row>
    <row r="204">
      <c r="A204" s="62">
        <f>IF($M204="","",INDEX('Form Calc'!$B:$B,$M204))</f>
        <v/>
      </c>
      <c r="B204" s="47">
        <f>IF($M204="","",INDEX('Form Calc'!$G:$G,$M204))</f>
        <v/>
      </c>
      <c r="C204" s="47">
        <f>IF($M204="","",INDEX('Form Calc'!$H:$H,$M204))</f>
        <v/>
      </c>
      <c r="D204" s="47">
        <f>IF($M204="","",INDEX('Form Calc'!$I:$I,$M204))</f>
        <v/>
      </c>
      <c r="E204" s="47">
        <f>IF($M204="","",INDEX('Form Calc'!$K:$K,$M204))</f>
        <v/>
      </c>
      <c r="F204" s="47">
        <f>IF($M204="","",INDEX('Form Calc'!$C:$C,$M204))</f>
        <v/>
      </c>
      <c r="G204" s="47">
        <f>IF($M204="","",IF(INDEX('Form Calc'!$R:$R,$M204)="","NEW","✓ yes"))</f>
        <v/>
      </c>
      <c r="H204" s="44">
        <f>IF($M204="","",INDEX('Form Calc'!$A:$A,$M204))</f>
        <v/>
      </c>
      <c r="I204" s="63">
        <f>IF($M204="","",INDEX('Form Calc'!$J:$J,$M204))</f>
        <v/>
      </c>
      <c r="J204" s="63">
        <f>IF($M204="","",INDEX('Form Calc'!$L:$L,$M204))</f>
        <v/>
      </c>
      <c r="K204" s="63">
        <f>IF($M204="","",INDEX('Form Calc'!$M:$M,$M204))</f>
        <v/>
      </c>
      <c r="L204" s="47">
        <f>IF($M204="","",INDEX('Form Calc'!$F:$F,$M204))</f>
        <v/>
      </c>
      <c r="M204" s="32">
        <f>IF(199&gt;MAX('Form Calc'!$Y$2:$Y$601),"",IFERROR(MATCH(MAX('Form Calc'!$Y$2:$Y$601)+1-199,'Form Calc'!$Z:$Z,0),""))</f>
        <v/>
      </c>
    </row>
    <row r="205">
      <c r="A205" s="62">
        <f>IF($M205="","",INDEX('Form Calc'!$B:$B,$M205))</f>
        <v/>
      </c>
      <c r="B205" s="47">
        <f>IF($M205="","",INDEX('Form Calc'!$G:$G,$M205))</f>
        <v/>
      </c>
      <c r="C205" s="47">
        <f>IF($M205="","",INDEX('Form Calc'!$H:$H,$M205))</f>
        <v/>
      </c>
      <c r="D205" s="47">
        <f>IF($M205="","",INDEX('Form Calc'!$I:$I,$M205))</f>
        <v/>
      </c>
      <c r="E205" s="47">
        <f>IF($M205="","",INDEX('Form Calc'!$K:$K,$M205))</f>
        <v/>
      </c>
      <c r="F205" s="47">
        <f>IF($M205="","",INDEX('Form Calc'!$C:$C,$M205))</f>
        <v/>
      </c>
      <c r="G205" s="47">
        <f>IF($M205="","",IF(INDEX('Form Calc'!$R:$R,$M205)="","NEW","✓ yes"))</f>
        <v/>
      </c>
      <c r="H205" s="44">
        <f>IF($M205="","",INDEX('Form Calc'!$A:$A,$M205))</f>
        <v/>
      </c>
      <c r="I205" s="63">
        <f>IF($M205="","",INDEX('Form Calc'!$J:$J,$M205))</f>
        <v/>
      </c>
      <c r="J205" s="63">
        <f>IF($M205="","",INDEX('Form Calc'!$L:$L,$M205))</f>
        <v/>
      </c>
      <c r="K205" s="63">
        <f>IF($M205="","",INDEX('Form Calc'!$M:$M,$M205))</f>
        <v/>
      </c>
      <c r="L205" s="47">
        <f>IF($M205="","",INDEX('Form Calc'!$F:$F,$M205))</f>
        <v/>
      </c>
      <c r="M205" s="32">
        <f>IF(200&gt;MAX('Form Calc'!$Y$2:$Y$601),"",IFERROR(MATCH(MAX('Form Calc'!$Y$2:$Y$601)+1-200,'Form Calc'!$Z:$Z,0),""))</f>
        <v/>
      </c>
    </row>
    <row r="206">
      <c r="A206" s="62">
        <f>IF($M206="","",INDEX('Form Calc'!$B:$B,$M206))</f>
        <v/>
      </c>
      <c r="B206" s="47">
        <f>IF($M206="","",INDEX('Form Calc'!$G:$G,$M206))</f>
        <v/>
      </c>
      <c r="C206" s="47">
        <f>IF($M206="","",INDEX('Form Calc'!$H:$H,$M206))</f>
        <v/>
      </c>
      <c r="D206" s="47">
        <f>IF($M206="","",INDEX('Form Calc'!$I:$I,$M206))</f>
        <v/>
      </c>
      <c r="E206" s="47">
        <f>IF($M206="","",INDEX('Form Calc'!$K:$K,$M206))</f>
        <v/>
      </c>
      <c r="F206" s="47">
        <f>IF($M206="","",INDEX('Form Calc'!$C:$C,$M206))</f>
        <v/>
      </c>
      <c r="G206" s="47">
        <f>IF($M206="","",IF(INDEX('Form Calc'!$R:$R,$M206)="","NEW","✓ yes"))</f>
        <v/>
      </c>
      <c r="H206" s="44">
        <f>IF($M206="","",INDEX('Form Calc'!$A:$A,$M206))</f>
        <v/>
      </c>
      <c r="I206" s="63">
        <f>IF($M206="","",INDEX('Form Calc'!$J:$J,$M206))</f>
        <v/>
      </c>
      <c r="J206" s="63">
        <f>IF($M206="","",INDEX('Form Calc'!$L:$L,$M206))</f>
        <v/>
      </c>
      <c r="K206" s="63">
        <f>IF($M206="","",INDEX('Form Calc'!$M:$M,$M206))</f>
        <v/>
      </c>
      <c r="L206" s="47">
        <f>IF($M206="","",INDEX('Form Calc'!$F:$F,$M206))</f>
        <v/>
      </c>
      <c r="M206" s="32">
        <f>IF(201&gt;MAX('Form Calc'!$Y$2:$Y$601),"",IFERROR(MATCH(MAX('Form Calc'!$Y$2:$Y$601)+1-201,'Form Calc'!$Z:$Z,0),""))</f>
        <v/>
      </c>
    </row>
    <row r="207">
      <c r="A207" s="62">
        <f>IF($M207="","",INDEX('Form Calc'!$B:$B,$M207))</f>
        <v/>
      </c>
      <c r="B207" s="47">
        <f>IF($M207="","",INDEX('Form Calc'!$G:$G,$M207))</f>
        <v/>
      </c>
      <c r="C207" s="47">
        <f>IF($M207="","",INDEX('Form Calc'!$H:$H,$M207))</f>
        <v/>
      </c>
      <c r="D207" s="47">
        <f>IF($M207="","",INDEX('Form Calc'!$I:$I,$M207))</f>
        <v/>
      </c>
      <c r="E207" s="47">
        <f>IF($M207="","",INDEX('Form Calc'!$K:$K,$M207))</f>
        <v/>
      </c>
      <c r="F207" s="47">
        <f>IF($M207="","",INDEX('Form Calc'!$C:$C,$M207))</f>
        <v/>
      </c>
      <c r="G207" s="47">
        <f>IF($M207="","",IF(INDEX('Form Calc'!$R:$R,$M207)="","NEW","✓ yes"))</f>
        <v/>
      </c>
      <c r="H207" s="44">
        <f>IF($M207="","",INDEX('Form Calc'!$A:$A,$M207))</f>
        <v/>
      </c>
      <c r="I207" s="63">
        <f>IF($M207="","",INDEX('Form Calc'!$J:$J,$M207))</f>
        <v/>
      </c>
      <c r="J207" s="63">
        <f>IF($M207="","",INDEX('Form Calc'!$L:$L,$M207))</f>
        <v/>
      </c>
      <c r="K207" s="63">
        <f>IF($M207="","",INDEX('Form Calc'!$M:$M,$M207))</f>
        <v/>
      </c>
      <c r="L207" s="47">
        <f>IF($M207="","",INDEX('Form Calc'!$F:$F,$M207))</f>
        <v/>
      </c>
      <c r="M207" s="32">
        <f>IF(202&gt;MAX('Form Calc'!$Y$2:$Y$601),"",IFERROR(MATCH(MAX('Form Calc'!$Y$2:$Y$601)+1-202,'Form Calc'!$Z:$Z,0),""))</f>
        <v/>
      </c>
    </row>
    <row r="208">
      <c r="A208" s="62">
        <f>IF($M208="","",INDEX('Form Calc'!$B:$B,$M208))</f>
        <v/>
      </c>
      <c r="B208" s="47">
        <f>IF($M208="","",INDEX('Form Calc'!$G:$G,$M208))</f>
        <v/>
      </c>
      <c r="C208" s="47">
        <f>IF($M208="","",INDEX('Form Calc'!$H:$H,$M208))</f>
        <v/>
      </c>
      <c r="D208" s="47">
        <f>IF($M208="","",INDEX('Form Calc'!$I:$I,$M208))</f>
        <v/>
      </c>
      <c r="E208" s="47">
        <f>IF($M208="","",INDEX('Form Calc'!$K:$K,$M208))</f>
        <v/>
      </c>
      <c r="F208" s="47">
        <f>IF($M208="","",INDEX('Form Calc'!$C:$C,$M208))</f>
        <v/>
      </c>
      <c r="G208" s="47">
        <f>IF($M208="","",IF(INDEX('Form Calc'!$R:$R,$M208)="","NEW","✓ yes"))</f>
        <v/>
      </c>
      <c r="H208" s="44">
        <f>IF($M208="","",INDEX('Form Calc'!$A:$A,$M208))</f>
        <v/>
      </c>
      <c r="I208" s="63">
        <f>IF($M208="","",INDEX('Form Calc'!$J:$J,$M208))</f>
        <v/>
      </c>
      <c r="J208" s="63">
        <f>IF($M208="","",INDEX('Form Calc'!$L:$L,$M208))</f>
        <v/>
      </c>
      <c r="K208" s="63">
        <f>IF($M208="","",INDEX('Form Calc'!$M:$M,$M208))</f>
        <v/>
      </c>
      <c r="L208" s="47">
        <f>IF($M208="","",INDEX('Form Calc'!$F:$F,$M208))</f>
        <v/>
      </c>
      <c r="M208" s="32">
        <f>IF(203&gt;MAX('Form Calc'!$Y$2:$Y$601),"",IFERROR(MATCH(MAX('Form Calc'!$Y$2:$Y$601)+1-203,'Form Calc'!$Z:$Z,0),""))</f>
        <v/>
      </c>
    </row>
    <row r="209">
      <c r="A209" s="62">
        <f>IF($M209="","",INDEX('Form Calc'!$B:$B,$M209))</f>
        <v/>
      </c>
      <c r="B209" s="47">
        <f>IF($M209="","",INDEX('Form Calc'!$G:$G,$M209))</f>
        <v/>
      </c>
      <c r="C209" s="47">
        <f>IF($M209="","",INDEX('Form Calc'!$H:$H,$M209))</f>
        <v/>
      </c>
      <c r="D209" s="47">
        <f>IF($M209="","",INDEX('Form Calc'!$I:$I,$M209))</f>
        <v/>
      </c>
      <c r="E209" s="47">
        <f>IF($M209="","",INDEX('Form Calc'!$K:$K,$M209))</f>
        <v/>
      </c>
      <c r="F209" s="47">
        <f>IF($M209="","",INDEX('Form Calc'!$C:$C,$M209))</f>
        <v/>
      </c>
      <c r="G209" s="47">
        <f>IF($M209="","",IF(INDEX('Form Calc'!$R:$R,$M209)="","NEW","✓ yes"))</f>
        <v/>
      </c>
      <c r="H209" s="44">
        <f>IF($M209="","",INDEX('Form Calc'!$A:$A,$M209))</f>
        <v/>
      </c>
      <c r="I209" s="63">
        <f>IF($M209="","",INDEX('Form Calc'!$J:$J,$M209))</f>
        <v/>
      </c>
      <c r="J209" s="63">
        <f>IF($M209="","",INDEX('Form Calc'!$L:$L,$M209))</f>
        <v/>
      </c>
      <c r="K209" s="63">
        <f>IF($M209="","",INDEX('Form Calc'!$M:$M,$M209))</f>
        <v/>
      </c>
      <c r="L209" s="47">
        <f>IF($M209="","",INDEX('Form Calc'!$F:$F,$M209))</f>
        <v/>
      </c>
      <c r="M209" s="32">
        <f>IF(204&gt;MAX('Form Calc'!$Y$2:$Y$601),"",IFERROR(MATCH(MAX('Form Calc'!$Y$2:$Y$601)+1-204,'Form Calc'!$Z:$Z,0),""))</f>
        <v/>
      </c>
    </row>
    <row r="210">
      <c r="A210" s="62">
        <f>IF($M210="","",INDEX('Form Calc'!$B:$B,$M210))</f>
        <v/>
      </c>
      <c r="B210" s="47">
        <f>IF($M210="","",INDEX('Form Calc'!$G:$G,$M210))</f>
        <v/>
      </c>
      <c r="C210" s="47">
        <f>IF($M210="","",INDEX('Form Calc'!$H:$H,$M210))</f>
        <v/>
      </c>
      <c r="D210" s="47">
        <f>IF($M210="","",INDEX('Form Calc'!$I:$I,$M210))</f>
        <v/>
      </c>
      <c r="E210" s="47">
        <f>IF($M210="","",INDEX('Form Calc'!$K:$K,$M210))</f>
        <v/>
      </c>
      <c r="F210" s="47">
        <f>IF($M210="","",INDEX('Form Calc'!$C:$C,$M210))</f>
        <v/>
      </c>
      <c r="G210" s="47">
        <f>IF($M210="","",IF(INDEX('Form Calc'!$R:$R,$M210)="","NEW","✓ yes"))</f>
        <v/>
      </c>
      <c r="H210" s="44">
        <f>IF($M210="","",INDEX('Form Calc'!$A:$A,$M210))</f>
        <v/>
      </c>
      <c r="I210" s="63">
        <f>IF($M210="","",INDEX('Form Calc'!$J:$J,$M210))</f>
        <v/>
      </c>
      <c r="J210" s="63">
        <f>IF($M210="","",INDEX('Form Calc'!$L:$L,$M210))</f>
        <v/>
      </c>
      <c r="K210" s="63">
        <f>IF($M210="","",INDEX('Form Calc'!$M:$M,$M210))</f>
        <v/>
      </c>
      <c r="L210" s="47">
        <f>IF($M210="","",INDEX('Form Calc'!$F:$F,$M210))</f>
        <v/>
      </c>
      <c r="M210" s="32">
        <f>IF(205&gt;MAX('Form Calc'!$Y$2:$Y$601),"",IFERROR(MATCH(MAX('Form Calc'!$Y$2:$Y$601)+1-205,'Form Calc'!$Z:$Z,0),""))</f>
        <v/>
      </c>
    </row>
    <row r="211">
      <c r="A211" s="62">
        <f>IF($M211="","",INDEX('Form Calc'!$B:$B,$M211))</f>
        <v/>
      </c>
      <c r="B211" s="47">
        <f>IF($M211="","",INDEX('Form Calc'!$G:$G,$M211))</f>
        <v/>
      </c>
      <c r="C211" s="47">
        <f>IF($M211="","",INDEX('Form Calc'!$H:$H,$M211))</f>
        <v/>
      </c>
      <c r="D211" s="47">
        <f>IF($M211="","",INDEX('Form Calc'!$I:$I,$M211))</f>
        <v/>
      </c>
      <c r="E211" s="47">
        <f>IF($M211="","",INDEX('Form Calc'!$K:$K,$M211))</f>
        <v/>
      </c>
      <c r="F211" s="47">
        <f>IF($M211="","",INDEX('Form Calc'!$C:$C,$M211))</f>
        <v/>
      </c>
      <c r="G211" s="47">
        <f>IF($M211="","",IF(INDEX('Form Calc'!$R:$R,$M211)="","NEW","✓ yes"))</f>
        <v/>
      </c>
      <c r="H211" s="44">
        <f>IF($M211="","",INDEX('Form Calc'!$A:$A,$M211))</f>
        <v/>
      </c>
      <c r="I211" s="63">
        <f>IF($M211="","",INDEX('Form Calc'!$J:$J,$M211))</f>
        <v/>
      </c>
      <c r="J211" s="63">
        <f>IF($M211="","",INDEX('Form Calc'!$L:$L,$M211))</f>
        <v/>
      </c>
      <c r="K211" s="63">
        <f>IF($M211="","",INDEX('Form Calc'!$M:$M,$M211))</f>
        <v/>
      </c>
      <c r="L211" s="47">
        <f>IF($M211="","",INDEX('Form Calc'!$F:$F,$M211))</f>
        <v/>
      </c>
      <c r="M211" s="32">
        <f>IF(206&gt;MAX('Form Calc'!$Y$2:$Y$601),"",IFERROR(MATCH(MAX('Form Calc'!$Y$2:$Y$601)+1-206,'Form Calc'!$Z:$Z,0),""))</f>
        <v/>
      </c>
    </row>
    <row r="212">
      <c r="A212" s="62">
        <f>IF($M212="","",INDEX('Form Calc'!$B:$B,$M212))</f>
        <v/>
      </c>
      <c r="B212" s="47">
        <f>IF($M212="","",INDEX('Form Calc'!$G:$G,$M212))</f>
        <v/>
      </c>
      <c r="C212" s="47">
        <f>IF($M212="","",INDEX('Form Calc'!$H:$H,$M212))</f>
        <v/>
      </c>
      <c r="D212" s="47">
        <f>IF($M212="","",INDEX('Form Calc'!$I:$I,$M212))</f>
        <v/>
      </c>
      <c r="E212" s="47">
        <f>IF($M212="","",INDEX('Form Calc'!$K:$K,$M212))</f>
        <v/>
      </c>
      <c r="F212" s="47">
        <f>IF($M212="","",INDEX('Form Calc'!$C:$C,$M212))</f>
        <v/>
      </c>
      <c r="G212" s="47">
        <f>IF($M212="","",IF(INDEX('Form Calc'!$R:$R,$M212)="","NEW","✓ yes"))</f>
        <v/>
      </c>
      <c r="H212" s="44">
        <f>IF($M212="","",INDEX('Form Calc'!$A:$A,$M212))</f>
        <v/>
      </c>
      <c r="I212" s="63">
        <f>IF($M212="","",INDEX('Form Calc'!$J:$J,$M212))</f>
        <v/>
      </c>
      <c r="J212" s="63">
        <f>IF($M212="","",INDEX('Form Calc'!$L:$L,$M212))</f>
        <v/>
      </c>
      <c r="K212" s="63">
        <f>IF($M212="","",INDEX('Form Calc'!$M:$M,$M212))</f>
        <v/>
      </c>
      <c r="L212" s="47">
        <f>IF($M212="","",INDEX('Form Calc'!$F:$F,$M212))</f>
        <v/>
      </c>
      <c r="M212" s="32">
        <f>IF(207&gt;MAX('Form Calc'!$Y$2:$Y$601),"",IFERROR(MATCH(MAX('Form Calc'!$Y$2:$Y$601)+1-207,'Form Calc'!$Z:$Z,0),""))</f>
        <v/>
      </c>
    </row>
    <row r="213">
      <c r="A213" s="62">
        <f>IF($M213="","",INDEX('Form Calc'!$B:$B,$M213))</f>
        <v/>
      </c>
      <c r="B213" s="47">
        <f>IF($M213="","",INDEX('Form Calc'!$G:$G,$M213))</f>
        <v/>
      </c>
      <c r="C213" s="47">
        <f>IF($M213="","",INDEX('Form Calc'!$H:$H,$M213))</f>
        <v/>
      </c>
      <c r="D213" s="47">
        <f>IF($M213="","",INDEX('Form Calc'!$I:$I,$M213))</f>
        <v/>
      </c>
      <c r="E213" s="47">
        <f>IF($M213="","",INDEX('Form Calc'!$K:$K,$M213))</f>
        <v/>
      </c>
      <c r="F213" s="47">
        <f>IF($M213="","",INDEX('Form Calc'!$C:$C,$M213))</f>
        <v/>
      </c>
      <c r="G213" s="47">
        <f>IF($M213="","",IF(INDEX('Form Calc'!$R:$R,$M213)="","NEW","✓ yes"))</f>
        <v/>
      </c>
      <c r="H213" s="44">
        <f>IF($M213="","",INDEX('Form Calc'!$A:$A,$M213))</f>
        <v/>
      </c>
      <c r="I213" s="63">
        <f>IF($M213="","",INDEX('Form Calc'!$J:$J,$M213))</f>
        <v/>
      </c>
      <c r="J213" s="63">
        <f>IF($M213="","",INDEX('Form Calc'!$L:$L,$M213))</f>
        <v/>
      </c>
      <c r="K213" s="63">
        <f>IF($M213="","",INDEX('Form Calc'!$M:$M,$M213))</f>
        <v/>
      </c>
      <c r="L213" s="47">
        <f>IF($M213="","",INDEX('Form Calc'!$F:$F,$M213))</f>
        <v/>
      </c>
      <c r="M213" s="32">
        <f>IF(208&gt;MAX('Form Calc'!$Y$2:$Y$601),"",IFERROR(MATCH(MAX('Form Calc'!$Y$2:$Y$601)+1-208,'Form Calc'!$Z:$Z,0),""))</f>
        <v/>
      </c>
    </row>
    <row r="214">
      <c r="A214" s="62">
        <f>IF($M214="","",INDEX('Form Calc'!$B:$B,$M214))</f>
        <v/>
      </c>
      <c r="B214" s="47">
        <f>IF($M214="","",INDEX('Form Calc'!$G:$G,$M214))</f>
        <v/>
      </c>
      <c r="C214" s="47">
        <f>IF($M214="","",INDEX('Form Calc'!$H:$H,$M214))</f>
        <v/>
      </c>
      <c r="D214" s="47">
        <f>IF($M214="","",INDEX('Form Calc'!$I:$I,$M214))</f>
        <v/>
      </c>
      <c r="E214" s="47">
        <f>IF($M214="","",INDEX('Form Calc'!$K:$K,$M214))</f>
        <v/>
      </c>
      <c r="F214" s="47">
        <f>IF($M214="","",INDEX('Form Calc'!$C:$C,$M214))</f>
        <v/>
      </c>
      <c r="G214" s="47">
        <f>IF($M214="","",IF(INDEX('Form Calc'!$R:$R,$M214)="","NEW","✓ yes"))</f>
        <v/>
      </c>
      <c r="H214" s="44">
        <f>IF($M214="","",INDEX('Form Calc'!$A:$A,$M214))</f>
        <v/>
      </c>
      <c r="I214" s="63">
        <f>IF($M214="","",INDEX('Form Calc'!$J:$J,$M214))</f>
        <v/>
      </c>
      <c r="J214" s="63">
        <f>IF($M214="","",INDEX('Form Calc'!$L:$L,$M214))</f>
        <v/>
      </c>
      <c r="K214" s="63">
        <f>IF($M214="","",INDEX('Form Calc'!$M:$M,$M214))</f>
        <v/>
      </c>
      <c r="L214" s="47">
        <f>IF($M214="","",INDEX('Form Calc'!$F:$F,$M214))</f>
        <v/>
      </c>
      <c r="M214" s="32">
        <f>IF(209&gt;MAX('Form Calc'!$Y$2:$Y$601),"",IFERROR(MATCH(MAX('Form Calc'!$Y$2:$Y$601)+1-209,'Form Calc'!$Z:$Z,0),""))</f>
        <v/>
      </c>
    </row>
    <row r="215">
      <c r="A215" s="62">
        <f>IF($M215="","",INDEX('Form Calc'!$B:$B,$M215))</f>
        <v/>
      </c>
      <c r="B215" s="47">
        <f>IF($M215="","",INDEX('Form Calc'!$G:$G,$M215))</f>
        <v/>
      </c>
      <c r="C215" s="47">
        <f>IF($M215="","",INDEX('Form Calc'!$H:$H,$M215))</f>
        <v/>
      </c>
      <c r="D215" s="47">
        <f>IF($M215="","",INDEX('Form Calc'!$I:$I,$M215))</f>
        <v/>
      </c>
      <c r="E215" s="47">
        <f>IF($M215="","",INDEX('Form Calc'!$K:$K,$M215))</f>
        <v/>
      </c>
      <c r="F215" s="47">
        <f>IF($M215="","",INDEX('Form Calc'!$C:$C,$M215))</f>
        <v/>
      </c>
      <c r="G215" s="47">
        <f>IF($M215="","",IF(INDEX('Form Calc'!$R:$R,$M215)="","NEW","✓ yes"))</f>
        <v/>
      </c>
      <c r="H215" s="44">
        <f>IF($M215="","",INDEX('Form Calc'!$A:$A,$M215))</f>
        <v/>
      </c>
      <c r="I215" s="63">
        <f>IF($M215="","",INDEX('Form Calc'!$J:$J,$M215))</f>
        <v/>
      </c>
      <c r="J215" s="63">
        <f>IF($M215="","",INDEX('Form Calc'!$L:$L,$M215))</f>
        <v/>
      </c>
      <c r="K215" s="63">
        <f>IF($M215="","",INDEX('Form Calc'!$M:$M,$M215))</f>
        <v/>
      </c>
      <c r="L215" s="47">
        <f>IF($M215="","",INDEX('Form Calc'!$F:$F,$M215))</f>
        <v/>
      </c>
      <c r="M215" s="32">
        <f>IF(210&gt;MAX('Form Calc'!$Y$2:$Y$601),"",IFERROR(MATCH(MAX('Form Calc'!$Y$2:$Y$601)+1-210,'Form Calc'!$Z:$Z,0),""))</f>
        <v/>
      </c>
    </row>
    <row r="216">
      <c r="A216" s="62">
        <f>IF($M216="","",INDEX('Form Calc'!$B:$B,$M216))</f>
        <v/>
      </c>
      <c r="B216" s="47">
        <f>IF($M216="","",INDEX('Form Calc'!$G:$G,$M216))</f>
        <v/>
      </c>
      <c r="C216" s="47">
        <f>IF($M216="","",INDEX('Form Calc'!$H:$H,$M216))</f>
        <v/>
      </c>
      <c r="D216" s="47">
        <f>IF($M216="","",INDEX('Form Calc'!$I:$I,$M216))</f>
        <v/>
      </c>
      <c r="E216" s="47">
        <f>IF($M216="","",INDEX('Form Calc'!$K:$K,$M216))</f>
        <v/>
      </c>
      <c r="F216" s="47">
        <f>IF($M216="","",INDEX('Form Calc'!$C:$C,$M216))</f>
        <v/>
      </c>
      <c r="G216" s="47">
        <f>IF($M216="","",IF(INDEX('Form Calc'!$R:$R,$M216)="","NEW","✓ yes"))</f>
        <v/>
      </c>
      <c r="H216" s="44">
        <f>IF($M216="","",INDEX('Form Calc'!$A:$A,$M216))</f>
        <v/>
      </c>
      <c r="I216" s="63">
        <f>IF($M216="","",INDEX('Form Calc'!$J:$J,$M216))</f>
        <v/>
      </c>
      <c r="J216" s="63">
        <f>IF($M216="","",INDEX('Form Calc'!$L:$L,$M216))</f>
        <v/>
      </c>
      <c r="K216" s="63">
        <f>IF($M216="","",INDEX('Form Calc'!$M:$M,$M216))</f>
        <v/>
      </c>
      <c r="L216" s="47">
        <f>IF($M216="","",INDEX('Form Calc'!$F:$F,$M216))</f>
        <v/>
      </c>
      <c r="M216" s="32">
        <f>IF(211&gt;MAX('Form Calc'!$Y$2:$Y$601),"",IFERROR(MATCH(MAX('Form Calc'!$Y$2:$Y$601)+1-211,'Form Calc'!$Z:$Z,0),""))</f>
        <v/>
      </c>
    </row>
    <row r="217">
      <c r="A217" s="62">
        <f>IF($M217="","",INDEX('Form Calc'!$B:$B,$M217))</f>
        <v/>
      </c>
      <c r="B217" s="47">
        <f>IF($M217="","",INDEX('Form Calc'!$G:$G,$M217))</f>
        <v/>
      </c>
      <c r="C217" s="47">
        <f>IF($M217="","",INDEX('Form Calc'!$H:$H,$M217))</f>
        <v/>
      </c>
      <c r="D217" s="47">
        <f>IF($M217="","",INDEX('Form Calc'!$I:$I,$M217))</f>
        <v/>
      </c>
      <c r="E217" s="47">
        <f>IF($M217="","",INDEX('Form Calc'!$K:$K,$M217))</f>
        <v/>
      </c>
      <c r="F217" s="47">
        <f>IF($M217="","",INDEX('Form Calc'!$C:$C,$M217))</f>
        <v/>
      </c>
      <c r="G217" s="47">
        <f>IF($M217="","",IF(INDEX('Form Calc'!$R:$R,$M217)="","NEW","✓ yes"))</f>
        <v/>
      </c>
      <c r="H217" s="44">
        <f>IF($M217="","",INDEX('Form Calc'!$A:$A,$M217))</f>
        <v/>
      </c>
      <c r="I217" s="63">
        <f>IF($M217="","",INDEX('Form Calc'!$J:$J,$M217))</f>
        <v/>
      </c>
      <c r="J217" s="63">
        <f>IF($M217="","",INDEX('Form Calc'!$L:$L,$M217))</f>
        <v/>
      </c>
      <c r="K217" s="63">
        <f>IF($M217="","",INDEX('Form Calc'!$M:$M,$M217))</f>
        <v/>
      </c>
      <c r="L217" s="47">
        <f>IF($M217="","",INDEX('Form Calc'!$F:$F,$M217))</f>
        <v/>
      </c>
      <c r="M217" s="32">
        <f>IF(212&gt;MAX('Form Calc'!$Y$2:$Y$601),"",IFERROR(MATCH(MAX('Form Calc'!$Y$2:$Y$601)+1-212,'Form Calc'!$Z:$Z,0),""))</f>
        <v/>
      </c>
    </row>
    <row r="218">
      <c r="A218" s="62">
        <f>IF($M218="","",INDEX('Form Calc'!$B:$B,$M218))</f>
        <v/>
      </c>
      <c r="B218" s="47">
        <f>IF($M218="","",INDEX('Form Calc'!$G:$G,$M218))</f>
        <v/>
      </c>
      <c r="C218" s="47">
        <f>IF($M218="","",INDEX('Form Calc'!$H:$H,$M218))</f>
        <v/>
      </c>
      <c r="D218" s="47">
        <f>IF($M218="","",INDEX('Form Calc'!$I:$I,$M218))</f>
        <v/>
      </c>
      <c r="E218" s="47">
        <f>IF($M218="","",INDEX('Form Calc'!$K:$K,$M218))</f>
        <v/>
      </c>
      <c r="F218" s="47">
        <f>IF($M218="","",INDEX('Form Calc'!$C:$C,$M218))</f>
        <v/>
      </c>
      <c r="G218" s="47">
        <f>IF($M218="","",IF(INDEX('Form Calc'!$R:$R,$M218)="","NEW","✓ yes"))</f>
        <v/>
      </c>
      <c r="H218" s="44">
        <f>IF($M218="","",INDEX('Form Calc'!$A:$A,$M218))</f>
        <v/>
      </c>
      <c r="I218" s="63">
        <f>IF($M218="","",INDEX('Form Calc'!$J:$J,$M218))</f>
        <v/>
      </c>
      <c r="J218" s="63">
        <f>IF($M218="","",INDEX('Form Calc'!$L:$L,$M218))</f>
        <v/>
      </c>
      <c r="K218" s="63">
        <f>IF($M218="","",INDEX('Form Calc'!$M:$M,$M218))</f>
        <v/>
      </c>
      <c r="L218" s="47">
        <f>IF($M218="","",INDEX('Form Calc'!$F:$F,$M218))</f>
        <v/>
      </c>
      <c r="M218" s="32">
        <f>IF(213&gt;MAX('Form Calc'!$Y$2:$Y$601),"",IFERROR(MATCH(MAX('Form Calc'!$Y$2:$Y$601)+1-213,'Form Calc'!$Z:$Z,0),""))</f>
        <v/>
      </c>
    </row>
    <row r="219">
      <c r="A219" s="62">
        <f>IF($M219="","",INDEX('Form Calc'!$B:$B,$M219))</f>
        <v/>
      </c>
      <c r="B219" s="47">
        <f>IF($M219="","",INDEX('Form Calc'!$G:$G,$M219))</f>
        <v/>
      </c>
      <c r="C219" s="47">
        <f>IF($M219="","",INDEX('Form Calc'!$H:$H,$M219))</f>
        <v/>
      </c>
      <c r="D219" s="47">
        <f>IF($M219="","",INDEX('Form Calc'!$I:$I,$M219))</f>
        <v/>
      </c>
      <c r="E219" s="47">
        <f>IF($M219="","",INDEX('Form Calc'!$K:$K,$M219))</f>
        <v/>
      </c>
      <c r="F219" s="47">
        <f>IF($M219="","",INDEX('Form Calc'!$C:$C,$M219))</f>
        <v/>
      </c>
      <c r="G219" s="47">
        <f>IF($M219="","",IF(INDEX('Form Calc'!$R:$R,$M219)="","NEW","✓ yes"))</f>
        <v/>
      </c>
      <c r="H219" s="44">
        <f>IF($M219="","",INDEX('Form Calc'!$A:$A,$M219))</f>
        <v/>
      </c>
      <c r="I219" s="63">
        <f>IF($M219="","",INDEX('Form Calc'!$J:$J,$M219))</f>
        <v/>
      </c>
      <c r="J219" s="63">
        <f>IF($M219="","",INDEX('Form Calc'!$L:$L,$M219))</f>
        <v/>
      </c>
      <c r="K219" s="63">
        <f>IF($M219="","",INDEX('Form Calc'!$M:$M,$M219))</f>
        <v/>
      </c>
      <c r="L219" s="47">
        <f>IF($M219="","",INDEX('Form Calc'!$F:$F,$M219))</f>
        <v/>
      </c>
      <c r="M219" s="32">
        <f>IF(214&gt;MAX('Form Calc'!$Y$2:$Y$601),"",IFERROR(MATCH(MAX('Form Calc'!$Y$2:$Y$601)+1-214,'Form Calc'!$Z:$Z,0),""))</f>
        <v/>
      </c>
    </row>
    <row r="220">
      <c r="A220" s="62">
        <f>IF($M220="","",INDEX('Form Calc'!$B:$B,$M220))</f>
        <v/>
      </c>
      <c r="B220" s="47">
        <f>IF($M220="","",INDEX('Form Calc'!$G:$G,$M220))</f>
        <v/>
      </c>
      <c r="C220" s="47">
        <f>IF($M220="","",INDEX('Form Calc'!$H:$H,$M220))</f>
        <v/>
      </c>
      <c r="D220" s="47">
        <f>IF($M220="","",INDEX('Form Calc'!$I:$I,$M220))</f>
        <v/>
      </c>
      <c r="E220" s="47">
        <f>IF($M220="","",INDEX('Form Calc'!$K:$K,$M220))</f>
        <v/>
      </c>
      <c r="F220" s="47">
        <f>IF($M220="","",INDEX('Form Calc'!$C:$C,$M220))</f>
        <v/>
      </c>
      <c r="G220" s="47">
        <f>IF($M220="","",IF(INDEX('Form Calc'!$R:$R,$M220)="","NEW","✓ yes"))</f>
        <v/>
      </c>
      <c r="H220" s="44">
        <f>IF($M220="","",INDEX('Form Calc'!$A:$A,$M220))</f>
        <v/>
      </c>
      <c r="I220" s="63">
        <f>IF($M220="","",INDEX('Form Calc'!$J:$J,$M220))</f>
        <v/>
      </c>
      <c r="J220" s="63">
        <f>IF($M220="","",INDEX('Form Calc'!$L:$L,$M220))</f>
        <v/>
      </c>
      <c r="K220" s="63">
        <f>IF($M220="","",INDEX('Form Calc'!$M:$M,$M220))</f>
        <v/>
      </c>
      <c r="L220" s="47">
        <f>IF($M220="","",INDEX('Form Calc'!$F:$F,$M220))</f>
        <v/>
      </c>
      <c r="M220" s="32">
        <f>IF(215&gt;MAX('Form Calc'!$Y$2:$Y$601),"",IFERROR(MATCH(MAX('Form Calc'!$Y$2:$Y$601)+1-215,'Form Calc'!$Z:$Z,0),""))</f>
        <v/>
      </c>
    </row>
    <row r="221">
      <c r="A221" s="62">
        <f>IF($M221="","",INDEX('Form Calc'!$B:$B,$M221))</f>
        <v/>
      </c>
      <c r="B221" s="47">
        <f>IF($M221="","",INDEX('Form Calc'!$G:$G,$M221))</f>
        <v/>
      </c>
      <c r="C221" s="47">
        <f>IF($M221="","",INDEX('Form Calc'!$H:$H,$M221))</f>
        <v/>
      </c>
      <c r="D221" s="47">
        <f>IF($M221="","",INDEX('Form Calc'!$I:$I,$M221))</f>
        <v/>
      </c>
      <c r="E221" s="47">
        <f>IF($M221="","",INDEX('Form Calc'!$K:$K,$M221))</f>
        <v/>
      </c>
      <c r="F221" s="47">
        <f>IF($M221="","",INDEX('Form Calc'!$C:$C,$M221))</f>
        <v/>
      </c>
      <c r="G221" s="47">
        <f>IF($M221="","",IF(INDEX('Form Calc'!$R:$R,$M221)="","NEW","✓ yes"))</f>
        <v/>
      </c>
      <c r="H221" s="44">
        <f>IF($M221="","",INDEX('Form Calc'!$A:$A,$M221))</f>
        <v/>
      </c>
      <c r="I221" s="63">
        <f>IF($M221="","",INDEX('Form Calc'!$J:$J,$M221))</f>
        <v/>
      </c>
      <c r="J221" s="63">
        <f>IF($M221="","",INDEX('Form Calc'!$L:$L,$M221))</f>
        <v/>
      </c>
      <c r="K221" s="63">
        <f>IF($M221="","",INDEX('Form Calc'!$M:$M,$M221))</f>
        <v/>
      </c>
      <c r="L221" s="47">
        <f>IF($M221="","",INDEX('Form Calc'!$F:$F,$M221))</f>
        <v/>
      </c>
      <c r="M221" s="32">
        <f>IF(216&gt;MAX('Form Calc'!$Y$2:$Y$601),"",IFERROR(MATCH(MAX('Form Calc'!$Y$2:$Y$601)+1-216,'Form Calc'!$Z:$Z,0),""))</f>
        <v/>
      </c>
    </row>
    <row r="222">
      <c r="A222" s="62">
        <f>IF($M222="","",INDEX('Form Calc'!$B:$B,$M222))</f>
        <v/>
      </c>
      <c r="B222" s="47">
        <f>IF($M222="","",INDEX('Form Calc'!$G:$G,$M222))</f>
        <v/>
      </c>
      <c r="C222" s="47">
        <f>IF($M222="","",INDEX('Form Calc'!$H:$H,$M222))</f>
        <v/>
      </c>
      <c r="D222" s="47">
        <f>IF($M222="","",INDEX('Form Calc'!$I:$I,$M222))</f>
        <v/>
      </c>
      <c r="E222" s="47">
        <f>IF($M222="","",INDEX('Form Calc'!$K:$K,$M222))</f>
        <v/>
      </c>
      <c r="F222" s="47">
        <f>IF($M222="","",INDEX('Form Calc'!$C:$C,$M222))</f>
        <v/>
      </c>
      <c r="G222" s="47">
        <f>IF($M222="","",IF(INDEX('Form Calc'!$R:$R,$M222)="","NEW","✓ yes"))</f>
        <v/>
      </c>
      <c r="H222" s="44">
        <f>IF($M222="","",INDEX('Form Calc'!$A:$A,$M222))</f>
        <v/>
      </c>
      <c r="I222" s="63">
        <f>IF($M222="","",INDEX('Form Calc'!$J:$J,$M222))</f>
        <v/>
      </c>
      <c r="J222" s="63">
        <f>IF($M222="","",INDEX('Form Calc'!$L:$L,$M222))</f>
        <v/>
      </c>
      <c r="K222" s="63">
        <f>IF($M222="","",INDEX('Form Calc'!$M:$M,$M222))</f>
        <v/>
      </c>
      <c r="L222" s="47">
        <f>IF($M222="","",INDEX('Form Calc'!$F:$F,$M222))</f>
        <v/>
      </c>
      <c r="M222" s="32">
        <f>IF(217&gt;MAX('Form Calc'!$Y$2:$Y$601),"",IFERROR(MATCH(MAX('Form Calc'!$Y$2:$Y$601)+1-217,'Form Calc'!$Z:$Z,0),""))</f>
        <v/>
      </c>
    </row>
    <row r="223">
      <c r="A223" s="62">
        <f>IF($M223="","",INDEX('Form Calc'!$B:$B,$M223))</f>
        <v/>
      </c>
      <c r="B223" s="47">
        <f>IF($M223="","",INDEX('Form Calc'!$G:$G,$M223))</f>
        <v/>
      </c>
      <c r="C223" s="47">
        <f>IF($M223="","",INDEX('Form Calc'!$H:$H,$M223))</f>
        <v/>
      </c>
      <c r="D223" s="47">
        <f>IF($M223="","",INDEX('Form Calc'!$I:$I,$M223))</f>
        <v/>
      </c>
      <c r="E223" s="47">
        <f>IF($M223="","",INDEX('Form Calc'!$K:$K,$M223))</f>
        <v/>
      </c>
      <c r="F223" s="47">
        <f>IF($M223="","",INDEX('Form Calc'!$C:$C,$M223))</f>
        <v/>
      </c>
      <c r="G223" s="47">
        <f>IF($M223="","",IF(INDEX('Form Calc'!$R:$R,$M223)="","NEW","✓ yes"))</f>
        <v/>
      </c>
      <c r="H223" s="44">
        <f>IF($M223="","",INDEX('Form Calc'!$A:$A,$M223))</f>
        <v/>
      </c>
      <c r="I223" s="63">
        <f>IF($M223="","",INDEX('Form Calc'!$J:$J,$M223))</f>
        <v/>
      </c>
      <c r="J223" s="63">
        <f>IF($M223="","",INDEX('Form Calc'!$L:$L,$M223))</f>
        <v/>
      </c>
      <c r="K223" s="63">
        <f>IF($M223="","",INDEX('Form Calc'!$M:$M,$M223))</f>
        <v/>
      </c>
      <c r="L223" s="47">
        <f>IF($M223="","",INDEX('Form Calc'!$F:$F,$M223))</f>
        <v/>
      </c>
      <c r="M223" s="32">
        <f>IF(218&gt;MAX('Form Calc'!$Y$2:$Y$601),"",IFERROR(MATCH(MAX('Form Calc'!$Y$2:$Y$601)+1-218,'Form Calc'!$Z:$Z,0),""))</f>
        <v/>
      </c>
    </row>
    <row r="224">
      <c r="A224" s="62">
        <f>IF($M224="","",INDEX('Form Calc'!$B:$B,$M224))</f>
        <v/>
      </c>
      <c r="B224" s="47">
        <f>IF($M224="","",INDEX('Form Calc'!$G:$G,$M224))</f>
        <v/>
      </c>
      <c r="C224" s="47">
        <f>IF($M224="","",INDEX('Form Calc'!$H:$H,$M224))</f>
        <v/>
      </c>
      <c r="D224" s="47">
        <f>IF($M224="","",INDEX('Form Calc'!$I:$I,$M224))</f>
        <v/>
      </c>
      <c r="E224" s="47">
        <f>IF($M224="","",INDEX('Form Calc'!$K:$K,$M224))</f>
        <v/>
      </c>
      <c r="F224" s="47">
        <f>IF($M224="","",INDEX('Form Calc'!$C:$C,$M224))</f>
        <v/>
      </c>
      <c r="G224" s="47">
        <f>IF($M224="","",IF(INDEX('Form Calc'!$R:$R,$M224)="","NEW","✓ yes"))</f>
        <v/>
      </c>
      <c r="H224" s="44">
        <f>IF($M224="","",INDEX('Form Calc'!$A:$A,$M224))</f>
        <v/>
      </c>
      <c r="I224" s="63">
        <f>IF($M224="","",INDEX('Form Calc'!$J:$J,$M224))</f>
        <v/>
      </c>
      <c r="J224" s="63">
        <f>IF($M224="","",INDEX('Form Calc'!$L:$L,$M224))</f>
        <v/>
      </c>
      <c r="K224" s="63">
        <f>IF($M224="","",INDEX('Form Calc'!$M:$M,$M224))</f>
        <v/>
      </c>
      <c r="L224" s="47">
        <f>IF($M224="","",INDEX('Form Calc'!$F:$F,$M224))</f>
        <v/>
      </c>
      <c r="M224" s="32">
        <f>IF(219&gt;MAX('Form Calc'!$Y$2:$Y$601),"",IFERROR(MATCH(MAX('Form Calc'!$Y$2:$Y$601)+1-219,'Form Calc'!$Z:$Z,0),""))</f>
        <v/>
      </c>
    </row>
    <row r="225">
      <c r="A225" s="62">
        <f>IF($M225="","",INDEX('Form Calc'!$B:$B,$M225))</f>
        <v/>
      </c>
      <c r="B225" s="47">
        <f>IF($M225="","",INDEX('Form Calc'!$G:$G,$M225))</f>
        <v/>
      </c>
      <c r="C225" s="47">
        <f>IF($M225="","",INDEX('Form Calc'!$H:$H,$M225))</f>
        <v/>
      </c>
      <c r="D225" s="47">
        <f>IF($M225="","",INDEX('Form Calc'!$I:$I,$M225))</f>
        <v/>
      </c>
      <c r="E225" s="47">
        <f>IF($M225="","",INDEX('Form Calc'!$K:$K,$M225))</f>
        <v/>
      </c>
      <c r="F225" s="47">
        <f>IF($M225="","",INDEX('Form Calc'!$C:$C,$M225))</f>
        <v/>
      </c>
      <c r="G225" s="47">
        <f>IF($M225="","",IF(INDEX('Form Calc'!$R:$R,$M225)="","NEW","✓ yes"))</f>
        <v/>
      </c>
      <c r="H225" s="44">
        <f>IF($M225="","",INDEX('Form Calc'!$A:$A,$M225))</f>
        <v/>
      </c>
      <c r="I225" s="63">
        <f>IF($M225="","",INDEX('Form Calc'!$J:$J,$M225))</f>
        <v/>
      </c>
      <c r="J225" s="63">
        <f>IF($M225="","",INDEX('Form Calc'!$L:$L,$M225))</f>
        <v/>
      </c>
      <c r="K225" s="63">
        <f>IF($M225="","",INDEX('Form Calc'!$M:$M,$M225))</f>
        <v/>
      </c>
      <c r="L225" s="47">
        <f>IF($M225="","",INDEX('Form Calc'!$F:$F,$M225))</f>
        <v/>
      </c>
      <c r="M225" s="32">
        <f>IF(220&gt;MAX('Form Calc'!$Y$2:$Y$601),"",IFERROR(MATCH(MAX('Form Calc'!$Y$2:$Y$601)+1-220,'Form Calc'!$Z:$Z,0),""))</f>
        <v/>
      </c>
    </row>
    <row r="226">
      <c r="A226" s="62">
        <f>IF($M226="","",INDEX('Form Calc'!$B:$B,$M226))</f>
        <v/>
      </c>
      <c r="B226" s="47">
        <f>IF($M226="","",INDEX('Form Calc'!$G:$G,$M226))</f>
        <v/>
      </c>
      <c r="C226" s="47">
        <f>IF($M226="","",INDEX('Form Calc'!$H:$H,$M226))</f>
        <v/>
      </c>
      <c r="D226" s="47">
        <f>IF($M226="","",INDEX('Form Calc'!$I:$I,$M226))</f>
        <v/>
      </c>
      <c r="E226" s="47">
        <f>IF($M226="","",INDEX('Form Calc'!$K:$K,$M226))</f>
        <v/>
      </c>
      <c r="F226" s="47">
        <f>IF($M226="","",INDEX('Form Calc'!$C:$C,$M226))</f>
        <v/>
      </c>
      <c r="G226" s="47">
        <f>IF($M226="","",IF(INDEX('Form Calc'!$R:$R,$M226)="","NEW","✓ yes"))</f>
        <v/>
      </c>
      <c r="H226" s="44">
        <f>IF($M226="","",INDEX('Form Calc'!$A:$A,$M226))</f>
        <v/>
      </c>
      <c r="I226" s="63">
        <f>IF($M226="","",INDEX('Form Calc'!$J:$J,$M226))</f>
        <v/>
      </c>
      <c r="J226" s="63">
        <f>IF($M226="","",INDEX('Form Calc'!$L:$L,$M226))</f>
        <v/>
      </c>
      <c r="K226" s="63">
        <f>IF($M226="","",INDEX('Form Calc'!$M:$M,$M226))</f>
        <v/>
      </c>
      <c r="L226" s="47">
        <f>IF($M226="","",INDEX('Form Calc'!$F:$F,$M226))</f>
        <v/>
      </c>
      <c r="M226" s="32">
        <f>IF(221&gt;MAX('Form Calc'!$Y$2:$Y$601),"",IFERROR(MATCH(MAX('Form Calc'!$Y$2:$Y$601)+1-221,'Form Calc'!$Z:$Z,0),""))</f>
        <v/>
      </c>
    </row>
    <row r="227">
      <c r="A227" s="62">
        <f>IF($M227="","",INDEX('Form Calc'!$B:$B,$M227))</f>
        <v/>
      </c>
      <c r="B227" s="47">
        <f>IF($M227="","",INDEX('Form Calc'!$G:$G,$M227))</f>
        <v/>
      </c>
      <c r="C227" s="47">
        <f>IF($M227="","",INDEX('Form Calc'!$H:$H,$M227))</f>
        <v/>
      </c>
      <c r="D227" s="47">
        <f>IF($M227="","",INDEX('Form Calc'!$I:$I,$M227))</f>
        <v/>
      </c>
      <c r="E227" s="47">
        <f>IF($M227="","",INDEX('Form Calc'!$K:$K,$M227))</f>
        <v/>
      </c>
      <c r="F227" s="47">
        <f>IF($M227="","",INDEX('Form Calc'!$C:$C,$M227))</f>
        <v/>
      </c>
      <c r="G227" s="47">
        <f>IF($M227="","",IF(INDEX('Form Calc'!$R:$R,$M227)="","NEW","✓ yes"))</f>
        <v/>
      </c>
      <c r="H227" s="44">
        <f>IF($M227="","",INDEX('Form Calc'!$A:$A,$M227))</f>
        <v/>
      </c>
      <c r="I227" s="63">
        <f>IF($M227="","",INDEX('Form Calc'!$J:$J,$M227))</f>
        <v/>
      </c>
      <c r="J227" s="63">
        <f>IF($M227="","",INDEX('Form Calc'!$L:$L,$M227))</f>
        <v/>
      </c>
      <c r="K227" s="63">
        <f>IF($M227="","",INDEX('Form Calc'!$M:$M,$M227))</f>
        <v/>
      </c>
      <c r="L227" s="47">
        <f>IF($M227="","",INDEX('Form Calc'!$F:$F,$M227))</f>
        <v/>
      </c>
      <c r="M227" s="32">
        <f>IF(222&gt;MAX('Form Calc'!$Y$2:$Y$601),"",IFERROR(MATCH(MAX('Form Calc'!$Y$2:$Y$601)+1-222,'Form Calc'!$Z:$Z,0),""))</f>
        <v/>
      </c>
    </row>
    <row r="228">
      <c r="A228" s="62">
        <f>IF($M228="","",INDEX('Form Calc'!$B:$B,$M228))</f>
        <v/>
      </c>
      <c r="B228" s="47">
        <f>IF($M228="","",INDEX('Form Calc'!$G:$G,$M228))</f>
        <v/>
      </c>
      <c r="C228" s="47">
        <f>IF($M228="","",INDEX('Form Calc'!$H:$H,$M228))</f>
        <v/>
      </c>
      <c r="D228" s="47">
        <f>IF($M228="","",INDEX('Form Calc'!$I:$I,$M228))</f>
        <v/>
      </c>
      <c r="E228" s="47">
        <f>IF($M228="","",INDEX('Form Calc'!$K:$K,$M228))</f>
        <v/>
      </c>
      <c r="F228" s="47">
        <f>IF($M228="","",INDEX('Form Calc'!$C:$C,$M228))</f>
        <v/>
      </c>
      <c r="G228" s="47">
        <f>IF($M228="","",IF(INDEX('Form Calc'!$R:$R,$M228)="","NEW","✓ yes"))</f>
        <v/>
      </c>
      <c r="H228" s="44">
        <f>IF($M228="","",INDEX('Form Calc'!$A:$A,$M228))</f>
        <v/>
      </c>
      <c r="I228" s="63">
        <f>IF($M228="","",INDEX('Form Calc'!$J:$J,$M228))</f>
        <v/>
      </c>
      <c r="J228" s="63">
        <f>IF($M228="","",INDEX('Form Calc'!$L:$L,$M228))</f>
        <v/>
      </c>
      <c r="K228" s="63">
        <f>IF($M228="","",INDEX('Form Calc'!$M:$M,$M228))</f>
        <v/>
      </c>
      <c r="L228" s="47">
        <f>IF($M228="","",INDEX('Form Calc'!$F:$F,$M228))</f>
        <v/>
      </c>
      <c r="M228" s="32">
        <f>IF(223&gt;MAX('Form Calc'!$Y$2:$Y$601),"",IFERROR(MATCH(MAX('Form Calc'!$Y$2:$Y$601)+1-223,'Form Calc'!$Z:$Z,0),""))</f>
        <v/>
      </c>
    </row>
    <row r="229">
      <c r="A229" s="62">
        <f>IF($M229="","",INDEX('Form Calc'!$B:$B,$M229))</f>
        <v/>
      </c>
      <c r="B229" s="47">
        <f>IF($M229="","",INDEX('Form Calc'!$G:$G,$M229))</f>
        <v/>
      </c>
      <c r="C229" s="47">
        <f>IF($M229="","",INDEX('Form Calc'!$H:$H,$M229))</f>
        <v/>
      </c>
      <c r="D229" s="47">
        <f>IF($M229="","",INDEX('Form Calc'!$I:$I,$M229))</f>
        <v/>
      </c>
      <c r="E229" s="47">
        <f>IF($M229="","",INDEX('Form Calc'!$K:$K,$M229))</f>
        <v/>
      </c>
      <c r="F229" s="47">
        <f>IF($M229="","",INDEX('Form Calc'!$C:$C,$M229))</f>
        <v/>
      </c>
      <c r="G229" s="47">
        <f>IF($M229="","",IF(INDEX('Form Calc'!$R:$R,$M229)="","NEW","✓ yes"))</f>
        <v/>
      </c>
      <c r="H229" s="44">
        <f>IF($M229="","",INDEX('Form Calc'!$A:$A,$M229))</f>
        <v/>
      </c>
      <c r="I229" s="63">
        <f>IF($M229="","",INDEX('Form Calc'!$J:$J,$M229))</f>
        <v/>
      </c>
      <c r="J229" s="63">
        <f>IF($M229="","",INDEX('Form Calc'!$L:$L,$M229))</f>
        <v/>
      </c>
      <c r="K229" s="63">
        <f>IF($M229="","",INDEX('Form Calc'!$M:$M,$M229))</f>
        <v/>
      </c>
      <c r="L229" s="47">
        <f>IF($M229="","",INDEX('Form Calc'!$F:$F,$M229))</f>
        <v/>
      </c>
      <c r="M229" s="32">
        <f>IF(224&gt;MAX('Form Calc'!$Y$2:$Y$601),"",IFERROR(MATCH(MAX('Form Calc'!$Y$2:$Y$601)+1-224,'Form Calc'!$Z:$Z,0),""))</f>
        <v/>
      </c>
    </row>
    <row r="230">
      <c r="A230" s="62">
        <f>IF($M230="","",INDEX('Form Calc'!$B:$B,$M230))</f>
        <v/>
      </c>
      <c r="B230" s="47">
        <f>IF($M230="","",INDEX('Form Calc'!$G:$G,$M230))</f>
        <v/>
      </c>
      <c r="C230" s="47">
        <f>IF($M230="","",INDEX('Form Calc'!$H:$H,$M230))</f>
        <v/>
      </c>
      <c r="D230" s="47">
        <f>IF($M230="","",INDEX('Form Calc'!$I:$I,$M230))</f>
        <v/>
      </c>
      <c r="E230" s="47">
        <f>IF($M230="","",INDEX('Form Calc'!$K:$K,$M230))</f>
        <v/>
      </c>
      <c r="F230" s="47">
        <f>IF($M230="","",INDEX('Form Calc'!$C:$C,$M230))</f>
        <v/>
      </c>
      <c r="G230" s="47">
        <f>IF($M230="","",IF(INDEX('Form Calc'!$R:$R,$M230)="","NEW","✓ yes"))</f>
        <v/>
      </c>
      <c r="H230" s="44">
        <f>IF($M230="","",INDEX('Form Calc'!$A:$A,$M230))</f>
        <v/>
      </c>
      <c r="I230" s="63">
        <f>IF($M230="","",INDEX('Form Calc'!$J:$J,$M230))</f>
        <v/>
      </c>
      <c r="J230" s="63">
        <f>IF($M230="","",INDEX('Form Calc'!$L:$L,$M230))</f>
        <v/>
      </c>
      <c r="K230" s="63">
        <f>IF($M230="","",INDEX('Form Calc'!$M:$M,$M230))</f>
        <v/>
      </c>
      <c r="L230" s="47">
        <f>IF($M230="","",INDEX('Form Calc'!$F:$F,$M230))</f>
        <v/>
      </c>
      <c r="M230" s="32">
        <f>IF(225&gt;MAX('Form Calc'!$Y$2:$Y$601),"",IFERROR(MATCH(MAX('Form Calc'!$Y$2:$Y$601)+1-225,'Form Calc'!$Z:$Z,0),""))</f>
        <v/>
      </c>
    </row>
    <row r="231">
      <c r="A231" s="62">
        <f>IF($M231="","",INDEX('Form Calc'!$B:$B,$M231))</f>
        <v/>
      </c>
      <c r="B231" s="47">
        <f>IF($M231="","",INDEX('Form Calc'!$G:$G,$M231))</f>
        <v/>
      </c>
      <c r="C231" s="47">
        <f>IF($M231="","",INDEX('Form Calc'!$H:$H,$M231))</f>
        <v/>
      </c>
      <c r="D231" s="47">
        <f>IF($M231="","",INDEX('Form Calc'!$I:$I,$M231))</f>
        <v/>
      </c>
      <c r="E231" s="47">
        <f>IF($M231="","",INDEX('Form Calc'!$K:$K,$M231))</f>
        <v/>
      </c>
      <c r="F231" s="47">
        <f>IF($M231="","",INDEX('Form Calc'!$C:$C,$M231))</f>
        <v/>
      </c>
      <c r="G231" s="47">
        <f>IF($M231="","",IF(INDEX('Form Calc'!$R:$R,$M231)="","NEW","✓ yes"))</f>
        <v/>
      </c>
      <c r="H231" s="44">
        <f>IF($M231="","",INDEX('Form Calc'!$A:$A,$M231))</f>
        <v/>
      </c>
      <c r="I231" s="63">
        <f>IF($M231="","",INDEX('Form Calc'!$J:$J,$M231))</f>
        <v/>
      </c>
      <c r="J231" s="63">
        <f>IF($M231="","",INDEX('Form Calc'!$L:$L,$M231))</f>
        <v/>
      </c>
      <c r="K231" s="63">
        <f>IF($M231="","",INDEX('Form Calc'!$M:$M,$M231))</f>
        <v/>
      </c>
      <c r="L231" s="47">
        <f>IF($M231="","",INDEX('Form Calc'!$F:$F,$M231))</f>
        <v/>
      </c>
      <c r="M231" s="32">
        <f>IF(226&gt;MAX('Form Calc'!$Y$2:$Y$601),"",IFERROR(MATCH(MAX('Form Calc'!$Y$2:$Y$601)+1-226,'Form Calc'!$Z:$Z,0),""))</f>
        <v/>
      </c>
    </row>
    <row r="232">
      <c r="A232" s="62">
        <f>IF($M232="","",INDEX('Form Calc'!$B:$B,$M232))</f>
        <v/>
      </c>
      <c r="B232" s="47">
        <f>IF($M232="","",INDEX('Form Calc'!$G:$G,$M232))</f>
        <v/>
      </c>
      <c r="C232" s="47">
        <f>IF($M232="","",INDEX('Form Calc'!$H:$H,$M232))</f>
        <v/>
      </c>
      <c r="D232" s="47">
        <f>IF($M232="","",INDEX('Form Calc'!$I:$I,$M232))</f>
        <v/>
      </c>
      <c r="E232" s="47">
        <f>IF($M232="","",INDEX('Form Calc'!$K:$K,$M232))</f>
        <v/>
      </c>
      <c r="F232" s="47">
        <f>IF($M232="","",INDEX('Form Calc'!$C:$C,$M232))</f>
        <v/>
      </c>
      <c r="G232" s="47">
        <f>IF($M232="","",IF(INDEX('Form Calc'!$R:$R,$M232)="","NEW","✓ yes"))</f>
        <v/>
      </c>
      <c r="H232" s="44">
        <f>IF($M232="","",INDEX('Form Calc'!$A:$A,$M232))</f>
        <v/>
      </c>
      <c r="I232" s="63">
        <f>IF($M232="","",INDEX('Form Calc'!$J:$J,$M232))</f>
        <v/>
      </c>
      <c r="J232" s="63">
        <f>IF($M232="","",INDEX('Form Calc'!$L:$L,$M232))</f>
        <v/>
      </c>
      <c r="K232" s="63">
        <f>IF($M232="","",INDEX('Form Calc'!$M:$M,$M232))</f>
        <v/>
      </c>
      <c r="L232" s="47">
        <f>IF($M232="","",INDEX('Form Calc'!$F:$F,$M232))</f>
        <v/>
      </c>
      <c r="M232" s="32">
        <f>IF(227&gt;MAX('Form Calc'!$Y$2:$Y$601),"",IFERROR(MATCH(MAX('Form Calc'!$Y$2:$Y$601)+1-227,'Form Calc'!$Z:$Z,0),""))</f>
        <v/>
      </c>
    </row>
    <row r="233">
      <c r="A233" s="62">
        <f>IF($M233="","",INDEX('Form Calc'!$B:$B,$M233))</f>
        <v/>
      </c>
      <c r="B233" s="47">
        <f>IF($M233="","",INDEX('Form Calc'!$G:$G,$M233))</f>
        <v/>
      </c>
      <c r="C233" s="47">
        <f>IF($M233="","",INDEX('Form Calc'!$H:$H,$M233))</f>
        <v/>
      </c>
      <c r="D233" s="47">
        <f>IF($M233="","",INDEX('Form Calc'!$I:$I,$M233))</f>
        <v/>
      </c>
      <c r="E233" s="47">
        <f>IF($M233="","",INDEX('Form Calc'!$K:$K,$M233))</f>
        <v/>
      </c>
      <c r="F233" s="47">
        <f>IF($M233="","",INDEX('Form Calc'!$C:$C,$M233))</f>
        <v/>
      </c>
      <c r="G233" s="47">
        <f>IF($M233="","",IF(INDEX('Form Calc'!$R:$R,$M233)="","NEW","✓ yes"))</f>
        <v/>
      </c>
      <c r="H233" s="44">
        <f>IF($M233="","",INDEX('Form Calc'!$A:$A,$M233))</f>
        <v/>
      </c>
      <c r="I233" s="63">
        <f>IF($M233="","",INDEX('Form Calc'!$J:$J,$M233))</f>
        <v/>
      </c>
      <c r="J233" s="63">
        <f>IF($M233="","",INDEX('Form Calc'!$L:$L,$M233))</f>
        <v/>
      </c>
      <c r="K233" s="63">
        <f>IF($M233="","",INDEX('Form Calc'!$M:$M,$M233))</f>
        <v/>
      </c>
      <c r="L233" s="47">
        <f>IF($M233="","",INDEX('Form Calc'!$F:$F,$M233))</f>
        <v/>
      </c>
      <c r="M233" s="32">
        <f>IF(228&gt;MAX('Form Calc'!$Y$2:$Y$601),"",IFERROR(MATCH(MAX('Form Calc'!$Y$2:$Y$601)+1-228,'Form Calc'!$Z:$Z,0),""))</f>
        <v/>
      </c>
    </row>
    <row r="234">
      <c r="A234" s="62">
        <f>IF($M234="","",INDEX('Form Calc'!$B:$B,$M234))</f>
        <v/>
      </c>
      <c r="B234" s="47">
        <f>IF($M234="","",INDEX('Form Calc'!$G:$G,$M234))</f>
        <v/>
      </c>
      <c r="C234" s="47">
        <f>IF($M234="","",INDEX('Form Calc'!$H:$H,$M234))</f>
        <v/>
      </c>
      <c r="D234" s="47">
        <f>IF($M234="","",INDEX('Form Calc'!$I:$I,$M234))</f>
        <v/>
      </c>
      <c r="E234" s="47">
        <f>IF($M234="","",INDEX('Form Calc'!$K:$K,$M234))</f>
        <v/>
      </c>
      <c r="F234" s="47">
        <f>IF($M234="","",INDEX('Form Calc'!$C:$C,$M234))</f>
        <v/>
      </c>
      <c r="G234" s="47">
        <f>IF($M234="","",IF(INDEX('Form Calc'!$R:$R,$M234)="","NEW","✓ yes"))</f>
        <v/>
      </c>
      <c r="H234" s="44">
        <f>IF($M234="","",INDEX('Form Calc'!$A:$A,$M234))</f>
        <v/>
      </c>
      <c r="I234" s="63">
        <f>IF($M234="","",INDEX('Form Calc'!$J:$J,$M234))</f>
        <v/>
      </c>
      <c r="J234" s="63">
        <f>IF($M234="","",INDEX('Form Calc'!$L:$L,$M234))</f>
        <v/>
      </c>
      <c r="K234" s="63">
        <f>IF($M234="","",INDEX('Form Calc'!$M:$M,$M234))</f>
        <v/>
      </c>
      <c r="L234" s="47">
        <f>IF($M234="","",INDEX('Form Calc'!$F:$F,$M234))</f>
        <v/>
      </c>
      <c r="M234" s="32">
        <f>IF(229&gt;MAX('Form Calc'!$Y$2:$Y$601),"",IFERROR(MATCH(MAX('Form Calc'!$Y$2:$Y$601)+1-229,'Form Calc'!$Z:$Z,0),""))</f>
        <v/>
      </c>
    </row>
    <row r="235">
      <c r="A235" s="62">
        <f>IF($M235="","",INDEX('Form Calc'!$B:$B,$M235))</f>
        <v/>
      </c>
      <c r="B235" s="47">
        <f>IF($M235="","",INDEX('Form Calc'!$G:$G,$M235))</f>
        <v/>
      </c>
      <c r="C235" s="47">
        <f>IF($M235="","",INDEX('Form Calc'!$H:$H,$M235))</f>
        <v/>
      </c>
      <c r="D235" s="47">
        <f>IF($M235="","",INDEX('Form Calc'!$I:$I,$M235))</f>
        <v/>
      </c>
      <c r="E235" s="47">
        <f>IF($M235="","",INDEX('Form Calc'!$K:$K,$M235))</f>
        <v/>
      </c>
      <c r="F235" s="47">
        <f>IF($M235="","",INDEX('Form Calc'!$C:$C,$M235))</f>
        <v/>
      </c>
      <c r="G235" s="47">
        <f>IF($M235="","",IF(INDEX('Form Calc'!$R:$R,$M235)="","NEW","✓ yes"))</f>
        <v/>
      </c>
      <c r="H235" s="44">
        <f>IF($M235="","",INDEX('Form Calc'!$A:$A,$M235))</f>
        <v/>
      </c>
      <c r="I235" s="63">
        <f>IF($M235="","",INDEX('Form Calc'!$J:$J,$M235))</f>
        <v/>
      </c>
      <c r="J235" s="63">
        <f>IF($M235="","",INDEX('Form Calc'!$L:$L,$M235))</f>
        <v/>
      </c>
      <c r="K235" s="63">
        <f>IF($M235="","",INDEX('Form Calc'!$M:$M,$M235))</f>
        <v/>
      </c>
      <c r="L235" s="47">
        <f>IF($M235="","",INDEX('Form Calc'!$F:$F,$M235))</f>
        <v/>
      </c>
      <c r="M235" s="32">
        <f>IF(230&gt;MAX('Form Calc'!$Y$2:$Y$601),"",IFERROR(MATCH(MAX('Form Calc'!$Y$2:$Y$601)+1-230,'Form Calc'!$Z:$Z,0),""))</f>
        <v/>
      </c>
    </row>
    <row r="236">
      <c r="A236" s="62">
        <f>IF($M236="","",INDEX('Form Calc'!$B:$B,$M236))</f>
        <v/>
      </c>
      <c r="B236" s="47">
        <f>IF($M236="","",INDEX('Form Calc'!$G:$G,$M236))</f>
        <v/>
      </c>
      <c r="C236" s="47">
        <f>IF($M236="","",INDEX('Form Calc'!$H:$H,$M236))</f>
        <v/>
      </c>
      <c r="D236" s="47">
        <f>IF($M236="","",INDEX('Form Calc'!$I:$I,$M236))</f>
        <v/>
      </c>
      <c r="E236" s="47">
        <f>IF($M236="","",INDEX('Form Calc'!$K:$K,$M236))</f>
        <v/>
      </c>
      <c r="F236" s="47">
        <f>IF($M236="","",INDEX('Form Calc'!$C:$C,$M236))</f>
        <v/>
      </c>
      <c r="G236" s="47">
        <f>IF($M236="","",IF(INDEX('Form Calc'!$R:$R,$M236)="","NEW","✓ yes"))</f>
        <v/>
      </c>
      <c r="H236" s="44">
        <f>IF($M236="","",INDEX('Form Calc'!$A:$A,$M236))</f>
        <v/>
      </c>
      <c r="I236" s="63">
        <f>IF($M236="","",INDEX('Form Calc'!$J:$J,$M236))</f>
        <v/>
      </c>
      <c r="J236" s="63">
        <f>IF($M236="","",INDEX('Form Calc'!$L:$L,$M236))</f>
        <v/>
      </c>
      <c r="K236" s="63">
        <f>IF($M236="","",INDEX('Form Calc'!$M:$M,$M236))</f>
        <v/>
      </c>
      <c r="L236" s="47">
        <f>IF($M236="","",INDEX('Form Calc'!$F:$F,$M236))</f>
        <v/>
      </c>
      <c r="M236" s="32">
        <f>IF(231&gt;MAX('Form Calc'!$Y$2:$Y$601),"",IFERROR(MATCH(MAX('Form Calc'!$Y$2:$Y$601)+1-231,'Form Calc'!$Z:$Z,0),""))</f>
        <v/>
      </c>
    </row>
    <row r="237">
      <c r="A237" s="62">
        <f>IF($M237="","",INDEX('Form Calc'!$B:$B,$M237))</f>
        <v/>
      </c>
      <c r="B237" s="47">
        <f>IF($M237="","",INDEX('Form Calc'!$G:$G,$M237))</f>
        <v/>
      </c>
      <c r="C237" s="47">
        <f>IF($M237="","",INDEX('Form Calc'!$H:$H,$M237))</f>
        <v/>
      </c>
      <c r="D237" s="47">
        <f>IF($M237="","",INDEX('Form Calc'!$I:$I,$M237))</f>
        <v/>
      </c>
      <c r="E237" s="47">
        <f>IF($M237="","",INDEX('Form Calc'!$K:$K,$M237))</f>
        <v/>
      </c>
      <c r="F237" s="47">
        <f>IF($M237="","",INDEX('Form Calc'!$C:$C,$M237))</f>
        <v/>
      </c>
      <c r="G237" s="47">
        <f>IF($M237="","",IF(INDEX('Form Calc'!$R:$R,$M237)="","NEW","✓ yes"))</f>
        <v/>
      </c>
      <c r="H237" s="44">
        <f>IF($M237="","",INDEX('Form Calc'!$A:$A,$M237))</f>
        <v/>
      </c>
      <c r="I237" s="63">
        <f>IF($M237="","",INDEX('Form Calc'!$J:$J,$M237))</f>
        <v/>
      </c>
      <c r="J237" s="63">
        <f>IF($M237="","",INDEX('Form Calc'!$L:$L,$M237))</f>
        <v/>
      </c>
      <c r="K237" s="63">
        <f>IF($M237="","",INDEX('Form Calc'!$M:$M,$M237))</f>
        <v/>
      </c>
      <c r="L237" s="47">
        <f>IF($M237="","",INDEX('Form Calc'!$F:$F,$M237))</f>
        <v/>
      </c>
      <c r="M237" s="32">
        <f>IF(232&gt;MAX('Form Calc'!$Y$2:$Y$601),"",IFERROR(MATCH(MAX('Form Calc'!$Y$2:$Y$601)+1-232,'Form Calc'!$Z:$Z,0),""))</f>
        <v/>
      </c>
    </row>
    <row r="238">
      <c r="A238" s="62">
        <f>IF($M238="","",INDEX('Form Calc'!$B:$B,$M238))</f>
        <v/>
      </c>
      <c r="B238" s="47">
        <f>IF($M238="","",INDEX('Form Calc'!$G:$G,$M238))</f>
        <v/>
      </c>
      <c r="C238" s="47">
        <f>IF($M238="","",INDEX('Form Calc'!$H:$H,$M238))</f>
        <v/>
      </c>
      <c r="D238" s="47">
        <f>IF($M238="","",INDEX('Form Calc'!$I:$I,$M238))</f>
        <v/>
      </c>
      <c r="E238" s="47">
        <f>IF($M238="","",INDEX('Form Calc'!$K:$K,$M238))</f>
        <v/>
      </c>
      <c r="F238" s="47">
        <f>IF($M238="","",INDEX('Form Calc'!$C:$C,$M238))</f>
        <v/>
      </c>
      <c r="G238" s="47">
        <f>IF($M238="","",IF(INDEX('Form Calc'!$R:$R,$M238)="","NEW","✓ yes"))</f>
        <v/>
      </c>
      <c r="H238" s="44">
        <f>IF($M238="","",INDEX('Form Calc'!$A:$A,$M238))</f>
        <v/>
      </c>
      <c r="I238" s="63">
        <f>IF($M238="","",INDEX('Form Calc'!$J:$J,$M238))</f>
        <v/>
      </c>
      <c r="J238" s="63">
        <f>IF($M238="","",INDEX('Form Calc'!$L:$L,$M238))</f>
        <v/>
      </c>
      <c r="K238" s="63">
        <f>IF($M238="","",INDEX('Form Calc'!$M:$M,$M238))</f>
        <v/>
      </c>
      <c r="L238" s="47">
        <f>IF($M238="","",INDEX('Form Calc'!$F:$F,$M238))</f>
        <v/>
      </c>
      <c r="M238" s="32">
        <f>IF(233&gt;MAX('Form Calc'!$Y$2:$Y$601),"",IFERROR(MATCH(MAX('Form Calc'!$Y$2:$Y$601)+1-233,'Form Calc'!$Z:$Z,0),""))</f>
        <v/>
      </c>
    </row>
    <row r="239">
      <c r="A239" s="62">
        <f>IF($M239="","",INDEX('Form Calc'!$B:$B,$M239))</f>
        <v/>
      </c>
      <c r="B239" s="47">
        <f>IF($M239="","",INDEX('Form Calc'!$G:$G,$M239))</f>
        <v/>
      </c>
      <c r="C239" s="47">
        <f>IF($M239="","",INDEX('Form Calc'!$H:$H,$M239))</f>
        <v/>
      </c>
      <c r="D239" s="47">
        <f>IF($M239="","",INDEX('Form Calc'!$I:$I,$M239))</f>
        <v/>
      </c>
      <c r="E239" s="47">
        <f>IF($M239="","",INDEX('Form Calc'!$K:$K,$M239))</f>
        <v/>
      </c>
      <c r="F239" s="47">
        <f>IF($M239="","",INDEX('Form Calc'!$C:$C,$M239))</f>
        <v/>
      </c>
      <c r="G239" s="47">
        <f>IF($M239="","",IF(INDEX('Form Calc'!$R:$R,$M239)="","NEW","✓ yes"))</f>
        <v/>
      </c>
      <c r="H239" s="44">
        <f>IF($M239="","",INDEX('Form Calc'!$A:$A,$M239))</f>
        <v/>
      </c>
      <c r="I239" s="63">
        <f>IF($M239="","",INDEX('Form Calc'!$J:$J,$M239))</f>
        <v/>
      </c>
      <c r="J239" s="63">
        <f>IF($M239="","",INDEX('Form Calc'!$L:$L,$M239))</f>
        <v/>
      </c>
      <c r="K239" s="63">
        <f>IF($M239="","",INDEX('Form Calc'!$M:$M,$M239))</f>
        <v/>
      </c>
      <c r="L239" s="47">
        <f>IF($M239="","",INDEX('Form Calc'!$F:$F,$M239))</f>
        <v/>
      </c>
      <c r="M239" s="32">
        <f>IF(234&gt;MAX('Form Calc'!$Y$2:$Y$601),"",IFERROR(MATCH(MAX('Form Calc'!$Y$2:$Y$601)+1-234,'Form Calc'!$Z:$Z,0),""))</f>
        <v/>
      </c>
    </row>
    <row r="240">
      <c r="A240" s="62">
        <f>IF($M240="","",INDEX('Form Calc'!$B:$B,$M240))</f>
        <v/>
      </c>
      <c r="B240" s="47">
        <f>IF($M240="","",INDEX('Form Calc'!$G:$G,$M240))</f>
        <v/>
      </c>
      <c r="C240" s="47">
        <f>IF($M240="","",INDEX('Form Calc'!$H:$H,$M240))</f>
        <v/>
      </c>
      <c r="D240" s="47">
        <f>IF($M240="","",INDEX('Form Calc'!$I:$I,$M240))</f>
        <v/>
      </c>
      <c r="E240" s="47">
        <f>IF($M240="","",INDEX('Form Calc'!$K:$K,$M240))</f>
        <v/>
      </c>
      <c r="F240" s="47">
        <f>IF($M240="","",INDEX('Form Calc'!$C:$C,$M240))</f>
        <v/>
      </c>
      <c r="G240" s="47">
        <f>IF($M240="","",IF(INDEX('Form Calc'!$R:$R,$M240)="","NEW","✓ yes"))</f>
        <v/>
      </c>
      <c r="H240" s="44">
        <f>IF($M240="","",INDEX('Form Calc'!$A:$A,$M240))</f>
        <v/>
      </c>
      <c r="I240" s="63">
        <f>IF($M240="","",INDEX('Form Calc'!$J:$J,$M240))</f>
        <v/>
      </c>
      <c r="J240" s="63">
        <f>IF($M240="","",INDEX('Form Calc'!$L:$L,$M240))</f>
        <v/>
      </c>
      <c r="K240" s="63">
        <f>IF($M240="","",INDEX('Form Calc'!$M:$M,$M240))</f>
        <v/>
      </c>
      <c r="L240" s="47">
        <f>IF($M240="","",INDEX('Form Calc'!$F:$F,$M240))</f>
        <v/>
      </c>
      <c r="M240" s="32">
        <f>IF(235&gt;MAX('Form Calc'!$Y$2:$Y$601),"",IFERROR(MATCH(MAX('Form Calc'!$Y$2:$Y$601)+1-235,'Form Calc'!$Z:$Z,0),""))</f>
        <v/>
      </c>
    </row>
    <row r="241">
      <c r="A241" s="62">
        <f>IF($M241="","",INDEX('Form Calc'!$B:$B,$M241))</f>
        <v/>
      </c>
      <c r="B241" s="47">
        <f>IF($M241="","",INDEX('Form Calc'!$G:$G,$M241))</f>
        <v/>
      </c>
      <c r="C241" s="47">
        <f>IF($M241="","",INDEX('Form Calc'!$H:$H,$M241))</f>
        <v/>
      </c>
      <c r="D241" s="47">
        <f>IF($M241="","",INDEX('Form Calc'!$I:$I,$M241))</f>
        <v/>
      </c>
      <c r="E241" s="47">
        <f>IF($M241="","",INDEX('Form Calc'!$K:$K,$M241))</f>
        <v/>
      </c>
      <c r="F241" s="47">
        <f>IF($M241="","",INDEX('Form Calc'!$C:$C,$M241))</f>
        <v/>
      </c>
      <c r="G241" s="47">
        <f>IF($M241="","",IF(INDEX('Form Calc'!$R:$R,$M241)="","NEW","✓ yes"))</f>
        <v/>
      </c>
      <c r="H241" s="44">
        <f>IF($M241="","",INDEX('Form Calc'!$A:$A,$M241))</f>
        <v/>
      </c>
      <c r="I241" s="63">
        <f>IF($M241="","",INDEX('Form Calc'!$J:$J,$M241))</f>
        <v/>
      </c>
      <c r="J241" s="63">
        <f>IF($M241="","",INDEX('Form Calc'!$L:$L,$M241))</f>
        <v/>
      </c>
      <c r="K241" s="63">
        <f>IF($M241="","",INDEX('Form Calc'!$M:$M,$M241))</f>
        <v/>
      </c>
      <c r="L241" s="47">
        <f>IF($M241="","",INDEX('Form Calc'!$F:$F,$M241))</f>
        <v/>
      </c>
      <c r="M241" s="32">
        <f>IF(236&gt;MAX('Form Calc'!$Y$2:$Y$601),"",IFERROR(MATCH(MAX('Form Calc'!$Y$2:$Y$601)+1-236,'Form Calc'!$Z:$Z,0),""))</f>
        <v/>
      </c>
    </row>
    <row r="242">
      <c r="A242" s="62">
        <f>IF($M242="","",INDEX('Form Calc'!$B:$B,$M242))</f>
        <v/>
      </c>
      <c r="B242" s="47">
        <f>IF($M242="","",INDEX('Form Calc'!$G:$G,$M242))</f>
        <v/>
      </c>
      <c r="C242" s="47">
        <f>IF($M242="","",INDEX('Form Calc'!$H:$H,$M242))</f>
        <v/>
      </c>
      <c r="D242" s="47">
        <f>IF($M242="","",INDEX('Form Calc'!$I:$I,$M242))</f>
        <v/>
      </c>
      <c r="E242" s="47">
        <f>IF($M242="","",INDEX('Form Calc'!$K:$K,$M242))</f>
        <v/>
      </c>
      <c r="F242" s="47">
        <f>IF($M242="","",INDEX('Form Calc'!$C:$C,$M242))</f>
        <v/>
      </c>
      <c r="G242" s="47">
        <f>IF($M242="","",IF(INDEX('Form Calc'!$R:$R,$M242)="","NEW","✓ yes"))</f>
        <v/>
      </c>
      <c r="H242" s="44">
        <f>IF($M242="","",INDEX('Form Calc'!$A:$A,$M242))</f>
        <v/>
      </c>
      <c r="I242" s="63">
        <f>IF($M242="","",INDEX('Form Calc'!$J:$J,$M242))</f>
        <v/>
      </c>
      <c r="J242" s="63">
        <f>IF($M242="","",INDEX('Form Calc'!$L:$L,$M242))</f>
        <v/>
      </c>
      <c r="K242" s="63">
        <f>IF($M242="","",INDEX('Form Calc'!$M:$M,$M242))</f>
        <v/>
      </c>
      <c r="L242" s="47">
        <f>IF($M242="","",INDEX('Form Calc'!$F:$F,$M242))</f>
        <v/>
      </c>
      <c r="M242" s="32">
        <f>IF(237&gt;MAX('Form Calc'!$Y$2:$Y$601),"",IFERROR(MATCH(MAX('Form Calc'!$Y$2:$Y$601)+1-237,'Form Calc'!$Z:$Z,0),""))</f>
        <v/>
      </c>
    </row>
    <row r="243">
      <c r="A243" s="62">
        <f>IF($M243="","",INDEX('Form Calc'!$B:$B,$M243))</f>
        <v/>
      </c>
      <c r="B243" s="47">
        <f>IF($M243="","",INDEX('Form Calc'!$G:$G,$M243))</f>
        <v/>
      </c>
      <c r="C243" s="47">
        <f>IF($M243="","",INDEX('Form Calc'!$H:$H,$M243))</f>
        <v/>
      </c>
      <c r="D243" s="47">
        <f>IF($M243="","",INDEX('Form Calc'!$I:$I,$M243))</f>
        <v/>
      </c>
      <c r="E243" s="47">
        <f>IF($M243="","",INDEX('Form Calc'!$K:$K,$M243))</f>
        <v/>
      </c>
      <c r="F243" s="47">
        <f>IF($M243="","",INDEX('Form Calc'!$C:$C,$M243))</f>
        <v/>
      </c>
      <c r="G243" s="47">
        <f>IF($M243="","",IF(INDEX('Form Calc'!$R:$R,$M243)="","NEW","✓ yes"))</f>
        <v/>
      </c>
      <c r="H243" s="44">
        <f>IF($M243="","",INDEX('Form Calc'!$A:$A,$M243))</f>
        <v/>
      </c>
      <c r="I243" s="63">
        <f>IF($M243="","",INDEX('Form Calc'!$J:$J,$M243))</f>
        <v/>
      </c>
      <c r="J243" s="63">
        <f>IF($M243="","",INDEX('Form Calc'!$L:$L,$M243))</f>
        <v/>
      </c>
      <c r="K243" s="63">
        <f>IF($M243="","",INDEX('Form Calc'!$M:$M,$M243))</f>
        <v/>
      </c>
      <c r="L243" s="47">
        <f>IF($M243="","",INDEX('Form Calc'!$F:$F,$M243))</f>
        <v/>
      </c>
      <c r="M243" s="32">
        <f>IF(238&gt;MAX('Form Calc'!$Y$2:$Y$601),"",IFERROR(MATCH(MAX('Form Calc'!$Y$2:$Y$601)+1-238,'Form Calc'!$Z:$Z,0),""))</f>
        <v/>
      </c>
    </row>
    <row r="244">
      <c r="A244" s="62">
        <f>IF($M244="","",INDEX('Form Calc'!$B:$B,$M244))</f>
        <v/>
      </c>
      <c r="B244" s="47">
        <f>IF($M244="","",INDEX('Form Calc'!$G:$G,$M244))</f>
        <v/>
      </c>
      <c r="C244" s="47">
        <f>IF($M244="","",INDEX('Form Calc'!$H:$H,$M244))</f>
        <v/>
      </c>
      <c r="D244" s="47">
        <f>IF($M244="","",INDEX('Form Calc'!$I:$I,$M244))</f>
        <v/>
      </c>
      <c r="E244" s="47">
        <f>IF($M244="","",INDEX('Form Calc'!$K:$K,$M244))</f>
        <v/>
      </c>
      <c r="F244" s="47">
        <f>IF($M244="","",INDEX('Form Calc'!$C:$C,$M244))</f>
        <v/>
      </c>
      <c r="G244" s="47">
        <f>IF($M244="","",IF(INDEX('Form Calc'!$R:$R,$M244)="","NEW","✓ yes"))</f>
        <v/>
      </c>
      <c r="H244" s="44">
        <f>IF($M244="","",INDEX('Form Calc'!$A:$A,$M244))</f>
        <v/>
      </c>
      <c r="I244" s="63">
        <f>IF($M244="","",INDEX('Form Calc'!$J:$J,$M244))</f>
        <v/>
      </c>
      <c r="J244" s="63">
        <f>IF($M244="","",INDEX('Form Calc'!$L:$L,$M244))</f>
        <v/>
      </c>
      <c r="K244" s="63">
        <f>IF($M244="","",INDEX('Form Calc'!$M:$M,$M244))</f>
        <v/>
      </c>
      <c r="L244" s="47">
        <f>IF($M244="","",INDEX('Form Calc'!$F:$F,$M244))</f>
        <v/>
      </c>
      <c r="M244" s="32">
        <f>IF(239&gt;MAX('Form Calc'!$Y$2:$Y$601),"",IFERROR(MATCH(MAX('Form Calc'!$Y$2:$Y$601)+1-239,'Form Calc'!$Z:$Z,0),""))</f>
        <v/>
      </c>
    </row>
    <row r="245">
      <c r="A245" s="62">
        <f>IF($M245="","",INDEX('Form Calc'!$B:$B,$M245))</f>
        <v/>
      </c>
      <c r="B245" s="47">
        <f>IF($M245="","",INDEX('Form Calc'!$G:$G,$M245))</f>
        <v/>
      </c>
      <c r="C245" s="47">
        <f>IF($M245="","",INDEX('Form Calc'!$H:$H,$M245))</f>
        <v/>
      </c>
      <c r="D245" s="47">
        <f>IF($M245="","",INDEX('Form Calc'!$I:$I,$M245))</f>
        <v/>
      </c>
      <c r="E245" s="47">
        <f>IF($M245="","",INDEX('Form Calc'!$K:$K,$M245))</f>
        <v/>
      </c>
      <c r="F245" s="47">
        <f>IF($M245="","",INDEX('Form Calc'!$C:$C,$M245))</f>
        <v/>
      </c>
      <c r="G245" s="47">
        <f>IF($M245="","",IF(INDEX('Form Calc'!$R:$R,$M245)="","NEW","✓ yes"))</f>
        <v/>
      </c>
      <c r="H245" s="44">
        <f>IF($M245="","",INDEX('Form Calc'!$A:$A,$M245))</f>
        <v/>
      </c>
      <c r="I245" s="63">
        <f>IF($M245="","",INDEX('Form Calc'!$J:$J,$M245))</f>
        <v/>
      </c>
      <c r="J245" s="63">
        <f>IF($M245="","",INDEX('Form Calc'!$L:$L,$M245))</f>
        <v/>
      </c>
      <c r="K245" s="63">
        <f>IF($M245="","",INDEX('Form Calc'!$M:$M,$M245))</f>
        <v/>
      </c>
      <c r="L245" s="47">
        <f>IF($M245="","",INDEX('Form Calc'!$F:$F,$M245))</f>
        <v/>
      </c>
      <c r="M245" s="32">
        <f>IF(240&gt;MAX('Form Calc'!$Y$2:$Y$601),"",IFERROR(MATCH(MAX('Form Calc'!$Y$2:$Y$601)+1-240,'Form Calc'!$Z:$Z,0),""))</f>
        <v/>
      </c>
    </row>
    <row r="246">
      <c r="A246" s="62">
        <f>IF($M246="","",INDEX('Form Calc'!$B:$B,$M246))</f>
        <v/>
      </c>
      <c r="B246" s="47">
        <f>IF($M246="","",INDEX('Form Calc'!$G:$G,$M246))</f>
        <v/>
      </c>
      <c r="C246" s="47">
        <f>IF($M246="","",INDEX('Form Calc'!$H:$H,$M246))</f>
        <v/>
      </c>
      <c r="D246" s="47">
        <f>IF($M246="","",INDEX('Form Calc'!$I:$I,$M246))</f>
        <v/>
      </c>
      <c r="E246" s="47">
        <f>IF($M246="","",INDEX('Form Calc'!$K:$K,$M246))</f>
        <v/>
      </c>
      <c r="F246" s="47">
        <f>IF($M246="","",INDEX('Form Calc'!$C:$C,$M246))</f>
        <v/>
      </c>
      <c r="G246" s="47">
        <f>IF($M246="","",IF(INDEX('Form Calc'!$R:$R,$M246)="","NEW","✓ yes"))</f>
        <v/>
      </c>
      <c r="H246" s="44">
        <f>IF($M246="","",INDEX('Form Calc'!$A:$A,$M246))</f>
        <v/>
      </c>
      <c r="I246" s="63">
        <f>IF($M246="","",INDEX('Form Calc'!$J:$J,$M246))</f>
        <v/>
      </c>
      <c r="J246" s="63">
        <f>IF($M246="","",INDEX('Form Calc'!$L:$L,$M246))</f>
        <v/>
      </c>
      <c r="K246" s="63">
        <f>IF($M246="","",INDEX('Form Calc'!$M:$M,$M246))</f>
        <v/>
      </c>
      <c r="L246" s="47">
        <f>IF($M246="","",INDEX('Form Calc'!$F:$F,$M246))</f>
        <v/>
      </c>
      <c r="M246" s="32">
        <f>IF(241&gt;MAX('Form Calc'!$Y$2:$Y$601),"",IFERROR(MATCH(MAX('Form Calc'!$Y$2:$Y$601)+1-241,'Form Calc'!$Z:$Z,0),""))</f>
        <v/>
      </c>
    </row>
    <row r="247">
      <c r="A247" s="62">
        <f>IF($M247="","",INDEX('Form Calc'!$B:$B,$M247))</f>
        <v/>
      </c>
      <c r="B247" s="47">
        <f>IF($M247="","",INDEX('Form Calc'!$G:$G,$M247))</f>
        <v/>
      </c>
      <c r="C247" s="47">
        <f>IF($M247="","",INDEX('Form Calc'!$H:$H,$M247))</f>
        <v/>
      </c>
      <c r="D247" s="47">
        <f>IF($M247="","",INDEX('Form Calc'!$I:$I,$M247))</f>
        <v/>
      </c>
      <c r="E247" s="47">
        <f>IF($M247="","",INDEX('Form Calc'!$K:$K,$M247))</f>
        <v/>
      </c>
      <c r="F247" s="47">
        <f>IF($M247="","",INDEX('Form Calc'!$C:$C,$M247))</f>
        <v/>
      </c>
      <c r="G247" s="47">
        <f>IF($M247="","",IF(INDEX('Form Calc'!$R:$R,$M247)="","NEW","✓ yes"))</f>
        <v/>
      </c>
      <c r="H247" s="44">
        <f>IF($M247="","",INDEX('Form Calc'!$A:$A,$M247))</f>
        <v/>
      </c>
      <c r="I247" s="63">
        <f>IF($M247="","",INDEX('Form Calc'!$J:$J,$M247))</f>
        <v/>
      </c>
      <c r="J247" s="63">
        <f>IF($M247="","",INDEX('Form Calc'!$L:$L,$M247))</f>
        <v/>
      </c>
      <c r="K247" s="63">
        <f>IF($M247="","",INDEX('Form Calc'!$M:$M,$M247))</f>
        <v/>
      </c>
      <c r="L247" s="47">
        <f>IF($M247="","",INDEX('Form Calc'!$F:$F,$M247))</f>
        <v/>
      </c>
      <c r="M247" s="32">
        <f>IF(242&gt;MAX('Form Calc'!$Y$2:$Y$601),"",IFERROR(MATCH(MAX('Form Calc'!$Y$2:$Y$601)+1-242,'Form Calc'!$Z:$Z,0),""))</f>
        <v/>
      </c>
    </row>
    <row r="248">
      <c r="A248" s="62">
        <f>IF($M248="","",INDEX('Form Calc'!$B:$B,$M248))</f>
        <v/>
      </c>
      <c r="B248" s="47">
        <f>IF($M248="","",INDEX('Form Calc'!$G:$G,$M248))</f>
        <v/>
      </c>
      <c r="C248" s="47">
        <f>IF($M248="","",INDEX('Form Calc'!$H:$H,$M248))</f>
        <v/>
      </c>
      <c r="D248" s="47">
        <f>IF($M248="","",INDEX('Form Calc'!$I:$I,$M248))</f>
        <v/>
      </c>
      <c r="E248" s="47">
        <f>IF($M248="","",INDEX('Form Calc'!$K:$K,$M248))</f>
        <v/>
      </c>
      <c r="F248" s="47">
        <f>IF($M248="","",INDEX('Form Calc'!$C:$C,$M248))</f>
        <v/>
      </c>
      <c r="G248" s="47">
        <f>IF($M248="","",IF(INDEX('Form Calc'!$R:$R,$M248)="","NEW","✓ yes"))</f>
        <v/>
      </c>
      <c r="H248" s="44">
        <f>IF($M248="","",INDEX('Form Calc'!$A:$A,$M248))</f>
        <v/>
      </c>
      <c r="I248" s="63">
        <f>IF($M248="","",INDEX('Form Calc'!$J:$J,$M248))</f>
        <v/>
      </c>
      <c r="J248" s="63">
        <f>IF($M248="","",INDEX('Form Calc'!$L:$L,$M248))</f>
        <v/>
      </c>
      <c r="K248" s="63">
        <f>IF($M248="","",INDEX('Form Calc'!$M:$M,$M248))</f>
        <v/>
      </c>
      <c r="L248" s="47">
        <f>IF($M248="","",INDEX('Form Calc'!$F:$F,$M248))</f>
        <v/>
      </c>
      <c r="M248" s="32">
        <f>IF(243&gt;MAX('Form Calc'!$Y$2:$Y$601),"",IFERROR(MATCH(MAX('Form Calc'!$Y$2:$Y$601)+1-243,'Form Calc'!$Z:$Z,0),""))</f>
        <v/>
      </c>
    </row>
    <row r="249">
      <c r="A249" s="62">
        <f>IF($M249="","",INDEX('Form Calc'!$B:$B,$M249))</f>
        <v/>
      </c>
      <c r="B249" s="47">
        <f>IF($M249="","",INDEX('Form Calc'!$G:$G,$M249))</f>
        <v/>
      </c>
      <c r="C249" s="47">
        <f>IF($M249="","",INDEX('Form Calc'!$H:$H,$M249))</f>
        <v/>
      </c>
      <c r="D249" s="47">
        <f>IF($M249="","",INDEX('Form Calc'!$I:$I,$M249))</f>
        <v/>
      </c>
      <c r="E249" s="47">
        <f>IF($M249="","",INDEX('Form Calc'!$K:$K,$M249))</f>
        <v/>
      </c>
      <c r="F249" s="47">
        <f>IF($M249="","",INDEX('Form Calc'!$C:$C,$M249))</f>
        <v/>
      </c>
      <c r="G249" s="47">
        <f>IF($M249="","",IF(INDEX('Form Calc'!$R:$R,$M249)="","NEW","✓ yes"))</f>
        <v/>
      </c>
      <c r="H249" s="44">
        <f>IF($M249="","",INDEX('Form Calc'!$A:$A,$M249))</f>
        <v/>
      </c>
      <c r="I249" s="63">
        <f>IF($M249="","",INDEX('Form Calc'!$J:$J,$M249))</f>
        <v/>
      </c>
      <c r="J249" s="63">
        <f>IF($M249="","",INDEX('Form Calc'!$L:$L,$M249))</f>
        <v/>
      </c>
      <c r="K249" s="63">
        <f>IF($M249="","",INDEX('Form Calc'!$M:$M,$M249))</f>
        <v/>
      </c>
      <c r="L249" s="47">
        <f>IF($M249="","",INDEX('Form Calc'!$F:$F,$M249))</f>
        <v/>
      </c>
      <c r="M249" s="32">
        <f>IF(244&gt;MAX('Form Calc'!$Y$2:$Y$601),"",IFERROR(MATCH(MAX('Form Calc'!$Y$2:$Y$601)+1-244,'Form Calc'!$Z:$Z,0),""))</f>
        <v/>
      </c>
    </row>
    <row r="250">
      <c r="A250" s="62">
        <f>IF($M250="","",INDEX('Form Calc'!$B:$B,$M250))</f>
        <v/>
      </c>
      <c r="B250" s="47">
        <f>IF($M250="","",INDEX('Form Calc'!$G:$G,$M250))</f>
        <v/>
      </c>
      <c r="C250" s="47">
        <f>IF($M250="","",INDEX('Form Calc'!$H:$H,$M250))</f>
        <v/>
      </c>
      <c r="D250" s="47">
        <f>IF($M250="","",INDEX('Form Calc'!$I:$I,$M250))</f>
        <v/>
      </c>
      <c r="E250" s="47">
        <f>IF($M250="","",INDEX('Form Calc'!$K:$K,$M250))</f>
        <v/>
      </c>
      <c r="F250" s="47">
        <f>IF($M250="","",INDEX('Form Calc'!$C:$C,$M250))</f>
        <v/>
      </c>
      <c r="G250" s="47">
        <f>IF($M250="","",IF(INDEX('Form Calc'!$R:$R,$M250)="","NEW","✓ yes"))</f>
        <v/>
      </c>
      <c r="H250" s="44">
        <f>IF($M250="","",INDEX('Form Calc'!$A:$A,$M250))</f>
        <v/>
      </c>
      <c r="I250" s="63">
        <f>IF($M250="","",INDEX('Form Calc'!$J:$J,$M250))</f>
        <v/>
      </c>
      <c r="J250" s="63">
        <f>IF($M250="","",INDEX('Form Calc'!$L:$L,$M250))</f>
        <v/>
      </c>
      <c r="K250" s="63">
        <f>IF($M250="","",INDEX('Form Calc'!$M:$M,$M250))</f>
        <v/>
      </c>
      <c r="L250" s="47">
        <f>IF($M250="","",INDEX('Form Calc'!$F:$F,$M250))</f>
        <v/>
      </c>
      <c r="M250" s="32">
        <f>IF(245&gt;MAX('Form Calc'!$Y$2:$Y$601),"",IFERROR(MATCH(MAX('Form Calc'!$Y$2:$Y$601)+1-245,'Form Calc'!$Z:$Z,0),""))</f>
        <v/>
      </c>
    </row>
    <row r="251">
      <c r="A251" s="62">
        <f>IF($M251="","",INDEX('Form Calc'!$B:$B,$M251))</f>
        <v/>
      </c>
      <c r="B251" s="47">
        <f>IF($M251="","",INDEX('Form Calc'!$G:$G,$M251))</f>
        <v/>
      </c>
      <c r="C251" s="47">
        <f>IF($M251="","",INDEX('Form Calc'!$H:$H,$M251))</f>
        <v/>
      </c>
      <c r="D251" s="47">
        <f>IF($M251="","",INDEX('Form Calc'!$I:$I,$M251))</f>
        <v/>
      </c>
      <c r="E251" s="47">
        <f>IF($M251="","",INDEX('Form Calc'!$K:$K,$M251))</f>
        <v/>
      </c>
      <c r="F251" s="47">
        <f>IF($M251="","",INDEX('Form Calc'!$C:$C,$M251))</f>
        <v/>
      </c>
      <c r="G251" s="47">
        <f>IF($M251="","",IF(INDEX('Form Calc'!$R:$R,$M251)="","NEW","✓ yes"))</f>
        <v/>
      </c>
      <c r="H251" s="44">
        <f>IF($M251="","",INDEX('Form Calc'!$A:$A,$M251))</f>
        <v/>
      </c>
      <c r="I251" s="63">
        <f>IF($M251="","",INDEX('Form Calc'!$J:$J,$M251))</f>
        <v/>
      </c>
      <c r="J251" s="63">
        <f>IF($M251="","",INDEX('Form Calc'!$L:$L,$M251))</f>
        <v/>
      </c>
      <c r="K251" s="63">
        <f>IF($M251="","",INDEX('Form Calc'!$M:$M,$M251))</f>
        <v/>
      </c>
      <c r="L251" s="47">
        <f>IF($M251="","",INDEX('Form Calc'!$F:$F,$M251))</f>
        <v/>
      </c>
      <c r="M251" s="32">
        <f>IF(246&gt;MAX('Form Calc'!$Y$2:$Y$601),"",IFERROR(MATCH(MAX('Form Calc'!$Y$2:$Y$601)+1-246,'Form Calc'!$Z:$Z,0),""))</f>
        <v/>
      </c>
    </row>
    <row r="252">
      <c r="A252" s="62">
        <f>IF($M252="","",INDEX('Form Calc'!$B:$B,$M252))</f>
        <v/>
      </c>
      <c r="B252" s="47">
        <f>IF($M252="","",INDEX('Form Calc'!$G:$G,$M252))</f>
        <v/>
      </c>
      <c r="C252" s="47">
        <f>IF($M252="","",INDEX('Form Calc'!$H:$H,$M252))</f>
        <v/>
      </c>
      <c r="D252" s="47">
        <f>IF($M252="","",INDEX('Form Calc'!$I:$I,$M252))</f>
        <v/>
      </c>
      <c r="E252" s="47">
        <f>IF($M252="","",INDEX('Form Calc'!$K:$K,$M252))</f>
        <v/>
      </c>
      <c r="F252" s="47">
        <f>IF($M252="","",INDEX('Form Calc'!$C:$C,$M252))</f>
        <v/>
      </c>
      <c r="G252" s="47">
        <f>IF($M252="","",IF(INDEX('Form Calc'!$R:$R,$M252)="","NEW","✓ yes"))</f>
        <v/>
      </c>
      <c r="H252" s="44">
        <f>IF($M252="","",INDEX('Form Calc'!$A:$A,$M252))</f>
        <v/>
      </c>
      <c r="I252" s="63">
        <f>IF($M252="","",INDEX('Form Calc'!$J:$J,$M252))</f>
        <v/>
      </c>
      <c r="J252" s="63">
        <f>IF($M252="","",INDEX('Form Calc'!$L:$L,$M252))</f>
        <v/>
      </c>
      <c r="K252" s="63">
        <f>IF($M252="","",INDEX('Form Calc'!$M:$M,$M252))</f>
        <v/>
      </c>
      <c r="L252" s="47">
        <f>IF($M252="","",INDEX('Form Calc'!$F:$F,$M252))</f>
        <v/>
      </c>
      <c r="M252" s="32">
        <f>IF(247&gt;MAX('Form Calc'!$Y$2:$Y$601),"",IFERROR(MATCH(MAX('Form Calc'!$Y$2:$Y$601)+1-247,'Form Calc'!$Z:$Z,0),""))</f>
        <v/>
      </c>
    </row>
    <row r="253">
      <c r="A253" s="62">
        <f>IF($M253="","",INDEX('Form Calc'!$B:$B,$M253))</f>
        <v/>
      </c>
      <c r="B253" s="47">
        <f>IF($M253="","",INDEX('Form Calc'!$G:$G,$M253))</f>
        <v/>
      </c>
      <c r="C253" s="47">
        <f>IF($M253="","",INDEX('Form Calc'!$H:$H,$M253))</f>
        <v/>
      </c>
      <c r="D253" s="47">
        <f>IF($M253="","",INDEX('Form Calc'!$I:$I,$M253))</f>
        <v/>
      </c>
      <c r="E253" s="47">
        <f>IF($M253="","",INDEX('Form Calc'!$K:$K,$M253))</f>
        <v/>
      </c>
      <c r="F253" s="47">
        <f>IF($M253="","",INDEX('Form Calc'!$C:$C,$M253))</f>
        <v/>
      </c>
      <c r="G253" s="47">
        <f>IF($M253="","",IF(INDEX('Form Calc'!$R:$R,$M253)="","NEW","✓ yes"))</f>
        <v/>
      </c>
      <c r="H253" s="44">
        <f>IF($M253="","",INDEX('Form Calc'!$A:$A,$M253))</f>
        <v/>
      </c>
      <c r="I253" s="63">
        <f>IF($M253="","",INDEX('Form Calc'!$J:$J,$M253))</f>
        <v/>
      </c>
      <c r="J253" s="63">
        <f>IF($M253="","",INDEX('Form Calc'!$L:$L,$M253))</f>
        <v/>
      </c>
      <c r="K253" s="63">
        <f>IF($M253="","",INDEX('Form Calc'!$M:$M,$M253))</f>
        <v/>
      </c>
      <c r="L253" s="47">
        <f>IF($M253="","",INDEX('Form Calc'!$F:$F,$M253))</f>
        <v/>
      </c>
      <c r="M253" s="32">
        <f>IF(248&gt;MAX('Form Calc'!$Y$2:$Y$601),"",IFERROR(MATCH(MAX('Form Calc'!$Y$2:$Y$601)+1-248,'Form Calc'!$Z:$Z,0),""))</f>
        <v/>
      </c>
    </row>
    <row r="254">
      <c r="A254" s="62">
        <f>IF($M254="","",INDEX('Form Calc'!$B:$B,$M254))</f>
        <v/>
      </c>
      <c r="B254" s="47">
        <f>IF($M254="","",INDEX('Form Calc'!$G:$G,$M254))</f>
        <v/>
      </c>
      <c r="C254" s="47">
        <f>IF($M254="","",INDEX('Form Calc'!$H:$H,$M254))</f>
        <v/>
      </c>
      <c r="D254" s="47">
        <f>IF($M254="","",INDEX('Form Calc'!$I:$I,$M254))</f>
        <v/>
      </c>
      <c r="E254" s="47">
        <f>IF($M254="","",INDEX('Form Calc'!$K:$K,$M254))</f>
        <v/>
      </c>
      <c r="F254" s="47">
        <f>IF($M254="","",INDEX('Form Calc'!$C:$C,$M254))</f>
        <v/>
      </c>
      <c r="G254" s="47">
        <f>IF($M254="","",IF(INDEX('Form Calc'!$R:$R,$M254)="","NEW","✓ yes"))</f>
        <v/>
      </c>
      <c r="H254" s="44">
        <f>IF($M254="","",INDEX('Form Calc'!$A:$A,$M254))</f>
        <v/>
      </c>
      <c r="I254" s="63">
        <f>IF($M254="","",INDEX('Form Calc'!$J:$J,$M254))</f>
        <v/>
      </c>
      <c r="J254" s="63">
        <f>IF($M254="","",INDEX('Form Calc'!$L:$L,$M254))</f>
        <v/>
      </c>
      <c r="K254" s="63">
        <f>IF($M254="","",INDEX('Form Calc'!$M:$M,$M254))</f>
        <v/>
      </c>
      <c r="L254" s="47">
        <f>IF($M254="","",INDEX('Form Calc'!$F:$F,$M254))</f>
        <v/>
      </c>
      <c r="M254" s="32">
        <f>IF(249&gt;MAX('Form Calc'!$Y$2:$Y$601),"",IFERROR(MATCH(MAX('Form Calc'!$Y$2:$Y$601)+1-249,'Form Calc'!$Z:$Z,0),""))</f>
        <v/>
      </c>
    </row>
    <row r="255">
      <c r="A255" s="62">
        <f>IF($M255="","",INDEX('Form Calc'!$B:$B,$M255))</f>
        <v/>
      </c>
      <c r="B255" s="47">
        <f>IF($M255="","",INDEX('Form Calc'!$G:$G,$M255))</f>
        <v/>
      </c>
      <c r="C255" s="47">
        <f>IF($M255="","",INDEX('Form Calc'!$H:$H,$M255))</f>
        <v/>
      </c>
      <c r="D255" s="47">
        <f>IF($M255="","",INDEX('Form Calc'!$I:$I,$M255))</f>
        <v/>
      </c>
      <c r="E255" s="47">
        <f>IF($M255="","",INDEX('Form Calc'!$K:$K,$M255))</f>
        <v/>
      </c>
      <c r="F255" s="47">
        <f>IF($M255="","",INDEX('Form Calc'!$C:$C,$M255))</f>
        <v/>
      </c>
      <c r="G255" s="47">
        <f>IF($M255="","",IF(INDEX('Form Calc'!$R:$R,$M255)="","NEW","✓ yes"))</f>
        <v/>
      </c>
      <c r="H255" s="44">
        <f>IF($M255="","",INDEX('Form Calc'!$A:$A,$M255))</f>
        <v/>
      </c>
      <c r="I255" s="63">
        <f>IF($M255="","",INDEX('Form Calc'!$J:$J,$M255))</f>
        <v/>
      </c>
      <c r="J255" s="63">
        <f>IF($M255="","",INDEX('Form Calc'!$L:$L,$M255))</f>
        <v/>
      </c>
      <c r="K255" s="63">
        <f>IF($M255="","",INDEX('Form Calc'!$M:$M,$M255))</f>
        <v/>
      </c>
      <c r="L255" s="47">
        <f>IF($M255="","",INDEX('Form Calc'!$F:$F,$M255))</f>
        <v/>
      </c>
      <c r="M255" s="32">
        <f>IF(250&gt;MAX('Form Calc'!$Y$2:$Y$601),"",IFERROR(MATCH(MAX('Form Calc'!$Y$2:$Y$601)+1-250,'Form Calc'!$Z:$Z,0),""))</f>
        <v/>
      </c>
    </row>
    <row r="256">
      <c r="A256" s="62">
        <f>IF($M256="","",INDEX('Form Calc'!$B:$B,$M256))</f>
        <v/>
      </c>
      <c r="B256" s="47">
        <f>IF($M256="","",INDEX('Form Calc'!$G:$G,$M256))</f>
        <v/>
      </c>
      <c r="C256" s="47">
        <f>IF($M256="","",INDEX('Form Calc'!$H:$H,$M256))</f>
        <v/>
      </c>
      <c r="D256" s="47">
        <f>IF($M256="","",INDEX('Form Calc'!$I:$I,$M256))</f>
        <v/>
      </c>
      <c r="E256" s="47">
        <f>IF($M256="","",INDEX('Form Calc'!$K:$K,$M256))</f>
        <v/>
      </c>
      <c r="F256" s="47">
        <f>IF($M256="","",INDEX('Form Calc'!$C:$C,$M256))</f>
        <v/>
      </c>
      <c r="G256" s="47">
        <f>IF($M256="","",IF(INDEX('Form Calc'!$R:$R,$M256)="","NEW","✓ yes"))</f>
        <v/>
      </c>
      <c r="H256" s="44">
        <f>IF($M256="","",INDEX('Form Calc'!$A:$A,$M256))</f>
        <v/>
      </c>
      <c r="I256" s="63">
        <f>IF($M256="","",INDEX('Form Calc'!$J:$J,$M256))</f>
        <v/>
      </c>
      <c r="J256" s="63">
        <f>IF($M256="","",INDEX('Form Calc'!$L:$L,$M256))</f>
        <v/>
      </c>
      <c r="K256" s="63">
        <f>IF($M256="","",INDEX('Form Calc'!$M:$M,$M256))</f>
        <v/>
      </c>
      <c r="L256" s="47">
        <f>IF($M256="","",INDEX('Form Calc'!$F:$F,$M256))</f>
        <v/>
      </c>
      <c r="M256" s="32">
        <f>IF(251&gt;MAX('Form Calc'!$Y$2:$Y$601),"",IFERROR(MATCH(MAX('Form Calc'!$Y$2:$Y$601)+1-251,'Form Calc'!$Z:$Z,0),""))</f>
        <v/>
      </c>
    </row>
    <row r="257">
      <c r="A257" s="62">
        <f>IF($M257="","",INDEX('Form Calc'!$B:$B,$M257))</f>
        <v/>
      </c>
      <c r="B257" s="47">
        <f>IF($M257="","",INDEX('Form Calc'!$G:$G,$M257))</f>
        <v/>
      </c>
      <c r="C257" s="47">
        <f>IF($M257="","",INDEX('Form Calc'!$H:$H,$M257))</f>
        <v/>
      </c>
      <c r="D257" s="47">
        <f>IF($M257="","",INDEX('Form Calc'!$I:$I,$M257))</f>
        <v/>
      </c>
      <c r="E257" s="47">
        <f>IF($M257="","",INDEX('Form Calc'!$K:$K,$M257))</f>
        <v/>
      </c>
      <c r="F257" s="47">
        <f>IF($M257="","",INDEX('Form Calc'!$C:$C,$M257))</f>
        <v/>
      </c>
      <c r="G257" s="47">
        <f>IF($M257="","",IF(INDEX('Form Calc'!$R:$R,$M257)="","NEW","✓ yes"))</f>
        <v/>
      </c>
      <c r="H257" s="44">
        <f>IF($M257="","",INDEX('Form Calc'!$A:$A,$M257))</f>
        <v/>
      </c>
      <c r="I257" s="63">
        <f>IF($M257="","",INDEX('Form Calc'!$J:$J,$M257))</f>
        <v/>
      </c>
      <c r="J257" s="63">
        <f>IF($M257="","",INDEX('Form Calc'!$L:$L,$M257))</f>
        <v/>
      </c>
      <c r="K257" s="63">
        <f>IF($M257="","",INDEX('Form Calc'!$M:$M,$M257))</f>
        <v/>
      </c>
      <c r="L257" s="47">
        <f>IF($M257="","",INDEX('Form Calc'!$F:$F,$M257))</f>
        <v/>
      </c>
      <c r="M257" s="32">
        <f>IF(252&gt;MAX('Form Calc'!$Y$2:$Y$601),"",IFERROR(MATCH(MAX('Form Calc'!$Y$2:$Y$601)+1-252,'Form Calc'!$Z:$Z,0),""))</f>
        <v/>
      </c>
    </row>
    <row r="258">
      <c r="A258" s="62">
        <f>IF($M258="","",INDEX('Form Calc'!$B:$B,$M258))</f>
        <v/>
      </c>
      <c r="B258" s="47">
        <f>IF($M258="","",INDEX('Form Calc'!$G:$G,$M258))</f>
        <v/>
      </c>
      <c r="C258" s="47">
        <f>IF($M258="","",INDEX('Form Calc'!$H:$H,$M258))</f>
        <v/>
      </c>
      <c r="D258" s="47">
        <f>IF($M258="","",INDEX('Form Calc'!$I:$I,$M258))</f>
        <v/>
      </c>
      <c r="E258" s="47">
        <f>IF($M258="","",INDEX('Form Calc'!$K:$K,$M258))</f>
        <v/>
      </c>
      <c r="F258" s="47">
        <f>IF($M258="","",INDEX('Form Calc'!$C:$C,$M258))</f>
        <v/>
      </c>
      <c r="G258" s="47">
        <f>IF($M258="","",IF(INDEX('Form Calc'!$R:$R,$M258)="","NEW","✓ yes"))</f>
        <v/>
      </c>
      <c r="H258" s="44">
        <f>IF($M258="","",INDEX('Form Calc'!$A:$A,$M258))</f>
        <v/>
      </c>
      <c r="I258" s="63">
        <f>IF($M258="","",INDEX('Form Calc'!$J:$J,$M258))</f>
        <v/>
      </c>
      <c r="J258" s="63">
        <f>IF($M258="","",INDEX('Form Calc'!$L:$L,$M258))</f>
        <v/>
      </c>
      <c r="K258" s="63">
        <f>IF($M258="","",INDEX('Form Calc'!$M:$M,$M258))</f>
        <v/>
      </c>
      <c r="L258" s="47">
        <f>IF($M258="","",INDEX('Form Calc'!$F:$F,$M258))</f>
        <v/>
      </c>
      <c r="M258" s="32">
        <f>IF(253&gt;MAX('Form Calc'!$Y$2:$Y$601),"",IFERROR(MATCH(MAX('Form Calc'!$Y$2:$Y$601)+1-253,'Form Calc'!$Z:$Z,0),""))</f>
        <v/>
      </c>
    </row>
    <row r="259">
      <c r="A259" s="62">
        <f>IF($M259="","",INDEX('Form Calc'!$B:$B,$M259))</f>
        <v/>
      </c>
      <c r="B259" s="47">
        <f>IF($M259="","",INDEX('Form Calc'!$G:$G,$M259))</f>
        <v/>
      </c>
      <c r="C259" s="47">
        <f>IF($M259="","",INDEX('Form Calc'!$H:$H,$M259))</f>
        <v/>
      </c>
      <c r="D259" s="47">
        <f>IF($M259="","",INDEX('Form Calc'!$I:$I,$M259))</f>
        <v/>
      </c>
      <c r="E259" s="47">
        <f>IF($M259="","",INDEX('Form Calc'!$K:$K,$M259))</f>
        <v/>
      </c>
      <c r="F259" s="47">
        <f>IF($M259="","",INDEX('Form Calc'!$C:$C,$M259))</f>
        <v/>
      </c>
      <c r="G259" s="47">
        <f>IF($M259="","",IF(INDEX('Form Calc'!$R:$R,$M259)="","NEW","✓ yes"))</f>
        <v/>
      </c>
      <c r="H259" s="44">
        <f>IF($M259="","",INDEX('Form Calc'!$A:$A,$M259))</f>
        <v/>
      </c>
      <c r="I259" s="63">
        <f>IF($M259="","",INDEX('Form Calc'!$J:$J,$M259))</f>
        <v/>
      </c>
      <c r="J259" s="63">
        <f>IF($M259="","",INDEX('Form Calc'!$L:$L,$M259))</f>
        <v/>
      </c>
      <c r="K259" s="63">
        <f>IF($M259="","",INDEX('Form Calc'!$M:$M,$M259))</f>
        <v/>
      </c>
      <c r="L259" s="47">
        <f>IF($M259="","",INDEX('Form Calc'!$F:$F,$M259))</f>
        <v/>
      </c>
      <c r="M259" s="32">
        <f>IF(254&gt;MAX('Form Calc'!$Y$2:$Y$601),"",IFERROR(MATCH(MAX('Form Calc'!$Y$2:$Y$601)+1-254,'Form Calc'!$Z:$Z,0),""))</f>
        <v/>
      </c>
    </row>
    <row r="260">
      <c r="A260" s="62">
        <f>IF($M260="","",INDEX('Form Calc'!$B:$B,$M260))</f>
        <v/>
      </c>
      <c r="B260" s="47">
        <f>IF($M260="","",INDEX('Form Calc'!$G:$G,$M260))</f>
        <v/>
      </c>
      <c r="C260" s="47">
        <f>IF($M260="","",INDEX('Form Calc'!$H:$H,$M260))</f>
        <v/>
      </c>
      <c r="D260" s="47">
        <f>IF($M260="","",INDEX('Form Calc'!$I:$I,$M260))</f>
        <v/>
      </c>
      <c r="E260" s="47">
        <f>IF($M260="","",INDEX('Form Calc'!$K:$K,$M260))</f>
        <v/>
      </c>
      <c r="F260" s="47">
        <f>IF($M260="","",INDEX('Form Calc'!$C:$C,$M260))</f>
        <v/>
      </c>
      <c r="G260" s="47">
        <f>IF($M260="","",IF(INDEX('Form Calc'!$R:$R,$M260)="","NEW","✓ yes"))</f>
        <v/>
      </c>
      <c r="H260" s="44">
        <f>IF($M260="","",INDEX('Form Calc'!$A:$A,$M260))</f>
        <v/>
      </c>
      <c r="I260" s="63">
        <f>IF($M260="","",INDEX('Form Calc'!$J:$J,$M260))</f>
        <v/>
      </c>
      <c r="J260" s="63">
        <f>IF($M260="","",INDEX('Form Calc'!$L:$L,$M260))</f>
        <v/>
      </c>
      <c r="K260" s="63">
        <f>IF($M260="","",INDEX('Form Calc'!$M:$M,$M260))</f>
        <v/>
      </c>
      <c r="L260" s="47">
        <f>IF($M260="","",INDEX('Form Calc'!$F:$F,$M260))</f>
        <v/>
      </c>
      <c r="M260" s="32">
        <f>IF(255&gt;MAX('Form Calc'!$Y$2:$Y$601),"",IFERROR(MATCH(MAX('Form Calc'!$Y$2:$Y$601)+1-255,'Form Calc'!$Z:$Z,0),""))</f>
        <v/>
      </c>
    </row>
    <row r="261">
      <c r="A261" s="62">
        <f>IF($M261="","",INDEX('Form Calc'!$B:$B,$M261))</f>
        <v/>
      </c>
      <c r="B261" s="47">
        <f>IF($M261="","",INDEX('Form Calc'!$G:$G,$M261))</f>
        <v/>
      </c>
      <c r="C261" s="47">
        <f>IF($M261="","",INDEX('Form Calc'!$H:$H,$M261))</f>
        <v/>
      </c>
      <c r="D261" s="47">
        <f>IF($M261="","",INDEX('Form Calc'!$I:$I,$M261))</f>
        <v/>
      </c>
      <c r="E261" s="47">
        <f>IF($M261="","",INDEX('Form Calc'!$K:$K,$M261))</f>
        <v/>
      </c>
      <c r="F261" s="47">
        <f>IF($M261="","",INDEX('Form Calc'!$C:$C,$M261))</f>
        <v/>
      </c>
      <c r="G261" s="47">
        <f>IF($M261="","",IF(INDEX('Form Calc'!$R:$R,$M261)="","NEW","✓ yes"))</f>
        <v/>
      </c>
      <c r="H261" s="44">
        <f>IF($M261="","",INDEX('Form Calc'!$A:$A,$M261))</f>
        <v/>
      </c>
      <c r="I261" s="63">
        <f>IF($M261="","",INDEX('Form Calc'!$J:$J,$M261))</f>
        <v/>
      </c>
      <c r="J261" s="63">
        <f>IF($M261="","",INDEX('Form Calc'!$L:$L,$M261))</f>
        <v/>
      </c>
      <c r="K261" s="63">
        <f>IF($M261="","",INDEX('Form Calc'!$M:$M,$M261))</f>
        <v/>
      </c>
      <c r="L261" s="47">
        <f>IF($M261="","",INDEX('Form Calc'!$F:$F,$M261))</f>
        <v/>
      </c>
      <c r="M261" s="32">
        <f>IF(256&gt;MAX('Form Calc'!$Y$2:$Y$601),"",IFERROR(MATCH(MAX('Form Calc'!$Y$2:$Y$601)+1-256,'Form Calc'!$Z:$Z,0),""))</f>
        <v/>
      </c>
    </row>
    <row r="262">
      <c r="A262" s="62">
        <f>IF($M262="","",INDEX('Form Calc'!$B:$B,$M262))</f>
        <v/>
      </c>
      <c r="B262" s="47">
        <f>IF($M262="","",INDEX('Form Calc'!$G:$G,$M262))</f>
        <v/>
      </c>
      <c r="C262" s="47">
        <f>IF($M262="","",INDEX('Form Calc'!$H:$H,$M262))</f>
        <v/>
      </c>
      <c r="D262" s="47">
        <f>IF($M262="","",INDEX('Form Calc'!$I:$I,$M262))</f>
        <v/>
      </c>
      <c r="E262" s="47">
        <f>IF($M262="","",INDEX('Form Calc'!$K:$K,$M262))</f>
        <v/>
      </c>
      <c r="F262" s="47">
        <f>IF($M262="","",INDEX('Form Calc'!$C:$C,$M262))</f>
        <v/>
      </c>
      <c r="G262" s="47">
        <f>IF($M262="","",IF(INDEX('Form Calc'!$R:$R,$M262)="","NEW","✓ yes"))</f>
        <v/>
      </c>
      <c r="H262" s="44">
        <f>IF($M262="","",INDEX('Form Calc'!$A:$A,$M262))</f>
        <v/>
      </c>
      <c r="I262" s="63">
        <f>IF($M262="","",INDEX('Form Calc'!$J:$J,$M262))</f>
        <v/>
      </c>
      <c r="J262" s="63">
        <f>IF($M262="","",INDEX('Form Calc'!$L:$L,$M262))</f>
        <v/>
      </c>
      <c r="K262" s="63">
        <f>IF($M262="","",INDEX('Form Calc'!$M:$M,$M262))</f>
        <v/>
      </c>
      <c r="L262" s="47">
        <f>IF($M262="","",INDEX('Form Calc'!$F:$F,$M262))</f>
        <v/>
      </c>
      <c r="M262" s="32">
        <f>IF(257&gt;MAX('Form Calc'!$Y$2:$Y$601),"",IFERROR(MATCH(MAX('Form Calc'!$Y$2:$Y$601)+1-257,'Form Calc'!$Z:$Z,0),""))</f>
        <v/>
      </c>
    </row>
    <row r="263">
      <c r="A263" s="62">
        <f>IF($M263="","",INDEX('Form Calc'!$B:$B,$M263))</f>
        <v/>
      </c>
      <c r="B263" s="47">
        <f>IF($M263="","",INDEX('Form Calc'!$G:$G,$M263))</f>
        <v/>
      </c>
      <c r="C263" s="47">
        <f>IF($M263="","",INDEX('Form Calc'!$H:$H,$M263))</f>
        <v/>
      </c>
      <c r="D263" s="47">
        <f>IF($M263="","",INDEX('Form Calc'!$I:$I,$M263))</f>
        <v/>
      </c>
      <c r="E263" s="47">
        <f>IF($M263="","",INDEX('Form Calc'!$K:$K,$M263))</f>
        <v/>
      </c>
      <c r="F263" s="47">
        <f>IF($M263="","",INDEX('Form Calc'!$C:$C,$M263))</f>
        <v/>
      </c>
      <c r="G263" s="47">
        <f>IF($M263="","",IF(INDEX('Form Calc'!$R:$R,$M263)="","NEW","✓ yes"))</f>
        <v/>
      </c>
      <c r="H263" s="44">
        <f>IF($M263="","",INDEX('Form Calc'!$A:$A,$M263))</f>
        <v/>
      </c>
      <c r="I263" s="63">
        <f>IF($M263="","",INDEX('Form Calc'!$J:$J,$M263))</f>
        <v/>
      </c>
      <c r="J263" s="63">
        <f>IF($M263="","",INDEX('Form Calc'!$L:$L,$M263))</f>
        <v/>
      </c>
      <c r="K263" s="63">
        <f>IF($M263="","",INDEX('Form Calc'!$M:$M,$M263))</f>
        <v/>
      </c>
      <c r="L263" s="47">
        <f>IF($M263="","",INDEX('Form Calc'!$F:$F,$M263))</f>
        <v/>
      </c>
      <c r="M263" s="32">
        <f>IF(258&gt;MAX('Form Calc'!$Y$2:$Y$601),"",IFERROR(MATCH(MAX('Form Calc'!$Y$2:$Y$601)+1-258,'Form Calc'!$Z:$Z,0),""))</f>
        <v/>
      </c>
    </row>
    <row r="264">
      <c r="A264" s="62">
        <f>IF($M264="","",INDEX('Form Calc'!$B:$B,$M264))</f>
        <v/>
      </c>
      <c r="B264" s="47">
        <f>IF($M264="","",INDEX('Form Calc'!$G:$G,$M264))</f>
        <v/>
      </c>
      <c r="C264" s="47">
        <f>IF($M264="","",INDEX('Form Calc'!$H:$H,$M264))</f>
        <v/>
      </c>
      <c r="D264" s="47">
        <f>IF($M264="","",INDEX('Form Calc'!$I:$I,$M264))</f>
        <v/>
      </c>
      <c r="E264" s="47">
        <f>IF($M264="","",INDEX('Form Calc'!$K:$K,$M264))</f>
        <v/>
      </c>
      <c r="F264" s="47">
        <f>IF($M264="","",INDEX('Form Calc'!$C:$C,$M264))</f>
        <v/>
      </c>
      <c r="G264" s="47">
        <f>IF($M264="","",IF(INDEX('Form Calc'!$R:$R,$M264)="","NEW","✓ yes"))</f>
        <v/>
      </c>
      <c r="H264" s="44">
        <f>IF($M264="","",INDEX('Form Calc'!$A:$A,$M264))</f>
        <v/>
      </c>
      <c r="I264" s="63">
        <f>IF($M264="","",INDEX('Form Calc'!$J:$J,$M264))</f>
        <v/>
      </c>
      <c r="J264" s="63">
        <f>IF($M264="","",INDEX('Form Calc'!$L:$L,$M264))</f>
        <v/>
      </c>
      <c r="K264" s="63">
        <f>IF($M264="","",INDEX('Form Calc'!$M:$M,$M264))</f>
        <v/>
      </c>
      <c r="L264" s="47">
        <f>IF($M264="","",INDEX('Form Calc'!$F:$F,$M264))</f>
        <v/>
      </c>
      <c r="M264" s="32">
        <f>IF(259&gt;MAX('Form Calc'!$Y$2:$Y$601),"",IFERROR(MATCH(MAX('Form Calc'!$Y$2:$Y$601)+1-259,'Form Calc'!$Z:$Z,0),""))</f>
        <v/>
      </c>
    </row>
    <row r="265">
      <c r="A265" s="62">
        <f>IF($M265="","",INDEX('Form Calc'!$B:$B,$M265))</f>
        <v/>
      </c>
      <c r="B265" s="47">
        <f>IF($M265="","",INDEX('Form Calc'!$G:$G,$M265))</f>
        <v/>
      </c>
      <c r="C265" s="47">
        <f>IF($M265="","",INDEX('Form Calc'!$H:$H,$M265))</f>
        <v/>
      </c>
      <c r="D265" s="47">
        <f>IF($M265="","",INDEX('Form Calc'!$I:$I,$M265))</f>
        <v/>
      </c>
      <c r="E265" s="47">
        <f>IF($M265="","",INDEX('Form Calc'!$K:$K,$M265))</f>
        <v/>
      </c>
      <c r="F265" s="47">
        <f>IF($M265="","",INDEX('Form Calc'!$C:$C,$M265))</f>
        <v/>
      </c>
      <c r="G265" s="47">
        <f>IF($M265="","",IF(INDEX('Form Calc'!$R:$R,$M265)="","NEW","✓ yes"))</f>
        <v/>
      </c>
      <c r="H265" s="44">
        <f>IF($M265="","",INDEX('Form Calc'!$A:$A,$M265))</f>
        <v/>
      </c>
      <c r="I265" s="63">
        <f>IF($M265="","",INDEX('Form Calc'!$J:$J,$M265))</f>
        <v/>
      </c>
      <c r="J265" s="63">
        <f>IF($M265="","",INDEX('Form Calc'!$L:$L,$M265))</f>
        <v/>
      </c>
      <c r="K265" s="63">
        <f>IF($M265="","",INDEX('Form Calc'!$M:$M,$M265))</f>
        <v/>
      </c>
      <c r="L265" s="47">
        <f>IF($M265="","",INDEX('Form Calc'!$F:$F,$M265))</f>
        <v/>
      </c>
      <c r="M265" s="32">
        <f>IF(260&gt;MAX('Form Calc'!$Y$2:$Y$601),"",IFERROR(MATCH(MAX('Form Calc'!$Y$2:$Y$601)+1-260,'Form Calc'!$Z:$Z,0),""))</f>
        <v/>
      </c>
    </row>
    <row r="266">
      <c r="A266" s="62">
        <f>IF($M266="","",INDEX('Form Calc'!$B:$B,$M266))</f>
        <v/>
      </c>
      <c r="B266" s="47">
        <f>IF($M266="","",INDEX('Form Calc'!$G:$G,$M266))</f>
        <v/>
      </c>
      <c r="C266" s="47">
        <f>IF($M266="","",INDEX('Form Calc'!$H:$H,$M266))</f>
        <v/>
      </c>
      <c r="D266" s="47">
        <f>IF($M266="","",INDEX('Form Calc'!$I:$I,$M266))</f>
        <v/>
      </c>
      <c r="E266" s="47">
        <f>IF($M266="","",INDEX('Form Calc'!$K:$K,$M266))</f>
        <v/>
      </c>
      <c r="F266" s="47">
        <f>IF($M266="","",INDEX('Form Calc'!$C:$C,$M266))</f>
        <v/>
      </c>
      <c r="G266" s="47">
        <f>IF($M266="","",IF(INDEX('Form Calc'!$R:$R,$M266)="","NEW","✓ yes"))</f>
        <v/>
      </c>
      <c r="H266" s="44">
        <f>IF($M266="","",INDEX('Form Calc'!$A:$A,$M266))</f>
        <v/>
      </c>
      <c r="I266" s="63">
        <f>IF($M266="","",INDEX('Form Calc'!$J:$J,$M266))</f>
        <v/>
      </c>
      <c r="J266" s="63">
        <f>IF($M266="","",INDEX('Form Calc'!$L:$L,$M266))</f>
        <v/>
      </c>
      <c r="K266" s="63">
        <f>IF($M266="","",INDEX('Form Calc'!$M:$M,$M266))</f>
        <v/>
      </c>
      <c r="L266" s="47">
        <f>IF($M266="","",INDEX('Form Calc'!$F:$F,$M266))</f>
        <v/>
      </c>
      <c r="M266" s="32">
        <f>IF(261&gt;MAX('Form Calc'!$Y$2:$Y$601),"",IFERROR(MATCH(MAX('Form Calc'!$Y$2:$Y$601)+1-261,'Form Calc'!$Z:$Z,0),""))</f>
        <v/>
      </c>
    </row>
    <row r="267">
      <c r="A267" s="62">
        <f>IF($M267="","",INDEX('Form Calc'!$B:$B,$M267))</f>
        <v/>
      </c>
      <c r="B267" s="47">
        <f>IF($M267="","",INDEX('Form Calc'!$G:$G,$M267))</f>
        <v/>
      </c>
      <c r="C267" s="47">
        <f>IF($M267="","",INDEX('Form Calc'!$H:$H,$M267))</f>
        <v/>
      </c>
      <c r="D267" s="47">
        <f>IF($M267="","",INDEX('Form Calc'!$I:$I,$M267))</f>
        <v/>
      </c>
      <c r="E267" s="47">
        <f>IF($M267="","",INDEX('Form Calc'!$K:$K,$M267))</f>
        <v/>
      </c>
      <c r="F267" s="47">
        <f>IF($M267="","",INDEX('Form Calc'!$C:$C,$M267))</f>
        <v/>
      </c>
      <c r="G267" s="47">
        <f>IF($M267="","",IF(INDEX('Form Calc'!$R:$R,$M267)="","NEW","✓ yes"))</f>
        <v/>
      </c>
      <c r="H267" s="44">
        <f>IF($M267="","",INDEX('Form Calc'!$A:$A,$M267))</f>
        <v/>
      </c>
      <c r="I267" s="63">
        <f>IF($M267="","",INDEX('Form Calc'!$J:$J,$M267))</f>
        <v/>
      </c>
      <c r="J267" s="63">
        <f>IF($M267="","",INDEX('Form Calc'!$L:$L,$M267))</f>
        <v/>
      </c>
      <c r="K267" s="63">
        <f>IF($M267="","",INDEX('Form Calc'!$M:$M,$M267))</f>
        <v/>
      </c>
      <c r="L267" s="47">
        <f>IF($M267="","",INDEX('Form Calc'!$F:$F,$M267))</f>
        <v/>
      </c>
      <c r="M267" s="32">
        <f>IF(262&gt;MAX('Form Calc'!$Y$2:$Y$601),"",IFERROR(MATCH(MAX('Form Calc'!$Y$2:$Y$601)+1-262,'Form Calc'!$Z:$Z,0),""))</f>
        <v/>
      </c>
    </row>
    <row r="268">
      <c r="A268" s="62">
        <f>IF($M268="","",INDEX('Form Calc'!$B:$B,$M268))</f>
        <v/>
      </c>
      <c r="B268" s="47">
        <f>IF($M268="","",INDEX('Form Calc'!$G:$G,$M268))</f>
        <v/>
      </c>
      <c r="C268" s="47">
        <f>IF($M268="","",INDEX('Form Calc'!$H:$H,$M268))</f>
        <v/>
      </c>
      <c r="D268" s="47">
        <f>IF($M268="","",INDEX('Form Calc'!$I:$I,$M268))</f>
        <v/>
      </c>
      <c r="E268" s="47">
        <f>IF($M268="","",INDEX('Form Calc'!$K:$K,$M268))</f>
        <v/>
      </c>
      <c r="F268" s="47">
        <f>IF($M268="","",INDEX('Form Calc'!$C:$C,$M268))</f>
        <v/>
      </c>
      <c r="G268" s="47">
        <f>IF($M268="","",IF(INDEX('Form Calc'!$R:$R,$M268)="","NEW","✓ yes"))</f>
        <v/>
      </c>
      <c r="H268" s="44">
        <f>IF($M268="","",INDEX('Form Calc'!$A:$A,$M268))</f>
        <v/>
      </c>
      <c r="I268" s="63">
        <f>IF($M268="","",INDEX('Form Calc'!$J:$J,$M268))</f>
        <v/>
      </c>
      <c r="J268" s="63">
        <f>IF($M268="","",INDEX('Form Calc'!$L:$L,$M268))</f>
        <v/>
      </c>
      <c r="K268" s="63">
        <f>IF($M268="","",INDEX('Form Calc'!$M:$M,$M268))</f>
        <v/>
      </c>
      <c r="L268" s="47">
        <f>IF($M268="","",INDEX('Form Calc'!$F:$F,$M268))</f>
        <v/>
      </c>
      <c r="M268" s="32">
        <f>IF(263&gt;MAX('Form Calc'!$Y$2:$Y$601),"",IFERROR(MATCH(MAX('Form Calc'!$Y$2:$Y$601)+1-263,'Form Calc'!$Z:$Z,0),""))</f>
        <v/>
      </c>
    </row>
    <row r="269">
      <c r="A269" s="62">
        <f>IF($M269="","",INDEX('Form Calc'!$B:$B,$M269))</f>
        <v/>
      </c>
      <c r="B269" s="47">
        <f>IF($M269="","",INDEX('Form Calc'!$G:$G,$M269))</f>
        <v/>
      </c>
      <c r="C269" s="47">
        <f>IF($M269="","",INDEX('Form Calc'!$H:$H,$M269))</f>
        <v/>
      </c>
      <c r="D269" s="47">
        <f>IF($M269="","",INDEX('Form Calc'!$I:$I,$M269))</f>
        <v/>
      </c>
      <c r="E269" s="47">
        <f>IF($M269="","",INDEX('Form Calc'!$K:$K,$M269))</f>
        <v/>
      </c>
      <c r="F269" s="47">
        <f>IF($M269="","",INDEX('Form Calc'!$C:$C,$M269))</f>
        <v/>
      </c>
      <c r="G269" s="47">
        <f>IF($M269="","",IF(INDEX('Form Calc'!$R:$R,$M269)="","NEW","✓ yes"))</f>
        <v/>
      </c>
      <c r="H269" s="44">
        <f>IF($M269="","",INDEX('Form Calc'!$A:$A,$M269))</f>
        <v/>
      </c>
      <c r="I269" s="63">
        <f>IF($M269="","",INDEX('Form Calc'!$J:$J,$M269))</f>
        <v/>
      </c>
      <c r="J269" s="63">
        <f>IF($M269="","",INDEX('Form Calc'!$L:$L,$M269))</f>
        <v/>
      </c>
      <c r="K269" s="63">
        <f>IF($M269="","",INDEX('Form Calc'!$M:$M,$M269))</f>
        <v/>
      </c>
      <c r="L269" s="47">
        <f>IF($M269="","",INDEX('Form Calc'!$F:$F,$M269))</f>
        <v/>
      </c>
      <c r="M269" s="32">
        <f>IF(264&gt;MAX('Form Calc'!$Y$2:$Y$601),"",IFERROR(MATCH(MAX('Form Calc'!$Y$2:$Y$601)+1-264,'Form Calc'!$Z:$Z,0),""))</f>
        <v/>
      </c>
    </row>
    <row r="270">
      <c r="A270" s="62">
        <f>IF($M270="","",INDEX('Form Calc'!$B:$B,$M270))</f>
        <v/>
      </c>
      <c r="B270" s="47">
        <f>IF($M270="","",INDEX('Form Calc'!$G:$G,$M270))</f>
        <v/>
      </c>
      <c r="C270" s="47">
        <f>IF($M270="","",INDEX('Form Calc'!$H:$H,$M270))</f>
        <v/>
      </c>
      <c r="D270" s="47">
        <f>IF($M270="","",INDEX('Form Calc'!$I:$I,$M270))</f>
        <v/>
      </c>
      <c r="E270" s="47">
        <f>IF($M270="","",INDEX('Form Calc'!$K:$K,$M270))</f>
        <v/>
      </c>
      <c r="F270" s="47">
        <f>IF($M270="","",INDEX('Form Calc'!$C:$C,$M270))</f>
        <v/>
      </c>
      <c r="G270" s="47">
        <f>IF($M270="","",IF(INDEX('Form Calc'!$R:$R,$M270)="","NEW","✓ yes"))</f>
        <v/>
      </c>
      <c r="H270" s="44">
        <f>IF($M270="","",INDEX('Form Calc'!$A:$A,$M270))</f>
        <v/>
      </c>
      <c r="I270" s="63">
        <f>IF($M270="","",INDEX('Form Calc'!$J:$J,$M270))</f>
        <v/>
      </c>
      <c r="J270" s="63">
        <f>IF($M270="","",INDEX('Form Calc'!$L:$L,$M270))</f>
        <v/>
      </c>
      <c r="K270" s="63">
        <f>IF($M270="","",INDEX('Form Calc'!$M:$M,$M270))</f>
        <v/>
      </c>
      <c r="L270" s="47">
        <f>IF($M270="","",INDEX('Form Calc'!$F:$F,$M270))</f>
        <v/>
      </c>
      <c r="M270" s="32">
        <f>IF(265&gt;MAX('Form Calc'!$Y$2:$Y$601),"",IFERROR(MATCH(MAX('Form Calc'!$Y$2:$Y$601)+1-265,'Form Calc'!$Z:$Z,0),""))</f>
        <v/>
      </c>
    </row>
    <row r="271">
      <c r="A271" s="62">
        <f>IF($M271="","",INDEX('Form Calc'!$B:$B,$M271))</f>
        <v/>
      </c>
      <c r="B271" s="47">
        <f>IF($M271="","",INDEX('Form Calc'!$G:$G,$M271))</f>
        <v/>
      </c>
      <c r="C271" s="47">
        <f>IF($M271="","",INDEX('Form Calc'!$H:$H,$M271))</f>
        <v/>
      </c>
      <c r="D271" s="47">
        <f>IF($M271="","",INDEX('Form Calc'!$I:$I,$M271))</f>
        <v/>
      </c>
      <c r="E271" s="47">
        <f>IF($M271="","",INDEX('Form Calc'!$K:$K,$M271))</f>
        <v/>
      </c>
      <c r="F271" s="47">
        <f>IF($M271="","",INDEX('Form Calc'!$C:$C,$M271))</f>
        <v/>
      </c>
      <c r="G271" s="47">
        <f>IF($M271="","",IF(INDEX('Form Calc'!$R:$R,$M271)="","NEW","✓ yes"))</f>
        <v/>
      </c>
      <c r="H271" s="44">
        <f>IF($M271="","",INDEX('Form Calc'!$A:$A,$M271))</f>
        <v/>
      </c>
      <c r="I271" s="63">
        <f>IF($M271="","",INDEX('Form Calc'!$J:$J,$M271))</f>
        <v/>
      </c>
      <c r="J271" s="63">
        <f>IF($M271="","",INDEX('Form Calc'!$L:$L,$M271))</f>
        <v/>
      </c>
      <c r="K271" s="63">
        <f>IF($M271="","",INDEX('Form Calc'!$M:$M,$M271))</f>
        <v/>
      </c>
      <c r="L271" s="47">
        <f>IF($M271="","",INDEX('Form Calc'!$F:$F,$M271))</f>
        <v/>
      </c>
      <c r="M271" s="32">
        <f>IF(266&gt;MAX('Form Calc'!$Y$2:$Y$601),"",IFERROR(MATCH(MAX('Form Calc'!$Y$2:$Y$601)+1-266,'Form Calc'!$Z:$Z,0),""))</f>
        <v/>
      </c>
    </row>
    <row r="272">
      <c r="A272" s="62">
        <f>IF($M272="","",INDEX('Form Calc'!$B:$B,$M272))</f>
        <v/>
      </c>
      <c r="B272" s="47">
        <f>IF($M272="","",INDEX('Form Calc'!$G:$G,$M272))</f>
        <v/>
      </c>
      <c r="C272" s="47">
        <f>IF($M272="","",INDEX('Form Calc'!$H:$H,$M272))</f>
        <v/>
      </c>
      <c r="D272" s="47">
        <f>IF($M272="","",INDEX('Form Calc'!$I:$I,$M272))</f>
        <v/>
      </c>
      <c r="E272" s="47">
        <f>IF($M272="","",INDEX('Form Calc'!$K:$K,$M272))</f>
        <v/>
      </c>
      <c r="F272" s="47">
        <f>IF($M272="","",INDEX('Form Calc'!$C:$C,$M272))</f>
        <v/>
      </c>
      <c r="G272" s="47">
        <f>IF($M272="","",IF(INDEX('Form Calc'!$R:$R,$M272)="","NEW","✓ yes"))</f>
        <v/>
      </c>
      <c r="H272" s="44">
        <f>IF($M272="","",INDEX('Form Calc'!$A:$A,$M272))</f>
        <v/>
      </c>
      <c r="I272" s="63">
        <f>IF($M272="","",INDEX('Form Calc'!$J:$J,$M272))</f>
        <v/>
      </c>
      <c r="J272" s="63">
        <f>IF($M272="","",INDEX('Form Calc'!$L:$L,$M272))</f>
        <v/>
      </c>
      <c r="K272" s="63">
        <f>IF($M272="","",INDEX('Form Calc'!$M:$M,$M272))</f>
        <v/>
      </c>
      <c r="L272" s="47">
        <f>IF($M272="","",INDEX('Form Calc'!$F:$F,$M272))</f>
        <v/>
      </c>
      <c r="M272" s="32">
        <f>IF(267&gt;MAX('Form Calc'!$Y$2:$Y$601),"",IFERROR(MATCH(MAX('Form Calc'!$Y$2:$Y$601)+1-267,'Form Calc'!$Z:$Z,0),""))</f>
        <v/>
      </c>
    </row>
    <row r="273">
      <c r="A273" s="62">
        <f>IF($M273="","",INDEX('Form Calc'!$B:$B,$M273))</f>
        <v/>
      </c>
      <c r="B273" s="47">
        <f>IF($M273="","",INDEX('Form Calc'!$G:$G,$M273))</f>
        <v/>
      </c>
      <c r="C273" s="47">
        <f>IF($M273="","",INDEX('Form Calc'!$H:$H,$M273))</f>
        <v/>
      </c>
      <c r="D273" s="47">
        <f>IF($M273="","",INDEX('Form Calc'!$I:$I,$M273))</f>
        <v/>
      </c>
      <c r="E273" s="47">
        <f>IF($M273="","",INDEX('Form Calc'!$K:$K,$M273))</f>
        <v/>
      </c>
      <c r="F273" s="47">
        <f>IF($M273="","",INDEX('Form Calc'!$C:$C,$M273))</f>
        <v/>
      </c>
      <c r="G273" s="47">
        <f>IF($M273="","",IF(INDEX('Form Calc'!$R:$R,$M273)="","NEW","✓ yes"))</f>
        <v/>
      </c>
      <c r="H273" s="44">
        <f>IF($M273="","",INDEX('Form Calc'!$A:$A,$M273))</f>
        <v/>
      </c>
      <c r="I273" s="63">
        <f>IF($M273="","",INDEX('Form Calc'!$J:$J,$M273))</f>
        <v/>
      </c>
      <c r="J273" s="63">
        <f>IF($M273="","",INDEX('Form Calc'!$L:$L,$M273))</f>
        <v/>
      </c>
      <c r="K273" s="63">
        <f>IF($M273="","",INDEX('Form Calc'!$M:$M,$M273))</f>
        <v/>
      </c>
      <c r="L273" s="47">
        <f>IF($M273="","",INDEX('Form Calc'!$F:$F,$M273))</f>
        <v/>
      </c>
      <c r="M273" s="32">
        <f>IF(268&gt;MAX('Form Calc'!$Y$2:$Y$601),"",IFERROR(MATCH(MAX('Form Calc'!$Y$2:$Y$601)+1-268,'Form Calc'!$Z:$Z,0),""))</f>
        <v/>
      </c>
    </row>
    <row r="274">
      <c r="A274" s="62">
        <f>IF($M274="","",INDEX('Form Calc'!$B:$B,$M274))</f>
        <v/>
      </c>
      <c r="B274" s="47">
        <f>IF($M274="","",INDEX('Form Calc'!$G:$G,$M274))</f>
        <v/>
      </c>
      <c r="C274" s="47">
        <f>IF($M274="","",INDEX('Form Calc'!$H:$H,$M274))</f>
        <v/>
      </c>
      <c r="D274" s="47">
        <f>IF($M274="","",INDEX('Form Calc'!$I:$I,$M274))</f>
        <v/>
      </c>
      <c r="E274" s="47">
        <f>IF($M274="","",INDEX('Form Calc'!$K:$K,$M274))</f>
        <v/>
      </c>
      <c r="F274" s="47">
        <f>IF($M274="","",INDEX('Form Calc'!$C:$C,$M274))</f>
        <v/>
      </c>
      <c r="G274" s="47">
        <f>IF($M274="","",IF(INDEX('Form Calc'!$R:$R,$M274)="","NEW","✓ yes"))</f>
        <v/>
      </c>
      <c r="H274" s="44">
        <f>IF($M274="","",INDEX('Form Calc'!$A:$A,$M274))</f>
        <v/>
      </c>
      <c r="I274" s="63">
        <f>IF($M274="","",INDEX('Form Calc'!$J:$J,$M274))</f>
        <v/>
      </c>
      <c r="J274" s="63">
        <f>IF($M274="","",INDEX('Form Calc'!$L:$L,$M274))</f>
        <v/>
      </c>
      <c r="K274" s="63">
        <f>IF($M274="","",INDEX('Form Calc'!$M:$M,$M274))</f>
        <v/>
      </c>
      <c r="L274" s="47">
        <f>IF($M274="","",INDEX('Form Calc'!$F:$F,$M274))</f>
        <v/>
      </c>
      <c r="M274" s="32">
        <f>IF(269&gt;MAX('Form Calc'!$Y$2:$Y$601),"",IFERROR(MATCH(MAX('Form Calc'!$Y$2:$Y$601)+1-269,'Form Calc'!$Z:$Z,0),""))</f>
        <v/>
      </c>
    </row>
    <row r="275">
      <c r="A275" s="62">
        <f>IF($M275="","",INDEX('Form Calc'!$B:$B,$M275))</f>
        <v/>
      </c>
      <c r="B275" s="47">
        <f>IF($M275="","",INDEX('Form Calc'!$G:$G,$M275))</f>
        <v/>
      </c>
      <c r="C275" s="47">
        <f>IF($M275="","",INDEX('Form Calc'!$H:$H,$M275))</f>
        <v/>
      </c>
      <c r="D275" s="47">
        <f>IF($M275="","",INDEX('Form Calc'!$I:$I,$M275))</f>
        <v/>
      </c>
      <c r="E275" s="47">
        <f>IF($M275="","",INDEX('Form Calc'!$K:$K,$M275))</f>
        <v/>
      </c>
      <c r="F275" s="47">
        <f>IF($M275="","",INDEX('Form Calc'!$C:$C,$M275))</f>
        <v/>
      </c>
      <c r="G275" s="47">
        <f>IF($M275="","",IF(INDEX('Form Calc'!$R:$R,$M275)="","NEW","✓ yes"))</f>
        <v/>
      </c>
      <c r="H275" s="44">
        <f>IF($M275="","",INDEX('Form Calc'!$A:$A,$M275))</f>
        <v/>
      </c>
      <c r="I275" s="63">
        <f>IF($M275="","",INDEX('Form Calc'!$J:$J,$M275))</f>
        <v/>
      </c>
      <c r="J275" s="63">
        <f>IF($M275="","",INDEX('Form Calc'!$L:$L,$M275))</f>
        <v/>
      </c>
      <c r="K275" s="63">
        <f>IF($M275="","",INDEX('Form Calc'!$M:$M,$M275))</f>
        <v/>
      </c>
      <c r="L275" s="47">
        <f>IF($M275="","",INDEX('Form Calc'!$F:$F,$M275))</f>
        <v/>
      </c>
      <c r="M275" s="32">
        <f>IF(270&gt;MAX('Form Calc'!$Y$2:$Y$601),"",IFERROR(MATCH(MAX('Form Calc'!$Y$2:$Y$601)+1-270,'Form Calc'!$Z:$Z,0),""))</f>
        <v/>
      </c>
    </row>
    <row r="276">
      <c r="A276" s="62">
        <f>IF($M276="","",INDEX('Form Calc'!$B:$B,$M276))</f>
        <v/>
      </c>
      <c r="B276" s="47">
        <f>IF($M276="","",INDEX('Form Calc'!$G:$G,$M276))</f>
        <v/>
      </c>
      <c r="C276" s="47">
        <f>IF($M276="","",INDEX('Form Calc'!$H:$H,$M276))</f>
        <v/>
      </c>
      <c r="D276" s="47">
        <f>IF($M276="","",INDEX('Form Calc'!$I:$I,$M276))</f>
        <v/>
      </c>
      <c r="E276" s="47">
        <f>IF($M276="","",INDEX('Form Calc'!$K:$K,$M276))</f>
        <v/>
      </c>
      <c r="F276" s="47">
        <f>IF($M276="","",INDEX('Form Calc'!$C:$C,$M276))</f>
        <v/>
      </c>
      <c r="G276" s="47">
        <f>IF($M276="","",IF(INDEX('Form Calc'!$R:$R,$M276)="","NEW","✓ yes"))</f>
        <v/>
      </c>
      <c r="H276" s="44">
        <f>IF($M276="","",INDEX('Form Calc'!$A:$A,$M276))</f>
        <v/>
      </c>
      <c r="I276" s="63">
        <f>IF($M276="","",INDEX('Form Calc'!$J:$J,$M276))</f>
        <v/>
      </c>
      <c r="J276" s="63">
        <f>IF($M276="","",INDEX('Form Calc'!$L:$L,$M276))</f>
        <v/>
      </c>
      <c r="K276" s="63">
        <f>IF($M276="","",INDEX('Form Calc'!$M:$M,$M276))</f>
        <v/>
      </c>
      <c r="L276" s="47">
        <f>IF($M276="","",INDEX('Form Calc'!$F:$F,$M276))</f>
        <v/>
      </c>
      <c r="M276" s="32">
        <f>IF(271&gt;MAX('Form Calc'!$Y$2:$Y$601),"",IFERROR(MATCH(MAX('Form Calc'!$Y$2:$Y$601)+1-271,'Form Calc'!$Z:$Z,0),""))</f>
        <v/>
      </c>
    </row>
    <row r="277">
      <c r="A277" s="62">
        <f>IF($M277="","",INDEX('Form Calc'!$B:$B,$M277))</f>
        <v/>
      </c>
      <c r="B277" s="47">
        <f>IF($M277="","",INDEX('Form Calc'!$G:$G,$M277))</f>
        <v/>
      </c>
      <c r="C277" s="47">
        <f>IF($M277="","",INDEX('Form Calc'!$H:$H,$M277))</f>
        <v/>
      </c>
      <c r="D277" s="47">
        <f>IF($M277="","",INDEX('Form Calc'!$I:$I,$M277))</f>
        <v/>
      </c>
      <c r="E277" s="47">
        <f>IF($M277="","",INDEX('Form Calc'!$K:$K,$M277))</f>
        <v/>
      </c>
      <c r="F277" s="47">
        <f>IF($M277="","",INDEX('Form Calc'!$C:$C,$M277))</f>
        <v/>
      </c>
      <c r="G277" s="47">
        <f>IF($M277="","",IF(INDEX('Form Calc'!$R:$R,$M277)="","NEW","✓ yes"))</f>
        <v/>
      </c>
      <c r="H277" s="44">
        <f>IF($M277="","",INDEX('Form Calc'!$A:$A,$M277))</f>
        <v/>
      </c>
      <c r="I277" s="63">
        <f>IF($M277="","",INDEX('Form Calc'!$J:$J,$M277))</f>
        <v/>
      </c>
      <c r="J277" s="63">
        <f>IF($M277="","",INDEX('Form Calc'!$L:$L,$M277))</f>
        <v/>
      </c>
      <c r="K277" s="63">
        <f>IF($M277="","",INDEX('Form Calc'!$M:$M,$M277))</f>
        <v/>
      </c>
      <c r="L277" s="47">
        <f>IF($M277="","",INDEX('Form Calc'!$F:$F,$M277))</f>
        <v/>
      </c>
      <c r="M277" s="32">
        <f>IF(272&gt;MAX('Form Calc'!$Y$2:$Y$601),"",IFERROR(MATCH(MAX('Form Calc'!$Y$2:$Y$601)+1-272,'Form Calc'!$Z:$Z,0),""))</f>
        <v/>
      </c>
    </row>
    <row r="278">
      <c r="A278" s="62">
        <f>IF($M278="","",INDEX('Form Calc'!$B:$B,$M278))</f>
        <v/>
      </c>
      <c r="B278" s="47">
        <f>IF($M278="","",INDEX('Form Calc'!$G:$G,$M278))</f>
        <v/>
      </c>
      <c r="C278" s="47">
        <f>IF($M278="","",INDEX('Form Calc'!$H:$H,$M278))</f>
        <v/>
      </c>
      <c r="D278" s="47">
        <f>IF($M278="","",INDEX('Form Calc'!$I:$I,$M278))</f>
        <v/>
      </c>
      <c r="E278" s="47">
        <f>IF($M278="","",INDEX('Form Calc'!$K:$K,$M278))</f>
        <v/>
      </c>
      <c r="F278" s="47">
        <f>IF($M278="","",INDEX('Form Calc'!$C:$C,$M278))</f>
        <v/>
      </c>
      <c r="G278" s="47">
        <f>IF($M278="","",IF(INDEX('Form Calc'!$R:$R,$M278)="","NEW","✓ yes"))</f>
        <v/>
      </c>
      <c r="H278" s="44">
        <f>IF($M278="","",INDEX('Form Calc'!$A:$A,$M278))</f>
        <v/>
      </c>
      <c r="I278" s="63">
        <f>IF($M278="","",INDEX('Form Calc'!$J:$J,$M278))</f>
        <v/>
      </c>
      <c r="J278" s="63">
        <f>IF($M278="","",INDEX('Form Calc'!$L:$L,$M278))</f>
        <v/>
      </c>
      <c r="K278" s="63">
        <f>IF($M278="","",INDEX('Form Calc'!$M:$M,$M278))</f>
        <v/>
      </c>
      <c r="L278" s="47">
        <f>IF($M278="","",INDEX('Form Calc'!$F:$F,$M278))</f>
        <v/>
      </c>
      <c r="M278" s="32">
        <f>IF(273&gt;MAX('Form Calc'!$Y$2:$Y$601),"",IFERROR(MATCH(MAX('Form Calc'!$Y$2:$Y$601)+1-273,'Form Calc'!$Z:$Z,0),""))</f>
        <v/>
      </c>
    </row>
    <row r="279">
      <c r="A279" s="62">
        <f>IF($M279="","",INDEX('Form Calc'!$B:$B,$M279))</f>
        <v/>
      </c>
      <c r="B279" s="47">
        <f>IF($M279="","",INDEX('Form Calc'!$G:$G,$M279))</f>
        <v/>
      </c>
      <c r="C279" s="47">
        <f>IF($M279="","",INDEX('Form Calc'!$H:$H,$M279))</f>
        <v/>
      </c>
      <c r="D279" s="47">
        <f>IF($M279="","",INDEX('Form Calc'!$I:$I,$M279))</f>
        <v/>
      </c>
      <c r="E279" s="47">
        <f>IF($M279="","",INDEX('Form Calc'!$K:$K,$M279))</f>
        <v/>
      </c>
      <c r="F279" s="47">
        <f>IF($M279="","",INDEX('Form Calc'!$C:$C,$M279))</f>
        <v/>
      </c>
      <c r="G279" s="47">
        <f>IF($M279="","",IF(INDEX('Form Calc'!$R:$R,$M279)="","NEW","✓ yes"))</f>
        <v/>
      </c>
      <c r="H279" s="44">
        <f>IF($M279="","",INDEX('Form Calc'!$A:$A,$M279))</f>
        <v/>
      </c>
      <c r="I279" s="63">
        <f>IF($M279="","",INDEX('Form Calc'!$J:$J,$M279))</f>
        <v/>
      </c>
      <c r="J279" s="63">
        <f>IF($M279="","",INDEX('Form Calc'!$L:$L,$M279))</f>
        <v/>
      </c>
      <c r="K279" s="63">
        <f>IF($M279="","",INDEX('Form Calc'!$M:$M,$M279))</f>
        <v/>
      </c>
      <c r="L279" s="47">
        <f>IF($M279="","",INDEX('Form Calc'!$F:$F,$M279))</f>
        <v/>
      </c>
      <c r="M279" s="32">
        <f>IF(274&gt;MAX('Form Calc'!$Y$2:$Y$601),"",IFERROR(MATCH(MAX('Form Calc'!$Y$2:$Y$601)+1-274,'Form Calc'!$Z:$Z,0),""))</f>
        <v/>
      </c>
    </row>
    <row r="280">
      <c r="A280" s="62">
        <f>IF($M280="","",INDEX('Form Calc'!$B:$B,$M280))</f>
        <v/>
      </c>
      <c r="B280" s="47">
        <f>IF($M280="","",INDEX('Form Calc'!$G:$G,$M280))</f>
        <v/>
      </c>
      <c r="C280" s="47">
        <f>IF($M280="","",INDEX('Form Calc'!$H:$H,$M280))</f>
        <v/>
      </c>
      <c r="D280" s="47">
        <f>IF($M280="","",INDEX('Form Calc'!$I:$I,$M280))</f>
        <v/>
      </c>
      <c r="E280" s="47">
        <f>IF($M280="","",INDEX('Form Calc'!$K:$K,$M280))</f>
        <v/>
      </c>
      <c r="F280" s="47">
        <f>IF($M280="","",INDEX('Form Calc'!$C:$C,$M280))</f>
        <v/>
      </c>
      <c r="G280" s="47">
        <f>IF($M280="","",IF(INDEX('Form Calc'!$R:$R,$M280)="","NEW","✓ yes"))</f>
        <v/>
      </c>
      <c r="H280" s="44">
        <f>IF($M280="","",INDEX('Form Calc'!$A:$A,$M280))</f>
        <v/>
      </c>
      <c r="I280" s="63">
        <f>IF($M280="","",INDEX('Form Calc'!$J:$J,$M280))</f>
        <v/>
      </c>
      <c r="J280" s="63">
        <f>IF($M280="","",INDEX('Form Calc'!$L:$L,$M280))</f>
        <v/>
      </c>
      <c r="K280" s="63">
        <f>IF($M280="","",INDEX('Form Calc'!$M:$M,$M280))</f>
        <v/>
      </c>
      <c r="L280" s="47">
        <f>IF($M280="","",INDEX('Form Calc'!$F:$F,$M280))</f>
        <v/>
      </c>
      <c r="M280" s="32">
        <f>IF(275&gt;MAX('Form Calc'!$Y$2:$Y$601),"",IFERROR(MATCH(MAX('Form Calc'!$Y$2:$Y$601)+1-275,'Form Calc'!$Z:$Z,0),""))</f>
        <v/>
      </c>
    </row>
    <row r="281">
      <c r="A281" s="62">
        <f>IF($M281="","",INDEX('Form Calc'!$B:$B,$M281))</f>
        <v/>
      </c>
      <c r="B281" s="47">
        <f>IF($M281="","",INDEX('Form Calc'!$G:$G,$M281))</f>
        <v/>
      </c>
      <c r="C281" s="47">
        <f>IF($M281="","",INDEX('Form Calc'!$H:$H,$M281))</f>
        <v/>
      </c>
      <c r="D281" s="47">
        <f>IF($M281="","",INDEX('Form Calc'!$I:$I,$M281))</f>
        <v/>
      </c>
      <c r="E281" s="47">
        <f>IF($M281="","",INDEX('Form Calc'!$K:$K,$M281))</f>
        <v/>
      </c>
      <c r="F281" s="47">
        <f>IF($M281="","",INDEX('Form Calc'!$C:$C,$M281))</f>
        <v/>
      </c>
      <c r="G281" s="47">
        <f>IF($M281="","",IF(INDEX('Form Calc'!$R:$R,$M281)="","NEW","✓ yes"))</f>
        <v/>
      </c>
      <c r="H281" s="44">
        <f>IF($M281="","",INDEX('Form Calc'!$A:$A,$M281))</f>
        <v/>
      </c>
      <c r="I281" s="63">
        <f>IF($M281="","",INDEX('Form Calc'!$J:$J,$M281))</f>
        <v/>
      </c>
      <c r="J281" s="63">
        <f>IF($M281="","",INDEX('Form Calc'!$L:$L,$M281))</f>
        <v/>
      </c>
      <c r="K281" s="63">
        <f>IF($M281="","",INDEX('Form Calc'!$M:$M,$M281))</f>
        <v/>
      </c>
      <c r="L281" s="47">
        <f>IF($M281="","",INDEX('Form Calc'!$F:$F,$M281))</f>
        <v/>
      </c>
      <c r="M281" s="32">
        <f>IF(276&gt;MAX('Form Calc'!$Y$2:$Y$601),"",IFERROR(MATCH(MAX('Form Calc'!$Y$2:$Y$601)+1-276,'Form Calc'!$Z:$Z,0),""))</f>
        <v/>
      </c>
    </row>
    <row r="282">
      <c r="A282" s="62">
        <f>IF($M282="","",INDEX('Form Calc'!$B:$B,$M282))</f>
        <v/>
      </c>
      <c r="B282" s="47">
        <f>IF($M282="","",INDEX('Form Calc'!$G:$G,$M282))</f>
        <v/>
      </c>
      <c r="C282" s="47">
        <f>IF($M282="","",INDEX('Form Calc'!$H:$H,$M282))</f>
        <v/>
      </c>
      <c r="D282" s="47">
        <f>IF($M282="","",INDEX('Form Calc'!$I:$I,$M282))</f>
        <v/>
      </c>
      <c r="E282" s="47">
        <f>IF($M282="","",INDEX('Form Calc'!$K:$K,$M282))</f>
        <v/>
      </c>
      <c r="F282" s="47">
        <f>IF($M282="","",INDEX('Form Calc'!$C:$C,$M282))</f>
        <v/>
      </c>
      <c r="G282" s="47">
        <f>IF($M282="","",IF(INDEX('Form Calc'!$R:$R,$M282)="","NEW","✓ yes"))</f>
        <v/>
      </c>
      <c r="H282" s="44">
        <f>IF($M282="","",INDEX('Form Calc'!$A:$A,$M282))</f>
        <v/>
      </c>
      <c r="I282" s="63">
        <f>IF($M282="","",INDEX('Form Calc'!$J:$J,$M282))</f>
        <v/>
      </c>
      <c r="J282" s="63">
        <f>IF($M282="","",INDEX('Form Calc'!$L:$L,$M282))</f>
        <v/>
      </c>
      <c r="K282" s="63">
        <f>IF($M282="","",INDEX('Form Calc'!$M:$M,$M282))</f>
        <v/>
      </c>
      <c r="L282" s="47">
        <f>IF($M282="","",INDEX('Form Calc'!$F:$F,$M282))</f>
        <v/>
      </c>
      <c r="M282" s="32">
        <f>IF(277&gt;MAX('Form Calc'!$Y$2:$Y$601),"",IFERROR(MATCH(MAX('Form Calc'!$Y$2:$Y$601)+1-277,'Form Calc'!$Z:$Z,0),""))</f>
        <v/>
      </c>
    </row>
    <row r="283">
      <c r="A283" s="62">
        <f>IF($M283="","",INDEX('Form Calc'!$B:$B,$M283))</f>
        <v/>
      </c>
      <c r="B283" s="47">
        <f>IF($M283="","",INDEX('Form Calc'!$G:$G,$M283))</f>
        <v/>
      </c>
      <c r="C283" s="47">
        <f>IF($M283="","",INDEX('Form Calc'!$H:$H,$M283))</f>
        <v/>
      </c>
      <c r="D283" s="47">
        <f>IF($M283="","",INDEX('Form Calc'!$I:$I,$M283))</f>
        <v/>
      </c>
      <c r="E283" s="47">
        <f>IF($M283="","",INDEX('Form Calc'!$K:$K,$M283))</f>
        <v/>
      </c>
      <c r="F283" s="47">
        <f>IF($M283="","",INDEX('Form Calc'!$C:$C,$M283))</f>
        <v/>
      </c>
      <c r="G283" s="47">
        <f>IF($M283="","",IF(INDEX('Form Calc'!$R:$R,$M283)="","NEW","✓ yes"))</f>
        <v/>
      </c>
      <c r="H283" s="44">
        <f>IF($M283="","",INDEX('Form Calc'!$A:$A,$M283))</f>
        <v/>
      </c>
      <c r="I283" s="63">
        <f>IF($M283="","",INDEX('Form Calc'!$J:$J,$M283))</f>
        <v/>
      </c>
      <c r="J283" s="63">
        <f>IF($M283="","",INDEX('Form Calc'!$L:$L,$M283))</f>
        <v/>
      </c>
      <c r="K283" s="63">
        <f>IF($M283="","",INDEX('Form Calc'!$M:$M,$M283))</f>
        <v/>
      </c>
      <c r="L283" s="47">
        <f>IF($M283="","",INDEX('Form Calc'!$F:$F,$M283))</f>
        <v/>
      </c>
      <c r="M283" s="32">
        <f>IF(278&gt;MAX('Form Calc'!$Y$2:$Y$601),"",IFERROR(MATCH(MAX('Form Calc'!$Y$2:$Y$601)+1-278,'Form Calc'!$Z:$Z,0),""))</f>
        <v/>
      </c>
    </row>
    <row r="284">
      <c r="A284" s="62">
        <f>IF($M284="","",INDEX('Form Calc'!$B:$B,$M284))</f>
        <v/>
      </c>
      <c r="B284" s="47">
        <f>IF($M284="","",INDEX('Form Calc'!$G:$G,$M284))</f>
        <v/>
      </c>
      <c r="C284" s="47">
        <f>IF($M284="","",INDEX('Form Calc'!$H:$H,$M284))</f>
        <v/>
      </c>
      <c r="D284" s="47">
        <f>IF($M284="","",INDEX('Form Calc'!$I:$I,$M284))</f>
        <v/>
      </c>
      <c r="E284" s="47">
        <f>IF($M284="","",INDEX('Form Calc'!$K:$K,$M284))</f>
        <v/>
      </c>
      <c r="F284" s="47">
        <f>IF($M284="","",INDEX('Form Calc'!$C:$C,$M284))</f>
        <v/>
      </c>
      <c r="G284" s="47">
        <f>IF($M284="","",IF(INDEX('Form Calc'!$R:$R,$M284)="","NEW","✓ yes"))</f>
        <v/>
      </c>
      <c r="H284" s="44">
        <f>IF($M284="","",INDEX('Form Calc'!$A:$A,$M284))</f>
        <v/>
      </c>
      <c r="I284" s="63">
        <f>IF($M284="","",INDEX('Form Calc'!$J:$J,$M284))</f>
        <v/>
      </c>
      <c r="J284" s="63">
        <f>IF($M284="","",INDEX('Form Calc'!$L:$L,$M284))</f>
        <v/>
      </c>
      <c r="K284" s="63">
        <f>IF($M284="","",INDEX('Form Calc'!$M:$M,$M284))</f>
        <v/>
      </c>
      <c r="L284" s="47">
        <f>IF($M284="","",INDEX('Form Calc'!$F:$F,$M284))</f>
        <v/>
      </c>
      <c r="M284" s="32">
        <f>IF(279&gt;MAX('Form Calc'!$Y$2:$Y$601),"",IFERROR(MATCH(MAX('Form Calc'!$Y$2:$Y$601)+1-279,'Form Calc'!$Z:$Z,0),""))</f>
        <v/>
      </c>
    </row>
    <row r="285">
      <c r="A285" s="62">
        <f>IF($M285="","",INDEX('Form Calc'!$B:$B,$M285))</f>
        <v/>
      </c>
      <c r="B285" s="47">
        <f>IF($M285="","",INDEX('Form Calc'!$G:$G,$M285))</f>
        <v/>
      </c>
      <c r="C285" s="47">
        <f>IF($M285="","",INDEX('Form Calc'!$H:$H,$M285))</f>
        <v/>
      </c>
      <c r="D285" s="47">
        <f>IF($M285="","",INDEX('Form Calc'!$I:$I,$M285))</f>
        <v/>
      </c>
      <c r="E285" s="47">
        <f>IF($M285="","",INDEX('Form Calc'!$K:$K,$M285))</f>
        <v/>
      </c>
      <c r="F285" s="47">
        <f>IF($M285="","",INDEX('Form Calc'!$C:$C,$M285))</f>
        <v/>
      </c>
      <c r="G285" s="47">
        <f>IF($M285="","",IF(INDEX('Form Calc'!$R:$R,$M285)="","NEW","✓ yes"))</f>
        <v/>
      </c>
      <c r="H285" s="44">
        <f>IF($M285="","",INDEX('Form Calc'!$A:$A,$M285))</f>
        <v/>
      </c>
      <c r="I285" s="63">
        <f>IF($M285="","",INDEX('Form Calc'!$J:$J,$M285))</f>
        <v/>
      </c>
      <c r="J285" s="63">
        <f>IF($M285="","",INDEX('Form Calc'!$L:$L,$M285))</f>
        <v/>
      </c>
      <c r="K285" s="63">
        <f>IF($M285="","",INDEX('Form Calc'!$M:$M,$M285))</f>
        <v/>
      </c>
      <c r="L285" s="47">
        <f>IF($M285="","",INDEX('Form Calc'!$F:$F,$M285))</f>
        <v/>
      </c>
      <c r="M285" s="32">
        <f>IF(280&gt;MAX('Form Calc'!$Y$2:$Y$601),"",IFERROR(MATCH(MAX('Form Calc'!$Y$2:$Y$601)+1-280,'Form Calc'!$Z:$Z,0),""))</f>
        <v/>
      </c>
    </row>
    <row r="286">
      <c r="A286" s="62">
        <f>IF($M286="","",INDEX('Form Calc'!$B:$B,$M286))</f>
        <v/>
      </c>
      <c r="B286" s="47">
        <f>IF($M286="","",INDEX('Form Calc'!$G:$G,$M286))</f>
        <v/>
      </c>
      <c r="C286" s="47">
        <f>IF($M286="","",INDEX('Form Calc'!$H:$H,$M286))</f>
        <v/>
      </c>
      <c r="D286" s="47">
        <f>IF($M286="","",INDEX('Form Calc'!$I:$I,$M286))</f>
        <v/>
      </c>
      <c r="E286" s="47">
        <f>IF($M286="","",INDEX('Form Calc'!$K:$K,$M286))</f>
        <v/>
      </c>
      <c r="F286" s="47">
        <f>IF($M286="","",INDEX('Form Calc'!$C:$C,$M286))</f>
        <v/>
      </c>
      <c r="G286" s="47">
        <f>IF($M286="","",IF(INDEX('Form Calc'!$R:$R,$M286)="","NEW","✓ yes"))</f>
        <v/>
      </c>
      <c r="H286" s="44">
        <f>IF($M286="","",INDEX('Form Calc'!$A:$A,$M286))</f>
        <v/>
      </c>
      <c r="I286" s="63">
        <f>IF($M286="","",INDEX('Form Calc'!$J:$J,$M286))</f>
        <v/>
      </c>
      <c r="J286" s="63">
        <f>IF($M286="","",INDEX('Form Calc'!$L:$L,$M286))</f>
        <v/>
      </c>
      <c r="K286" s="63">
        <f>IF($M286="","",INDEX('Form Calc'!$M:$M,$M286))</f>
        <v/>
      </c>
      <c r="L286" s="47">
        <f>IF($M286="","",INDEX('Form Calc'!$F:$F,$M286))</f>
        <v/>
      </c>
      <c r="M286" s="32">
        <f>IF(281&gt;MAX('Form Calc'!$Y$2:$Y$601),"",IFERROR(MATCH(MAX('Form Calc'!$Y$2:$Y$601)+1-281,'Form Calc'!$Z:$Z,0),""))</f>
        <v/>
      </c>
    </row>
    <row r="287">
      <c r="A287" s="62">
        <f>IF($M287="","",INDEX('Form Calc'!$B:$B,$M287))</f>
        <v/>
      </c>
      <c r="B287" s="47">
        <f>IF($M287="","",INDEX('Form Calc'!$G:$G,$M287))</f>
        <v/>
      </c>
      <c r="C287" s="47">
        <f>IF($M287="","",INDEX('Form Calc'!$H:$H,$M287))</f>
        <v/>
      </c>
      <c r="D287" s="47">
        <f>IF($M287="","",INDEX('Form Calc'!$I:$I,$M287))</f>
        <v/>
      </c>
      <c r="E287" s="47">
        <f>IF($M287="","",INDEX('Form Calc'!$K:$K,$M287))</f>
        <v/>
      </c>
      <c r="F287" s="47">
        <f>IF($M287="","",INDEX('Form Calc'!$C:$C,$M287))</f>
        <v/>
      </c>
      <c r="G287" s="47">
        <f>IF($M287="","",IF(INDEX('Form Calc'!$R:$R,$M287)="","NEW","✓ yes"))</f>
        <v/>
      </c>
      <c r="H287" s="44">
        <f>IF($M287="","",INDEX('Form Calc'!$A:$A,$M287))</f>
        <v/>
      </c>
      <c r="I287" s="63">
        <f>IF($M287="","",INDEX('Form Calc'!$J:$J,$M287))</f>
        <v/>
      </c>
      <c r="J287" s="63">
        <f>IF($M287="","",INDEX('Form Calc'!$L:$L,$M287))</f>
        <v/>
      </c>
      <c r="K287" s="63">
        <f>IF($M287="","",INDEX('Form Calc'!$M:$M,$M287))</f>
        <v/>
      </c>
      <c r="L287" s="47">
        <f>IF($M287="","",INDEX('Form Calc'!$F:$F,$M287))</f>
        <v/>
      </c>
      <c r="M287" s="32">
        <f>IF(282&gt;MAX('Form Calc'!$Y$2:$Y$601),"",IFERROR(MATCH(MAX('Form Calc'!$Y$2:$Y$601)+1-282,'Form Calc'!$Z:$Z,0),""))</f>
        <v/>
      </c>
    </row>
    <row r="288">
      <c r="A288" s="62">
        <f>IF($M288="","",INDEX('Form Calc'!$B:$B,$M288))</f>
        <v/>
      </c>
      <c r="B288" s="47">
        <f>IF($M288="","",INDEX('Form Calc'!$G:$G,$M288))</f>
        <v/>
      </c>
      <c r="C288" s="47">
        <f>IF($M288="","",INDEX('Form Calc'!$H:$H,$M288))</f>
        <v/>
      </c>
      <c r="D288" s="47">
        <f>IF($M288="","",INDEX('Form Calc'!$I:$I,$M288))</f>
        <v/>
      </c>
      <c r="E288" s="47">
        <f>IF($M288="","",INDEX('Form Calc'!$K:$K,$M288))</f>
        <v/>
      </c>
      <c r="F288" s="47">
        <f>IF($M288="","",INDEX('Form Calc'!$C:$C,$M288))</f>
        <v/>
      </c>
      <c r="G288" s="47">
        <f>IF($M288="","",IF(INDEX('Form Calc'!$R:$R,$M288)="","NEW","✓ yes"))</f>
        <v/>
      </c>
      <c r="H288" s="44">
        <f>IF($M288="","",INDEX('Form Calc'!$A:$A,$M288))</f>
        <v/>
      </c>
      <c r="I288" s="63">
        <f>IF($M288="","",INDEX('Form Calc'!$J:$J,$M288))</f>
        <v/>
      </c>
      <c r="J288" s="63">
        <f>IF($M288="","",INDEX('Form Calc'!$L:$L,$M288))</f>
        <v/>
      </c>
      <c r="K288" s="63">
        <f>IF($M288="","",INDEX('Form Calc'!$M:$M,$M288))</f>
        <v/>
      </c>
      <c r="L288" s="47">
        <f>IF($M288="","",INDEX('Form Calc'!$F:$F,$M288))</f>
        <v/>
      </c>
      <c r="M288" s="32">
        <f>IF(283&gt;MAX('Form Calc'!$Y$2:$Y$601),"",IFERROR(MATCH(MAX('Form Calc'!$Y$2:$Y$601)+1-283,'Form Calc'!$Z:$Z,0),""))</f>
        <v/>
      </c>
    </row>
    <row r="289">
      <c r="A289" s="62">
        <f>IF($M289="","",INDEX('Form Calc'!$B:$B,$M289))</f>
        <v/>
      </c>
      <c r="B289" s="47">
        <f>IF($M289="","",INDEX('Form Calc'!$G:$G,$M289))</f>
        <v/>
      </c>
      <c r="C289" s="47">
        <f>IF($M289="","",INDEX('Form Calc'!$H:$H,$M289))</f>
        <v/>
      </c>
      <c r="D289" s="47">
        <f>IF($M289="","",INDEX('Form Calc'!$I:$I,$M289))</f>
        <v/>
      </c>
      <c r="E289" s="47">
        <f>IF($M289="","",INDEX('Form Calc'!$K:$K,$M289))</f>
        <v/>
      </c>
      <c r="F289" s="47">
        <f>IF($M289="","",INDEX('Form Calc'!$C:$C,$M289))</f>
        <v/>
      </c>
      <c r="G289" s="47">
        <f>IF($M289="","",IF(INDEX('Form Calc'!$R:$R,$M289)="","NEW","✓ yes"))</f>
        <v/>
      </c>
      <c r="H289" s="44">
        <f>IF($M289="","",INDEX('Form Calc'!$A:$A,$M289))</f>
        <v/>
      </c>
      <c r="I289" s="63">
        <f>IF($M289="","",INDEX('Form Calc'!$J:$J,$M289))</f>
        <v/>
      </c>
      <c r="J289" s="63">
        <f>IF($M289="","",INDEX('Form Calc'!$L:$L,$M289))</f>
        <v/>
      </c>
      <c r="K289" s="63">
        <f>IF($M289="","",INDEX('Form Calc'!$M:$M,$M289))</f>
        <v/>
      </c>
      <c r="L289" s="47">
        <f>IF($M289="","",INDEX('Form Calc'!$F:$F,$M289))</f>
        <v/>
      </c>
      <c r="M289" s="32">
        <f>IF(284&gt;MAX('Form Calc'!$Y$2:$Y$601),"",IFERROR(MATCH(MAX('Form Calc'!$Y$2:$Y$601)+1-284,'Form Calc'!$Z:$Z,0),""))</f>
        <v/>
      </c>
    </row>
    <row r="290">
      <c r="A290" s="62">
        <f>IF($M290="","",INDEX('Form Calc'!$B:$B,$M290))</f>
        <v/>
      </c>
      <c r="B290" s="47">
        <f>IF($M290="","",INDEX('Form Calc'!$G:$G,$M290))</f>
        <v/>
      </c>
      <c r="C290" s="47">
        <f>IF($M290="","",INDEX('Form Calc'!$H:$H,$M290))</f>
        <v/>
      </c>
      <c r="D290" s="47">
        <f>IF($M290="","",INDEX('Form Calc'!$I:$I,$M290))</f>
        <v/>
      </c>
      <c r="E290" s="47">
        <f>IF($M290="","",INDEX('Form Calc'!$K:$K,$M290))</f>
        <v/>
      </c>
      <c r="F290" s="47">
        <f>IF($M290="","",INDEX('Form Calc'!$C:$C,$M290))</f>
        <v/>
      </c>
      <c r="G290" s="47">
        <f>IF($M290="","",IF(INDEX('Form Calc'!$R:$R,$M290)="","NEW","✓ yes"))</f>
        <v/>
      </c>
      <c r="H290" s="44">
        <f>IF($M290="","",INDEX('Form Calc'!$A:$A,$M290))</f>
        <v/>
      </c>
      <c r="I290" s="63">
        <f>IF($M290="","",INDEX('Form Calc'!$J:$J,$M290))</f>
        <v/>
      </c>
      <c r="J290" s="63">
        <f>IF($M290="","",INDEX('Form Calc'!$L:$L,$M290))</f>
        <v/>
      </c>
      <c r="K290" s="63">
        <f>IF($M290="","",INDEX('Form Calc'!$M:$M,$M290))</f>
        <v/>
      </c>
      <c r="L290" s="47">
        <f>IF($M290="","",INDEX('Form Calc'!$F:$F,$M290))</f>
        <v/>
      </c>
      <c r="M290" s="32">
        <f>IF(285&gt;MAX('Form Calc'!$Y$2:$Y$601),"",IFERROR(MATCH(MAX('Form Calc'!$Y$2:$Y$601)+1-285,'Form Calc'!$Z:$Z,0),""))</f>
        <v/>
      </c>
    </row>
    <row r="291">
      <c r="A291" s="62">
        <f>IF($M291="","",INDEX('Form Calc'!$B:$B,$M291))</f>
        <v/>
      </c>
      <c r="B291" s="47">
        <f>IF($M291="","",INDEX('Form Calc'!$G:$G,$M291))</f>
        <v/>
      </c>
      <c r="C291" s="47">
        <f>IF($M291="","",INDEX('Form Calc'!$H:$H,$M291))</f>
        <v/>
      </c>
      <c r="D291" s="47">
        <f>IF($M291="","",INDEX('Form Calc'!$I:$I,$M291))</f>
        <v/>
      </c>
      <c r="E291" s="47">
        <f>IF($M291="","",INDEX('Form Calc'!$K:$K,$M291))</f>
        <v/>
      </c>
      <c r="F291" s="47">
        <f>IF($M291="","",INDEX('Form Calc'!$C:$C,$M291))</f>
        <v/>
      </c>
      <c r="G291" s="47">
        <f>IF($M291="","",IF(INDEX('Form Calc'!$R:$R,$M291)="","NEW","✓ yes"))</f>
        <v/>
      </c>
      <c r="H291" s="44">
        <f>IF($M291="","",INDEX('Form Calc'!$A:$A,$M291))</f>
        <v/>
      </c>
      <c r="I291" s="63">
        <f>IF($M291="","",INDEX('Form Calc'!$J:$J,$M291))</f>
        <v/>
      </c>
      <c r="J291" s="63">
        <f>IF($M291="","",INDEX('Form Calc'!$L:$L,$M291))</f>
        <v/>
      </c>
      <c r="K291" s="63">
        <f>IF($M291="","",INDEX('Form Calc'!$M:$M,$M291))</f>
        <v/>
      </c>
      <c r="L291" s="47">
        <f>IF($M291="","",INDEX('Form Calc'!$F:$F,$M291))</f>
        <v/>
      </c>
      <c r="M291" s="32">
        <f>IF(286&gt;MAX('Form Calc'!$Y$2:$Y$601),"",IFERROR(MATCH(MAX('Form Calc'!$Y$2:$Y$601)+1-286,'Form Calc'!$Z:$Z,0),""))</f>
        <v/>
      </c>
    </row>
    <row r="292">
      <c r="A292" s="62">
        <f>IF($M292="","",INDEX('Form Calc'!$B:$B,$M292))</f>
        <v/>
      </c>
      <c r="B292" s="47">
        <f>IF($M292="","",INDEX('Form Calc'!$G:$G,$M292))</f>
        <v/>
      </c>
      <c r="C292" s="47">
        <f>IF($M292="","",INDEX('Form Calc'!$H:$H,$M292))</f>
        <v/>
      </c>
      <c r="D292" s="47">
        <f>IF($M292="","",INDEX('Form Calc'!$I:$I,$M292))</f>
        <v/>
      </c>
      <c r="E292" s="47">
        <f>IF($M292="","",INDEX('Form Calc'!$K:$K,$M292))</f>
        <v/>
      </c>
      <c r="F292" s="47">
        <f>IF($M292="","",INDEX('Form Calc'!$C:$C,$M292))</f>
        <v/>
      </c>
      <c r="G292" s="47">
        <f>IF($M292="","",IF(INDEX('Form Calc'!$R:$R,$M292)="","NEW","✓ yes"))</f>
        <v/>
      </c>
      <c r="H292" s="44">
        <f>IF($M292="","",INDEX('Form Calc'!$A:$A,$M292))</f>
        <v/>
      </c>
      <c r="I292" s="63">
        <f>IF($M292="","",INDEX('Form Calc'!$J:$J,$M292))</f>
        <v/>
      </c>
      <c r="J292" s="63">
        <f>IF($M292="","",INDEX('Form Calc'!$L:$L,$M292))</f>
        <v/>
      </c>
      <c r="K292" s="63">
        <f>IF($M292="","",INDEX('Form Calc'!$M:$M,$M292))</f>
        <v/>
      </c>
      <c r="L292" s="47">
        <f>IF($M292="","",INDEX('Form Calc'!$F:$F,$M292))</f>
        <v/>
      </c>
      <c r="M292" s="32">
        <f>IF(287&gt;MAX('Form Calc'!$Y$2:$Y$601),"",IFERROR(MATCH(MAX('Form Calc'!$Y$2:$Y$601)+1-287,'Form Calc'!$Z:$Z,0),""))</f>
        <v/>
      </c>
    </row>
    <row r="293">
      <c r="A293" s="62">
        <f>IF($M293="","",INDEX('Form Calc'!$B:$B,$M293))</f>
        <v/>
      </c>
      <c r="B293" s="47">
        <f>IF($M293="","",INDEX('Form Calc'!$G:$G,$M293))</f>
        <v/>
      </c>
      <c r="C293" s="47">
        <f>IF($M293="","",INDEX('Form Calc'!$H:$H,$M293))</f>
        <v/>
      </c>
      <c r="D293" s="47">
        <f>IF($M293="","",INDEX('Form Calc'!$I:$I,$M293))</f>
        <v/>
      </c>
      <c r="E293" s="47">
        <f>IF($M293="","",INDEX('Form Calc'!$K:$K,$M293))</f>
        <v/>
      </c>
      <c r="F293" s="47">
        <f>IF($M293="","",INDEX('Form Calc'!$C:$C,$M293))</f>
        <v/>
      </c>
      <c r="G293" s="47">
        <f>IF($M293="","",IF(INDEX('Form Calc'!$R:$R,$M293)="","NEW","✓ yes"))</f>
        <v/>
      </c>
      <c r="H293" s="44">
        <f>IF($M293="","",INDEX('Form Calc'!$A:$A,$M293))</f>
        <v/>
      </c>
      <c r="I293" s="63">
        <f>IF($M293="","",INDEX('Form Calc'!$J:$J,$M293))</f>
        <v/>
      </c>
      <c r="J293" s="63">
        <f>IF($M293="","",INDEX('Form Calc'!$L:$L,$M293))</f>
        <v/>
      </c>
      <c r="K293" s="63">
        <f>IF($M293="","",INDEX('Form Calc'!$M:$M,$M293))</f>
        <v/>
      </c>
      <c r="L293" s="47">
        <f>IF($M293="","",INDEX('Form Calc'!$F:$F,$M293))</f>
        <v/>
      </c>
      <c r="M293" s="32">
        <f>IF(288&gt;MAX('Form Calc'!$Y$2:$Y$601),"",IFERROR(MATCH(MAX('Form Calc'!$Y$2:$Y$601)+1-288,'Form Calc'!$Z:$Z,0),""))</f>
        <v/>
      </c>
    </row>
    <row r="294">
      <c r="A294" s="62">
        <f>IF($M294="","",INDEX('Form Calc'!$B:$B,$M294))</f>
        <v/>
      </c>
      <c r="B294" s="47">
        <f>IF($M294="","",INDEX('Form Calc'!$G:$G,$M294))</f>
        <v/>
      </c>
      <c r="C294" s="47">
        <f>IF($M294="","",INDEX('Form Calc'!$H:$H,$M294))</f>
        <v/>
      </c>
      <c r="D294" s="47">
        <f>IF($M294="","",INDEX('Form Calc'!$I:$I,$M294))</f>
        <v/>
      </c>
      <c r="E294" s="47">
        <f>IF($M294="","",INDEX('Form Calc'!$K:$K,$M294))</f>
        <v/>
      </c>
      <c r="F294" s="47">
        <f>IF($M294="","",INDEX('Form Calc'!$C:$C,$M294))</f>
        <v/>
      </c>
      <c r="G294" s="47">
        <f>IF($M294="","",IF(INDEX('Form Calc'!$R:$R,$M294)="","NEW","✓ yes"))</f>
        <v/>
      </c>
      <c r="H294" s="44">
        <f>IF($M294="","",INDEX('Form Calc'!$A:$A,$M294))</f>
        <v/>
      </c>
      <c r="I294" s="63">
        <f>IF($M294="","",INDEX('Form Calc'!$J:$J,$M294))</f>
        <v/>
      </c>
      <c r="J294" s="63">
        <f>IF($M294="","",INDEX('Form Calc'!$L:$L,$M294))</f>
        <v/>
      </c>
      <c r="K294" s="63">
        <f>IF($M294="","",INDEX('Form Calc'!$M:$M,$M294))</f>
        <v/>
      </c>
      <c r="L294" s="47">
        <f>IF($M294="","",INDEX('Form Calc'!$F:$F,$M294))</f>
        <v/>
      </c>
      <c r="M294" s="32">
        <f>IF(289&gt;MAX('Form Calc'!$Y$2:$Y$601),"",IFERROR(MATCH(MAX('Form Calc'!$Y$2:$Y$601)+1-289,'Form Calc'!$Z:$Z,0),""))</f>
        <v/>
      </c>
    </row>
    <row r="295">
      <c r="A295" s="62">
        <f>IF($M295="","",INDEX('Form Calc'!$B:$B,$M295))</f>
        <v/>
      </c>
      <c r="B295" s="47">
        <f>IF($M295="","",INDEX('Form Calc'!$G:$G,$M295))</f>
        <v/>
      </c>
      <c r="C295" s="47">
        <f>IF($M295="","",INDEX('Form Calc'!$H:$H,$M295))</f>
        <v/>
      </c>
      <c r="D295" s="47">
        <f>IF($M295="","",INDEX('Form Calc'!$I:$I,$M295))</f>
        <v/>
      </c>
      <c r="E295" s="47">
        <f>IF($M295="","",INDEX('Form Calc'!$K:$K,$M295))</f>
        <v/>
      </c>
      <c r="F295" s="47">
        <f>IF($M295="","",INDEX('Form Calc'!$C:$C,$M295))</f>
        <v/>
      </c>
      <c r="G295" s="47">
        <f>IF($M295="","",IF(INDEX('Form Calc'!$R:$R,$M295)="","NEW","✓ yes"))</f>
        <v/>
      </c>
      <c r="H295" s="44">
        <f>IF($M295="","",INDEX('Form Calc'!$A:$A,$M295))</f>
        <v/>
      </c>
      <c r="I295" s="63">
        <f>IF($M295="","",INDEX('Form Calc'!$J:$J,$M295))</f>
        <v/>
      </c>
      <c r="J295" s="63">
        <f>IF($M295="","",INDEX('Form Calc'!$L:$L,$M295))</f>
        <v/>
      </c>
      <c r="K295" s="63">
        <f>IF($M295="","",INDEX('Form Calc'!$M:$M,$M295))</f>
        <v/>
      </c>
      <c r="L295" s="47">
        <f>IF($M295="","",INDEX('Form Calc'!$F:$F,$M295))</f>
        <v/>
      </c>
      <c r="M295" s="32">
        <f>IF(290&gt;MAX('Form Calc'!$Y$2:$Y$601),"",IFERROR(MATCH(MAX('Form Calc'!$Y$2:$Y$601)+1-290,'Form Calc'!$Z:$Z,0),""))</f>
        <v/>
      </c>
    </row>
    <row r="296">
      <c r="A296" s="62">
        <f>IF($M296="","",INDEX('Form Calc'!$B:$B,$M296))</f>
        <v/>
      </c>
      <c r="B296" s="47">
        <f>IF($M296="","",INDEX('Form Calc'!$G:$G,$M296))</f>
        <v/>
      </c>
      <c r="C296" s="47">
        <f>IF($M296="","",INDEX('Form Calc'!$H:$H,$M296))</f>
        <v/>
      </c>
      <c r="D296" s="47">
        <f>IF($M296="","",INDEX('Form Calc'!$I:$I,$M296))</f>
        <v/>
      </c>
      <c r="E296" s="47">
        <f>IF($M296="","",INDEX('Form Calc'!$K:$K,$M296))</f>
        <v/>
      </c>
      <c r="F296" s="47">
        <f>IF($M296="","",INDEX('Form Calc'!$C:$C,$M296))</f>
        <v/>
      </c>
      <c r="G296" s="47">
        <f>IF($M296="","",IF(INDEX('Form Calc'!$R:$R,$M296)="","NEW","✓ yes"))</f>
        <v/>
      </c>
      <c r="H296" s="44">
        <f>IF($M296="","",INDEX('Form Calc'!$A:$A,$M296))</f>
        <v/>
      </c>
      <c r="I296" s="63">
        <f>IF($M296="","",INDEX('Form Calc'!$J:$J,$M296))</f>
        <v/>
      </c>
      <c r="J296" s="63">
        <f>IF($M296="","",INDEX('Form Calc'!$L:$L,$M296))</f>
        <v/>
      </c>
      <c r="K296" s="63">
        <f>IF($M296="","",INDEX('Form Calc'!$M:$M,$M296))</f>
        <v/>
      </c>
      <c r="L296" s="47">
        <f>IF($M296="","",INDEX('Form Calc'!$F:$F,$M296))</f>
        <v/>
      </c>
      <c r="M296" s="32">
        <f>IF(291&gt;MAX('Form Calc'!$Y$2:$Y$601),"",IFERROR(MATCH(MAX('Form Calc'!$Y$2:$Y$601)+1-291,'Form Calc'!$Z:$Z,0),""))</f>
        <v/>
      </c>
    </row>
    <row r="297">
      <c r="A297" s="62">
        <f>IF($M297="","",INDEX('Form Calc'!$B:$B,$M297))</f>
        <v/>
      </c>
      <c r="B297" s="47">
        <f>IF($M297="","",INDEX('Form Calc'!$G:$G,$M297))</f>
        <v/>
      </c>
      <c r="C297" s="47">
        <f>IF($M297="","",INDEX('Form Calc'!$H:$H,$M297))</f>
        <v/>
      </c>
      <c r="D297" s="47">
        <f>IF($M297="","",INDEX('Form Calc'!$I:$I,$M297))</f>
        <v/>
      </c>
      <c r="E297" s="47">
        <f>IF($M297="","",INDEX('Form Calc'!$K:$K,$M297))</f>
        <v/>
      </c>
      <c r="F297" s="47">
        <f>IF($M297="","",INDEX('Form Calc'!$C:$C,$M297))</f>
        <v/>
      </c>
      <c r="G297" s="47">
        <f>IF($M297="","",IF(INDEX('Form Calc'!$R:$R,$M297)="","NEW","✓ yes"))</f>
        <v/>
      </c>
      <c r="H297" s="44">
        <f>IF($M297="","",INDEX('Form Calc'!$A:$A,$M297))</f>
        <v/>
      </c>
      <c r="I297" s="63">
        <f>IF($M297="","",INDEX('Form Calc'!$J:$J,$M297))</f>
        <v/>
      </c>
      <c r="J297" s="63">
        <f>IF($M297="","",INDEX('Form Calc'!$L:$L,$M297))</f>
        <v/>
      </c>
      <c r="K297" s="63">
        <f>IF($M297="","",INDEX('Form Calc'!$M:$M,$M297))</f>
        <v/>
      </c>
      <c r="L297" s="47">
        <f>IF($M297="","",INDEX('Form Calc'!$F:$F,$M297))</f>
        <v/>
      </c>
      <c r="M297" s="32">
        <f>IF(292&gt;MAX('Form Calc'!$Y$2:$Y$601),"",IFERROR(MATCH(MAX('Form Calc'!$Y$2:$Y$601)+1-292,'Form Calc'!$Z:$Z,0),""))</f>
        <v/>
      </c>
    </row>
    <row r="298">
      <c r="A298" s="62">
        <f>IF($M298="","",INDEX('Form Calc'!$B:$B,$M298))</f>
        <v/>
      </c>
      <c r="B298" s="47">
        <f>IF($M298="","",INDEX('Form Calc'!$G:$G,$M298))</f>
        <v/>
      </c>
      <c r="C298" s="47">
        <f>IF($M298="","",INDEX('Form Calc'!$H:$H,$M298))</f>
        <v/>
      </c>
      <c r="D298" s="47">
        <f>IF($M298="","",INDEX('Form Calc'!$I:$I,$M298))</f>
        <v/>
      </c>
      <c r="E298" s="47">
        <f>IF($M298="","",INDEX('Form Calc'!$K:$K,$M298))</f>
        <v/>
      </c>
      <c r="F298" s="47">
        <f>IF($M298="","",INDEX('Form Calc'!$C:$C,$M298))</f>
        <v/>
      </c>
      <c r="G298" s="47">
        <f>IF($M298="","",IF(INDEX('Form Calc'!$R:$R,$M298)="","NEW","✓ yes"))</f>
        <v/>
      </c>
      <c r="H298" s="44">
        <f>IF($M298="","",INDEX('Form Calc'!$A:$A,$M298))</f>
        <v/>
      </c>
      <c r="I298" s="63">
        <f>IF($M298="","",INDEX('Form Calc'!$J:$J,$M298))</f>
        <v/>
      </c>
      <c r="J298" s="63">
        <f>IF($M298="","",INDEX('Form Calc'!$L:$L,$M298))</f>
        <v/>
      </c>
      <c r="K298" s="63">
        <f>IF($M298="","",INDEX('Form Calc'!$M:$M,$M298))</f>
        <v/>
      </c>
      <c r="L298" s="47">
        <f>IF($M298="","",INDEX('Form Calc'!$F:$F,$M298))</f>
        <v/>
      </c>
      <c r="M298" s="32">
        <f>IF(293&gt;MAX('Form Calc'!$Y$2:$Y$601),"",IFERROR(MATCH(MAX('Form Calc'!$Y$2:$Y$601)+1-293,'Form Calc'!$Z:$Z,0),""))</f>
        <v/>
      </c>
    </row>
    <row r="299">
      <c r="A299" s="62">
        <f>IF($M299="","",INDEX('Form Calc'!$B:$B,$M299))</f>
        <v/>
      </c>
      <c r="B299" s="47">
        <f>IF($M299="","",INDEX('Form Calc'!$G:$G,$M299))</f>
        <v/>
      </c>
      <c r="C299" s="47">
        <f>IF($M299="","",INDEX('Form Calc'!$H:$H,$M299))</f>
        <v/>
      </c>
      <c r="D299" s="47">
        <f>IF($M299="","",INDEX('Form Calc'!$I:$I,$M299))</f>
        <v/>
      </c>
      <c r="E299" s="47">
        <f>IF($M299="","",INDEX('Form Calc'!$K:$K,$M299))</f>
        <v/>
      </c>
      <c r="F299" s="47">
        <f>IF($M299="","",INDEX('Form Calc'!$C:$C,$M299))</f>
        <v/>
      </c>
      <c r="G299" s="47">
        <f>IF($M299="","",IF(INDEX('Form Calc'!$R:$R,$M299)="","NEW","✓ yes"))</f>
        <v/>
      </c>
      <c r="H299" s="44">
        <f>IF($M299="","",INDEX('Form Calc'!$A:$A,$M299))</f>
        <v/>
      </c>
      <c r="I299" s="63">
        <f>IF($M299="","",INDEX('Form Calc'!$J:$J,$M299))</f>
        <v/>
      </c>
      <c r="J299" s="63">
        <f>IF($M299="","",INDEX('Form Calc'!$L:$L,$M299))</f>
        <v/>
      </c>
      <c r="K299" s="63">
        <f>IF($M299="","",INDEX('Form Calc'!$M:$M,$M299))</f>
        <v/>
      </c>
      <c r="L299" s="47">
        <f>IF($M299="","",INDEX('Form Calc'!$F:$F,$M299))</f>
        <v/>
      </c>
      <c r="M299" s="32">
        <f>IF(294&gt;MAX('Form Calc'!$Y$2:$Y$601),"",IFERROR(MATCH(MAX('Form Calc'!$Y$2:$Y$601)+1-294,'Form Calc'!$Z:$Z,0),""))</f>
        <v/>
      </c>
    </row>
    <row r="300">
      <c r="A300" s="62">
        <f>IF($M300="","",INDEX('Form Calc'!$B:$B,$M300))</f>
        <v/>
      </c>
      <c r="B300" s="47">
        <f>IF($M300="","",INDEX('Form Calc'!$G:$G,$M300))</f>
        <v/>
      </c>
      <c r="C300" s="47">
        <f>IF($M300="","",INDEX('Form Calc'!$H:$H,$M300))</f>
        <v/>
      </c>
      <c r="D300" s="47">
        <f>IF($M300="","",INDEX('Form Calc'!$I:$I,$M300))</f>
        <v/>
      </c>
      <c r="E300" s="47">
        <f>IF($M300="","",INDEX('Form Calc'!$K:$K,$M300))</f>
        <v/>
      </c>
      <c r="F300" s="47">
        <f>IF($M300="","",INDEX('Form Calc'!$C:$C,$M300))</f>
        <v/>
      </c>
      <c r="G300" s="47">
        <f>IF($M300="","",IF(INDEX('Form Calc'!$R:$R,$M300)="","NEW","✓ yes"))</f>
        <v/>
      </c>
      <c r="H300" s="44">
        <f>IF($M300="","",INDEX('Form Calc'!$A:$A,$M300))</f>
        <v/>
      </c>
      <c r="I300" s="63">
        <f>IF($M300="","",INDEX('Form Calc'!$J:$J,$M300))</f>
        <v/>
      </c>
      <c r="J300" s="63">
        <f>IF($M300="","",INDEX('Form Calc'!$L:$L,$M300))</f>
        <v/>
      </c>
      <c r="K300" s="63">
        <f>IF($M300="","",INDEX('Form Calc'!$M:$M,$M300))</f>
        <v/>
      </c>
      <c r="L300" s="47">
        <f>IF($M300="","",INDEX('Form Calc'!$F:$F,$M300))</f>
        <v/>
      </c>
      <c r="M300" s="32">
        <f>IF(295&gt;MAX('Form Calc'!$Y$2:$Y$601),"",IFERROR(MATCH(MAX('Form Calc'!$Y$2:$Y$601)+1-295,'Form Calc'!$Z:$Z,0),""))</f>
        <v/>
      </c>
    </row>
    <row r="301">
      <c r="A301" s="62">
        <f>IF($M301="","",INDEX('Form Calc'!$B:$B,$M301))</f>
        <v/>
      </c>
      <c r="B301" s="47">
        <f>IF($M301="","",INDEX('Form Calc'!$G:$G,$M301))</f>
        <v/>
      </c>
      <c r="C301" s="47">
        <f>IF($M301="","",INDEX('Form Calc'!$H:$H,$M301))</f>
        <v/>
      </c>
      <c r="D301" s="47">
        <f>IF($M301="","",INDEX('Form Calc'!$I:$I,$M301))</f>
        <v/>
      </c>
      <c r="E301" s="47">
        <f>IF($M301="","",INDEX('Form Calc'!$K:$K,$M301))</f>
        <v/>
      </c>
      <c r="F301" s="47">
        <f>IF($M301="","",INDEX('Form Calc'!$C:$C,$M301))</f>
        <v/>
      </c>
      <c r="G301" s="47">
        <f>IF($M301="","",IF(INDEX('Form Calc'!$R:$R,$M301)="","NEW","✓ yes"))</f>
        <v/>
      </c>
      <c r="H301" s="44">
        <f>IF($M301="","",INDEX('Form Calc'!$A:$A,$M301))</f>
        <v/>
      </c>
      <c r="I301" s="63">
        <f>IF($M301="","",INDEX('Form Calc'!$J:$J,$M301))</f>
        <v/>
      </c>
      <c r="J301" s="63">
        <f>IF($M301="","",INDEX('Form Calc'!$L:$L,$M301))</f>
        <v/>
      </c>
      <c r="K301" s="63">
        <f>IF($M301="","",INDEX('Form Calc'!$M:$M,$M301))</f>
        <v/>
      </c>
      <c r="L301" s="47">
        <f>IF($M301="","",INDEX('Form Calc'!$F:$F,$M301))</f>
        <v/>
      </c>
      <c r="M301" s="32">
        <f>IF(296&gt;MAX('Form Calc'!$Y$2:$Y$601),"",IFERROR(MATCH(MAX('Form Calc'!$Y$2:$Y$601)+1-296,'Form Calc'!$Z:$Z,0),""))</f>
        <v/>
      </c>
    </row>
    <row r="302">
      <c r="A302" s="62">
        <f>IF($M302="","",INDEX('Form Calc'!$B:$B,$M302))</f>
        <v/>
      </c>
      <c r="B302" s="47">
        <f>IF($M302="","",INDEX('Form Calc'!$G:$G,$M302))</f>
        <v/>
      </c>
      <c r="C302" s="47">
        <f>IF($M302="","",INDEX('Form Calc'!$H:$H,$M302))</f>
        <v/>
      </c>
      <c r="D302" s="47">
        <f>IF($M302="","",INDEX('Form Calc'!$I:$I,$M302))</f>
        <v/>
      </c>
      <c r="E302" s="47">
        <f>IF($M302="","",INDEX('Form Calc'!$K:$K,$M302))</f>
        <v/>
      </c>
      <c r="F302" s="47">
        <f>IF($M302="","",INDEX('Form Calc'!$C:$C,$M302))</f>
        <v/>
      </c>
      <c r="G302" s="47">
        <f>IF($M302="","",IF(INDEX('Form Calc'!$R:$R,$M302)="","NEW","✓ yes"))</f>
        <v/>
      </c>
      <c r="H302" s="44">
        <f>IF($M302="","",INDEX('Form Calc'!$A:$A,$M302))</f>
        <v/>
      </c>
      <c r="I302" s="63">
        <f>IF($M302="","",INDEX('Form Calc'!$J:$J,$M302))</f>
        <v/>
      </c>
      <c r="J302" s="63">
        <f>IF($M302="","",INDEX('Form Calc'!$L:$L,$M302))</f>
        <v/>
      </c>
      <c r="K302" s="63">
        <f>IF($M302="","",INDEX('Form Calc'!$M:$M,$M302))</f>
        <v/>
      </c>
      <c r="L302" s="47">
        <f>IF($M302="","",INDEX('Form Calc'!$F:$F,$M302))</f>
        <v/>
      </c>
      <c r="M302" s="32">
        <f>IF(297&gt;MAX('Form Calc'!$Y$2:$Y$601),"",IFERROR(MATCH(MAX('Form Calc'!$Y$2:$Y$601)+1-297,'Form Calc'!$Z:$Z,0),""))</f>
        <v/>
      </c>
    </row>
    <row r="303">
      <c r="A303" s="62">
        <f>IF($M303="","",INDEX('Form Calc'!$B:$B,$M303))</f>
        <v/>
      </c>
      <c r="B303" s="47">
        <f>IF($M303="","",INDEX('Form Calc'!$G:$G,$M303))</f>
        <v/>
      </c>
      <c r="C303" s="47">
        <f>IF($M303="","",INDEX('Form Calc'!$H:$H,$M303))</f>
        <v/>
      </c>
      <c r="D303" s="47">
        <f>IF($M303="","",INDEX('Form Calc'!$I:$I,$M303))</f>
        <v/>
      </c>
      <c r="E303" s="47">
        <f>IF($M303="","",INDEX('Form Calc'!$K:$K,$M303))</f>
        <v/>
      </c>
      <c r="F303" s="47">
        <f>IF($M303="","",INDEX('Form Calc'!$C:$C,$M303))</f>
        <v/>
      </c>
      <c r="G303" s="47">
        <f>IF($M303="","",IF(INDEX('Form Calc'!$R:$R,$M303)="","NEW","✓ yes"))</f>
        <v/>
      </c>
      <c r="H303" s="44">
        <f>IF($M303="","",INDEX('Form Calc'!$A:$A,$M303))</f>
        <v/>
      </c>
      <c r="I303" s="63">
        <f>IF($M303="","",INDEX('Form Calc'!$J:$J,$M303))</f>
        <v/>
      </c>
      <c r="J303" s="63">
        <f>IF($M303="","",INDEX('Form Calc'!$L:$L,$M303))</f>
        <v/>
      </c>
      <c r="K303" s="63">
        <f>IF($M303="","",INDEX('Form Calc'!$M:$M,$M303))</f>
        <v/>
      </c>
      <c r="L303" s="47">
        <f>IF($M303="","",INDEX('Form Calc'!$F:$F,$M303))</f>
        <v/>
      </c>
      <c r="M303" s="32">
        <f>IF(298&gt;MAX('Form Calc'!$Y$2:$Y$601),"",IFERROR(MATCH(MAX('Form Calc'!$Y$2:$Y$601)+1-298,'Form Calc'!$Z:$Z,0),""))</f>
        <v/>
      </c>
    </row>
    <row r="304">
      <c r="A304" s="62">
        <f>IF($M304="","",INDEX('Form Calc'!$B:$B,$M304))</f>
        <v/>
      </c>
      <c r="B304" s="47">
        <f>IF($M304="","",INDEX('Form Calc'!$G:$G,$M304))</f>
        <v/>
      </c>
      <c r="C304" s="47">
        <f>IF($M304="","",INDEX('Form Calc'!$H:$H,$M304))</f>
        <v/>
      </c>
      <c r="D304" s="47">
        <f>IF($M304="","",INDEX('Form Calc'!$I:$I,$M304))</f>
        <v/>
      </c>
      <c r="E304" s="47">
        <f>IF($M304="","",INDEX('Form Calc'!$K:$K,$M304))</f>
        <v/>
      </c>
      <c r="F304" s="47">
        <f>IF($M304="","",INDEX('Form Calc'!$C:$C,$M304))</f>
        <v/>
      </c>
      <c r="G304" s="47">
        <f>IF($M304="","",IF(INDEX('Form Calc'!$R:$R,$M304)="","NEW","✓ yes"))</f>
        <v/>
      </c>
      <c r="H304" s="44">
        <f>IF($M304="","",INDEX('Form Calc'!$A:$A,$M304))</f>
        <v/>
      </c>
      <c r="I304" s="63">
        <f>IF($M304="","",INDEX('Form Calc'!$J:$J,$M304))</f>
        <v/>
      </c>
      <c r="J304" s="63">
        <f>IF($M304="","",INDEX('Form Calc'!$L:$L,$M304))</f>
        <v/>
      </c>
      <c r="K304" s="63">
        <f>IF($M304="","",INDEX('Form Calc'!$M:$M,$M304))</f>
        <v/>
      </c>
      <c r="L304" s="47">
        <f>IF($M304="","",INDEX('Form Calc'!$F:$F,$M304))</f>
        <v/>
      </c>
      <c r="M304" s="32">
        <f>IF(299&gt;MAX('Form Calc'!$Y$2:$Y$601),"",IFERROR(MATCH(MAX('Form Calc'!$Y$2:$Y$601)+1-299,'Form Calc'!$Z:$Z,0),""))</f>
        <v/>
      </c>
    </row>
    <row r="305">
      <c r="A305" s="62">
        <f>IF($M305="","",INDEX('Form Calc'!$B:$B,$M305))</f>
        <v/>
      </c>
      <c r="B305" s="47">
        <f>IF($M305="","",INDEX('Form Calc'!$G:$G,$M305))</f>
        <v/>
      </c>
      <c r="C305" s="47">
        <f>IF($M305="","",INDEX('Form Calc'!$H:$H,$M305))</f>
        <v/>
      </c>
      <c r="D305" s="47">
        <f>IF($M305="","",INDEX('Form Calc'!$I:$I,$M305))</f>
        <v/>
      </c>
      <c r="E305" s="47">
        <f>IF($M305="","",INDEX('Form Calc'!$K:$K,$M305))</f>
        <v/>
      </c>
      <c r="F305" s="47">
        <f>IF($M305="","",INDEX('Form Calc'!$C:$C,$M305))</f>
        <v/>
      </c>
      <c r="G305" s="47">
        <f>IF($M305="","",IF(INDEX('Form Calc'!$R:$R,$M305)="","NEW","✓ yes"))</f>
        <v/>
      </c>
      <c r="H305" s="44">
        <f>IF($M305="","",INDEX('Form Calc'!$A:$A,$M305))</f>
        <v/>
      </c>
      <c r="I305" s="63">
        <f>IF($M305="","",INDEX('Form Calc'!$J:$J,$M305))</f>
        <v/>
      </c>
      <c r="J305" s="63">
        <f>IF($M305="","",INDEX('Form Calc'!$L:$L,$M305))</f>
        <v/>
      </c>
      <c r="K305" s="63">
        <f>IF($M305="","",INDEX('Form Calc'!$M:$M,$M305))</f>
        <v/>
      </c>
      <c r="L305" s="47">
        <f>IF($M305="","",INDEX('Form Calc'!$F:$F,$M305))</f>
        <v/>
      </c>
      <c r="M305" s="32">
        <f>IF(300&gt;MAX('Form Calc'!$Y$2:$Y$601),"",IFERROR(MATCH(MAX('Form Calc'!$Y$2:$Y$601)+1-300,'Form Calc'!$Z:$Z,0),""))</f>
        <v/>
      </c>
    </row>
  </sheetData>
  <conditionalFormatting sqref="B6:B305">
    <cfRule type="expression" priority="1" dxfId="4" stopIfTrue="0">
      <formula>$B6="Attending"</formula>
    </cfRule>
    <cfRule type="expression" priority="2" dxfId="1" stopIfTrue="0">
      <formula>$B6="Declined"</formula>
    </cfRule>
    <cfRule type="expression" priority="3" dxfId="2" stopIfTrue="0">
      <formula>$B6="Not sure yet"</formula>
    </cfRule>
    <cfRule type="expression" priority="4" dxfId="3" stopIfTrue="0">
      <formula>$B6="Awaiting"</formula>
    </cfRule>
  </conditionalFormatting>
  <conditionalFormatting sqref="G6:G305">
    <cfRule type="expression" priority="5" dxfId="8" stopIfTrue="0">
      <formula>$G6="NEW"</formula>
    </cfRule>
  </conditionalFormatting>
  <pageMargins left="0.5" right="0.5" top="0.6" bottom="0.6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F2D98C"/>
    <outlinePr summaryBelow="1" summaryRight="1"/>
    <pageSetUpPr fitToPage="1"/>
  </sheetPr>
  <dimension ref="A1:K30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2" customWidth="1" min="3" max="3"/>
    <col width="15" customWidth="1" min="4" max="4"/>
    <col width="12" customWidth="1" min="5" max="5"/>
    <col width="18" customWidth="1" min="6" max="6"/>
    <col width="12" customWidth="1" min="7" max="7"/>
    <col hidden="1" width="13" customWidth="1" min="8" max="8"/>
    <col hidden="1" width="13" customWidth="1" min="9" max="9"/>
    <col width="3" customWidth="1" min="10" max="10"/>
    <col width="60" customWidth="1" min="11" max="11"/>
  </cols>
  <sheetData>
    <row r="1" ht="30" customHeight="1">
      <c r="A1" s="1" t="inlineStr">
        <is>
          <t>RSVP Follow-Up</t>
        </is>
      </c>
    </row>
    <row r="2">
      <c r="A2" s="11" t="inlineStr">
        <is>
          <t>Everyone still Awaiting or Not sure yet (yellow). Tap 💬 Remind to text, WhatsApp or call with your message ready.</t>
        </is>
      </c>
    </row>
    <row r="3">
      <c r="A3" s="51" t="inlineStr">
        <is>
          <t>Awaiting reply</t>
        </is>
      </c>
      <c r="B3" s="64">
        <f>COUNTIF(Guests!$B$6:$B$505,"Awaiting")</f>
        <v/>
      </c>
    </row>
    <row r="4">
      <c r="A4" s="51" t="inlineStr">
        <is>
          <t>Not sure yet</t>
        </is>
      </c>
      <c r="B4" s="64">
        <f>COUNTIF(Guests!$B$6:$B$505,"Not sure yet")+SUM('Form Calc'!$AA$2:$AA$601)</f>
        <v/>
      </c>
    </row>
    <row r="5">
      <c r="A5" s="51" t="inlineStr">
        <is>
          <t>RSVP deadline</t>
        </is>
      </c>
      <c r="B5" s="64">
        <f>IF('Start Here'!$B$12="","Set on Start Here",TEXT('Start Here'!$B$12,"mm/dd/yyyy")&amp;IF('Start Here'!$B$12&gt;=TODAY(),"  ("&amp;('Start Here'!$B$12-TODAY())&amp;" days left)","  (passed)"))</f>
        <v/>
      </c>
    </row>
    <row r="6"/>
    <row r="7"/>
    <row r="8" ht="30" customHeight="1">
      <c r="A8" s="43" t="inlineStr">
        <is>
          <t>Name</t>
        </is>
      </c>
      <c r="B8" s="43" t="inlineStr">
        <is>
          <t>Status</t>
        </is>
      </c>
      <c r="C8" s="43" t="inlineStr">
        <is>
          <t>Remind</t>
        </is>
      </c>
      <c r="D8" s="43" t="inlineStr">
        <is>
          <t>Mobile</t>
        </is>
      </c>
      <c r="E8" s="43" t="inlineStr">
        <is>
          <t>Last reminded</t>
        </is>
      </c>
      <c r="F8" s="43" t="inlineStr">
        <is>
          <t>Party</t>
        </is>
      </c>
      <c r="G8" s="43" t="inlineStr">
        <is>
          <t>Source</t>
        </is>
      </c>
      <c r="K8" s="65" t="inlineStr">
        <is>
          <t>Phone-call script</t>
        </is>
      </c>
    </row>
    <row r="9" ht="30" customHeight="1">
      <c r="A9" s="66">
        <f>IF($H9&lt;&gt;"",INDEX(Guests!$A:$A,$H9)&amp;"",IF($I9&lt;&gt;"",INDEX('Form Calc'!$B:$B,$I9)&amp;"",""))</f>
        <v/>
      </c>
      <c r="B9" s="67">
        <f>IF($H9&lt;&gt;"",INDEX(Guests!$B:$B,$H9)&amp;"",IF($I9&lt;&gt;"",INDEX('Form Calc'!$G:$G,$I9)&amp;"",""))</f>
        <v/>
      </c>
      <c r="C9" s="68">
        <f>IF($H9&lt;&gt;"",IF(INDEX(Guests!$AD:$AD,$H9)&lt;&gt;"",HYPERLINK(INDEX(Guests!$AD:$AD,$H9),"💬 Remind"),"add mobile"),IF($I9&lt;&gt;"",IF(INDEX('Form Calc'!$AG:$AG,$I9)&lt;&gt;"",HYPERLINK(INDEX('Form Calc'!$AG:$AG,$I9),"💬 Remind"),"add mobile"),""))</f>
        <v/>
      </c>
      <c r="D9" s="67">
        <f>IF($H9&lt;&gt;"",INDEX(Guests!$Y:$Y,$H9)&amp;"",IF($I9&lt;&gt;"",INDEX('Form Calc'!$C:$C,$I9)&amp;"",""))</f>
        <v/>
      </c>
      <c r="E9" s="69">
        <f>IF($H9&lt;&gt;"",IF(INDEX(Guests!$N:$N,$H9)="","",INDEX(Guests!$N:$N,$H9)),"")</f>
        <v/>
      </c>
      <c r="F9" s="67">
        <f>IF($H9&lt;&gt;"",INDEX(Guests!$E:$E,$H9)&amp;"","")</f>
        <v/>
      </c>
      <c r="G9" s="67">
        <f>IF($H9&lt;&gt;"","Guest list",IF($I9&lt;&gt;"","RSVP form",""))</f>
        <v/>
      </c>
      <c r="H9" s="32">
        <f>IF(1&lt;=Guests!$AG$505,MATCH(1,Guests!$AH:$AH,0),"")</f>
        <v/>
      </c>
      <c r="I9" s="32">
        <f>IF(AND(1&gt;Guests!$AG$505,1&lt;=Guests!$AG$505+'Form Calc'!$AB$601),MATCH(1-Guests!$AG$505,'Form Calc'!$AC:$AC,0),"")</f>
        <v/>
      </c>
      <c r="K9" s="70" t="inlineStr">
        <is>
          <t>"Hi [name]! It's [your name] — how are you?"</t>
        </is>
      </c>
    </row>
    <row r="10" ht="30" customHeight="1">
      <c r="A10" s="66">
        <f>IF($H10&lt;&gt;"",INDEX(Guests!$A:$A,$H10)&amp;"",IF($I10&lt;&gt;"",INDEX('Form Calc'!$B:$B,$I10)&amp;"",""))</f>
        <v/>
      </c>
      <c r="B10" s="67">
        <f>IF($H10&lt;&gt;"",INDEX(Guests!$B:$B,$H10)&amp;"",IF($I10&lt;&gt;"",INDEX('Form Calc'!$G:$G,$I10)&amp;"",""))</f>
        <v/>
      </c>
      <c r="C10" s="68">
        <f>IF($H10&lt;&gt;"",IF(INDEX(Guests!$AD:$AD,$H10)&lt;&gt;"",HYPERLINK(INDEX(Guests!$AD:$AD,$H10),"💬 Remind"),"add mobile"),IF($I10&lt;&gt;"",IF(INDEX('Form Calc'!$AG:$AG,$I10)&lt;&gt;"",HYPERLINK(INDEX('Form Calc'!$AG:$AG,$I10),"💬 Remind"),"add mobile"),""))</f>
        <v/>
      </c>
      <c r="D10" s="67">
        <f>IF($H10&lt;&gt;"",INDEX(Guests!$Y:$Y,$H10)&amp;"",IF($I10&lt;&gt;"",INDEX('Form Calc'!$C:$C,$I10)&amp;"",""))</f>
        <v/>
      </c>
      <c r="E10" s="69">
        <f>IF($H10&lt;&gt;"",IF(INDEX(Guests!$N:$N,$H10)="","",INDEX(Guests!$N:$N,$H10)),"")</f>
        <v/>
      </c>
      <c r="F10" s="67">
        <f>IF($H10&lt;&gt;"",INDEX(Guests!$E:$E,$H10)&amp;"","")</f>
        <v/>
      </c>
      <c r="G10" s="67">
        <f>IF($H10&lt;&gt;"","Guest list",IF($I10&lt;&gt;"","RSVP form",""))</f>
        <v/>
      </c>
      <c r="H10" s="32">
        <f>IF(2&lt;=Guests!$AG$505,MATCH(2,Guests!$AH:$AH,0),"")</f>
        <v/>
      </c>
      <c r="I10" s="32">
        <f>IF(AND(2&gt;Guests!$AG$505,2&lt;=Guests!$AG$505+'Form Calc'!$AB$601),MATCH(2-Guests!$AG$505,'Form Calc'!$AC:$AC,0),"")</f>
        <v/>
      </c>
      <c r="K10" s="70" t="inlineStr">
        <is>
          <t>"We're finalizing numbers for the caterer and wanted to check if you'll be able to join us on [date]."</t>
        </is>
      </c>
    </row>
    <row r="11" ht="30" customHeight="1">
      <c r="A11" s="66">
        <f>IF($H11&lt;&gt;"",INDEX(Guests!$A:$A,$H11)&amp;"",IF($I11&lt;&gt;"",INDEX('Form Calc'!$B:$B,$I11)&amp;"",""))</f>
        <v/>
      </c>
      <c r="B11" s="67">
        <f>IF($H11&lt;&gt;"",INDEX(Guests!$B:$B,$H11)&amp;"",IF($I11&lt;&gt;"",INDEX('Form Calc'!$G:$G,$I11)&amp;"",""))</f>
        <v/>
      </c>
      <c r="C11" s="68">
        <f>IF($H11&lt;&gt;"",IF(INDEX(Guests!$AD:$AD,$H11)&lt;&gt;"",HYPERLINK(INDEX(Guests!$AD:$AD,$H11),"💬 Remind"),"add mobile"),IF($I11&lt;&gt;"",IF(INDEX('Form Calc'!$AG:$AG,$I11)&lt;&gt;"",HYPERLINK(INDEX('Form Calc'!$AG:$AG,$I11),"💬 Remind"),"add mobile"),""))</f>
        <v/>
      </c>
      <c r="D11" s="67">
        <f>IF($H11&lt;&gt;"",INDEX(Guests!$Y:$Y,$H11)&amp;"",IF($I11&lt;&gt;"",INDEX('Form Calc'!$C:$C,$I11)&amp;"",""))</f>
        <v/>
      </c>
      <c r="E11" s="69">
        <f>IF($H11&lt;&gt;"",IF(INDEX(Guests!$N:$N,$H11)="","",INDEX(Guests!$N:$N,$H11)),"")</f>
        <v/>
      </c>
      <c r="F11" s="67">
        <f>IF($H11&lt;&gt;"",INDEX(Guests!$E:$E,$H11)&amp;"","")</f>
        <v/>
      </c>
      <c r="G11" s="67">
        <f>IF($H11&lt;&gt;"","Guest list",IF($I11&lt;&gt;"","RSVP form",""))</f>
        <v/>
      </c>
      <c r="H11" s="32">
        <f>IF(3&lt;=Guests!$AG$505,MATCH(3,Guests!$AH:$AH,0),"")</f>
        <v/>
      </c>
      <c r="I11" s="32">
        <f>IF(AND(3&gt;Guests!$AG$505,3&lt;=Guests!$AG$505+'Form Calc'!$AB$601),MATCH(3-Guests!$AG$505,'Form Calc'!$AC:$AC,0),"")</f>
        <v/>
      </c>
      <c r="K11" s="70" t="inlineStr">
        <is>
          <t>If yes: "Wonderful! Will anyone be coming with you? Any meal preference or allergies?"</t>
        </is>
      </c>
    </row>
    <row r="12" ht="30" customHeight="1">
      <c r="A12" s="66">
        <f>IF($H12&lt;&gt;"",INDEX(Guests!$A:$A,$H12)&amp;"",IF($I12&lt;&gt;"",INDEX('Form Calc'!$B:$B,$I12)&amp;"",""))</f>
        <v/>
      </c>
      <c r="B12" s="67">
        <f>IF($H12&lt;&gt;"",INDEX(Guests!$B:$B,$H12)&amp;"",IF($I12&lt;&gt;"",INDEX('Form Calc'!$G:$G,$I12)&amp;"",""))</f>
        <v/>
      </c>
      <c r="C12" s="68">
        <f>IF($H12&lt;&gt;"",IF(INDEX(Guests!$AD:$AD,$H12)&lt;&gt;"",HYPERLINK(INDEX(Guests!$AD:$AD,$H12),"💬 Remind"),"add mobile"),IF($I12&lt;&gt;"",IF(INDEX('Form Calc'!$AG:$AG,$I12)&lt;&gt;"",HYPERLINK(INDEX('Form Calc'!$AG:$AG,$I12),"💬 Remind"),"add mobile"),""))</f>
        <v/>
      </c>
      <c r="D12" s="67">
        <f>IF($H12&lt;&gt;"",INDEX(Guests!$Y:$Y,$H12)&amp;"",IF($I12&lt;&gt;"",INDEX('Form Calc'!$C:$C,$I12)&amp;"",""))</f>
        <v/>
      </c>
      <c r="E12" s="69">
        <f>IF($H12&lt;&gt;"",IF(INDEX(Guests!$N:$N,$H12)="","",INDEX(Guests!$N:$N,$H12)),"")</f>
        <v/>
      </c>
      <c r="F12" s="67">
        <f>IF($H12&lt;&gt;"",INDEX(Guests!$E:$E,$H12)&amp;"","")</f>
        <v/>
      </c>
      <c r="G12" s="67">
        <f>IF($H12&lt;&gt;"","Guest list",IF($I12&lt;&gt;"","RSVP form",""))</f>
        <v/>
      </c>
      <c r="H12" s="32">
        <f>IF(4&lt;=Guests!$AG$505,MATCH(4,Guests!$AH:$AH,0),"")</f>
        <v/>
      </c>
      <c r="I12" s="32">
        <f>IF(AND(4&gt;Guests!$AG$505,4&lt;=Guests!$AG$505+'Form Calc'!$AB$601),MATCH(4-Guests!$AG$505,'Form Calc'!$AC:$AC,0),"")</f>
        <v/>
      </c>
      <c r="K12" s="70" t="inlineStr">
        <is>
          <t>If not sure: "No problem! When do you think you'll know? Our deadline is [RSVP date]."</t>
        </is>
      </c>
    </row>
    <row r="13" ht="30" customHeight="1">
      <c r="A13" s="66">
        <f>IF($H13&lt;&gt;"",INDEX(Guests!$A:$A,$H13)&amp;"",IF($I13&lt;&gt;"",INDEX('Form Calc'!$B:$B,$I13)&amp;"",""))</f>
        <v/>
      </c>
      <c r="B13" s="67">
        <f>IF($H13&lt;&gt;"",INDEX(Guests!$B:$B,$H13)&amp;"",IF($I13&lt;&gt;"",INDEX('Form Calc'!$G:$G,$I13)&amp;"",""))</f>
        <v/>
      </c>
      <c r="C13" s="68">
        <f>IF($H13&lt;&gt;"",IF(INDEX(Guests!$AD:$AD,$H13)&lt;&gt;"",HYPERLINK(INDEX(Guests!$AD:$AD,$H13),"💬 Remind"),"add mobile"),IF($I13&lt;&gt;"",IF(INDEX('Form Calc'!$AG:$AG,$I13)&lt;&gt;"",HYPERLINK(INDEX('Form Calc'!$AG:$AG,$I13),"💬 Remind"),"add mobile"),""))</f>
        <v/>
      </c>
      <c r="D13" s="67">
        <f>IF($H13&lt;&gt;"",INDEX(Guests!$Y:$Y,$H13)&amp;"",IF($I13&lt;&gt;"",INDEX('Form Calc'!$C:$C,$I13)&amp;"",""))</f>
        <v/>
      </c>
      <c r="E13" s="69">
        <f>IF($H13&lt;&gt;"",IF(INDEX(Guests!$N:$N,$H13)="","",INDEX(Guests!$N:$N,$H13)),"")</f>
        <v/>
      </c>
      <c r="F13" s="67">
        <f>IF($H13&lt;&gt;"",INDEX(Guests!$E:$E,$H13)&amp;"","")</f>
        <v/>
      </c>
      <c r="G13" s="67">
        <f>IF($H13&lt;&gt;"","Guest list",IF($I13&lt;&gt;"","RSVP form",""))</f>
        <v/>
      </c>
      <c r="H13" s="32">
        <f>IF(5&lt;=Guests!$AG$505,MATCH(5,Guests!$AH:$AH,0),"")</f>
        <v/>
      </c>
      <c r="I13" s="32">
        <f>IF(AND(5&gt;Guests!$AG$505,5&lt;=Guests!$AG$505+'Form Calc'!$AB$601),MATCH(5-Guests!$AG$505,'Form Calc'!$AC:$AC,0),"")</f>
        <v/>
      </c>
      <c r="K13" s="70" t="inlineStr">
        <is>
          <t>If no: "We'll miss you! Thanks so much for letting us know."</t>
        </is>
      </c>
    </row>
    <row r="14" ht="30" customHeight="1">
      <c r="A14" s="66">
        <f>IF($H14&lt;&gt;"",INDEX(Guests!$A:$A,$H14)&amp;"",IF($I14&lt;&gt;"",INDEX('Form Calc'!$B:$B,$I14)&amp;"",""))</f>
        <v/>
      </c>
      <c r="B14" s="67">
        <f>IF($H14&lt;&gt;"",INDEX(Guests!$B:$B,$H14)&amp;"",IF($I14&lt;&gt;"",INDEX('Form Calc'!$G:$G,$I14)&amp;"",""))</f>
        <v/>
      </c>
      <c r="C14" s="68">
        <f>IF($H14&lt;&gt;"",IF(INDEX(Guests!$AD:$AD,$H14)&lt;&gt;"",HYPERLINK(INDEX(Guests!$AD:$AD,$H14),"💬 Remind"),"add mobile"),IF($I14&lt;&gt;"",IF(INDEX('Form Calc'!$AG:$AG,$I14)&lt;&gt;"",HYPERLINK(INDEX('Form Calc'!$AG:$AG,$I14),"💬 Remind"),"add mobile"),""))</f>
        <v/>
      </c>
      <c r="D14" s="67">
        <f>IF($H14&lt;&gt;"",INDEX(Guests!$Y:$Y,$H14)&amp;"",IF($I14&lt;&gt;"",INDEX('Form Calc'!$C:$C,$I14)&amp;"",""))</f>
        <v/>
      </c>
      <c r="E14" s="69">
        <f>IF($H14&lt;&gt;"",IF(INDEX(Guests!$N:$N,$H14)="","",INDEX(Guests!$N:$N,$H14)),"")</f>
        <v/>
      </c>
      <c r="F14" s="67">
        <f>IF($H14&lt;&gt;"",INDEX(Guests!$E:$E,$H14)&amp;"","")</f>
        <v/>
      </c>
      <c r="G14" s="67">
        <f>IF($H14&lt;&gt;"","Guest list",IF($I14&lt;&gt;"","RSVP form",""))</f>
        <v/>
      </c>
      <c r="H14" s="32">
        <f>IF(6&lt;=Guests!$AG$505,MATCH(6,Guests!$AH:$AH,0),"")</f>
        <v/>
      </c>
      <c r="I14" s="32">
        <f>IF(AND(6&gt;Guests!$AG$505,6&lt;=Guests!$AG$505+'Form Calc'!$AB$601),MATCH(6-Guests!$AG$505,'Form Calc'!$AC:$AC,0),"")</f>
        <v/>
      </c>
      <c r="K14" s="23" t="inlineStr">
        <is>
          <t>Afterwards: set their RSVP on Guests (column RSVP) and the Last reminded date.</t>
        </is>
      </c>
    </row>
    <row r="15">
      <c r="A15" s="66">
        <f>IF($H15&lt;&gt;"",INDEX(Guests!$A:$A,$H15)&amp;"",IF($I15&lt;&gt;"",INDEX('Form Calc'!$B:$B,$I15)&amp;"",""))</f>
        <v/>
      </c>
      <c r="B15" s="67">
        <f>IF($H15&lt;&gt;"",INDEX(Guests!$B:$B,$H15)&amp;"",IF($I15&lt;&gt;"",INDEX('Form Calc'!$G:$G,$I15)&amp;"",""))</f>
        <v/>
      </c>
      <c r="C15" s="68">
        <f>IF($H15&lt;&gt;"",IF(INDEX(Guests!$AD:$AD,$H15)&lt;&gt;"",HYPERLINK(INDEX(Guests!$AD:$AD,$H15),"💬 Remind"),"add mobile"),IF($I15&lt;&gt;"",IF(INDEX('Form Calc'!$AG:$AG,$I15)&lt;&gt;"",HYPERLINK(INDEX('Form Calc'!$AG:$AG,$I15),"💬 Remind"),"add mobile"),""))</f>
        <v/>
      </c>
      <c r="D15" s="67">
        <f>IF($H15&lt;&gt;"",INDEX(Guests!$Y:$Y,$H15)&amp;"",IF($I15&lt;&gt;"",INDEX('Form Calc'!$C:$C,$I15)&amp;"",""))</f>
        <v/>
      </c>
      <c r="E15" s="69">
        <f>IF($H15&lt;&gt;"",IF(INDEX(Guests!$N:$N,$H15)="","",INDEX(Guests!$N:$N,$H15)),"")</f>
        <v/>
      </c>
      <c r="F15" s="67">
        <f>IF($H15&lt;&gt;"",INDEX(Guests!$E:$E,$H15)&amp;"","")</f>
        <v/>
      </c>
      <c r="G15" s="67">
        <f>IF($H15&lt;&gt;"","Guest list",IF($I15&lt;&gt;"","RSVP form",""))</f>
        <v/>
      </c>
      <c r="H15" s="32">
        <f>IF(7&lt;=Guests!$AG$505,MATCH(7,Guests!$AH:$AH,0),"")</f>
        <v/>
      </c>
      <c r="I15" s="32">
        <f>IF(AND(7&gt;Guests!$AG$505,7&lt;=Guests!$AG$505+'Form Calc'!$AB$601),MATCH(7-Guests!$AG$505,'Form Calc'!$AC:$AC,0),"")</f>
        <v/>
      </c>
    </row>
    <row r="16">
      <c r="A16" s="66">
        <f>IF($H16&lt;&gt;"",INDEX(Guests!$A:$A,$H16)&amp;"",IF($I16&lt;&gt;"",INDEX('Form Calc'!$B:$B,$I16)&amp;"",""))</f>
        <v/>
      </c>
      <c r="B16" s="67">
        <f>IF($H16&lt;&gt;"",INDEX(Guests!$B:$B,$H16)&amp;"",IF($I16&lt;&gt;"",INDEX('Form Calc'!$G:$G,$I16)&amp;"",""))</f>
        <v/>
      </c>
      <c r="C16" s="68">
        <f>IF($H16&lt;&gt;"",IF(INDEX(Guests!$AD:$AD,$H16)&lt;&gt;"",HYPERLINK(INDEX(Guests!$AD:$AD,$H16),"💬 Remind"),"add mobile"),IF($I16&lt;&gt;"",IF(INDEX('Form Calc'!$AG:$AG,$I16)&lt;&gt;"",HYPERLINK(INDEX('Form Calc'!$AG:$AG,$I16),"💬 Remind"),"add mobile"),""))</f>
        <v/>
      </c>
      <c r="D16" s="67">
        <f>IF($H16&lt;&gt;"",INDEX(Guests!$Y:$Y,$H16)&amp;"",IF($I16&lt;&gt;"",INDEX('Form Calc'!$C:$C,$I16)&amp;"",""))</f>
        <v/>
      </c>
      <c r="E16" s="69">
        <f>IF($H16&lt;&gt;"",IF(INDEX(Guests!$N:$N,$H16)="","",INDEX(Guests!$N:$N,$H16)),"")</f>
        <v/>
      </c>
      <c r="F16" s="67">
        <f>IF($H16&lt;&gt;"",INDEX(Guests!$E:$E,$H16)&amp;"","")</f>
        <v/>
      </c>
      <c r="G16" s="67">
        <f>IF($H16&lt;&gt;"","Guest list",IF($I16&lt;&gt;"","RSVP form",""))</f>
        <v/>
      </c>
      <c r="H16" s="32">
        <f>IF(8&lt;=Guests!$AG$505,MATCH(8,Guests!$AH:$AH,0),"")</f>
        <v/>
      </c>
      <c r="I16" s="32">
        <f>IF(AND(8&gt;Guests!$AG$505,8&lt;=Guests!$AG$505+'Form Calc'!$AB$601),MATCH(8-Guests!$AG$505,'Form Calc'!$AC:$AC,0),"")</f>
        <v/>
      </c>
    </row>
    <row r="17">
      <c r="A17" s="66">
        <f>IF($H17&lt;&gt;"",INDEX(Guests!$A:$A,$H17)&amp;"",IF($I17&lt;&gt;"",INDEX('Form Calc'!$B:$B,$I17)&amp;"",""))</f>
        <v/>
      </c>
      <c r="B17" s="67">
        <f>IF($H17&lt;&gt;"",INDEX(Guests!$B:$B,$H17)&amp;"",IF($I17&lt;&gt;"",INDEX('Form Calc'!$G:$G,$I17)&amp;"",""))</f>
        <v/>
      </c>
      <c r="C17" s="68">
        <f>IF($H17&lt;&gt;"",IF(INDEX(Guests!$AD:$AD,$H17)&lt;&gt;"",HYPERLINK(INDEX(Guests!$AD:$AD,$H17),"💬 Remind"),"add mobile"),IF($I17&lt;&gt;"",IF(INDEX('Form Calc'!$AG:$AG,$I17)&lt;&gt;"",HYPERLINK(INDEX('Form Calc'!$AG:$AG,$I17),"💬 Remind"),"add mobile"),""))</f>
        <v/>
      </c>
      <c r="D17" s="67">
        <f>IF($H17&lt;&gt;"",INDEX(Guests!$Y:$Y,$H17)&amp;"",IF($I17&lt;&gt;"",INDEX('Form Calc'!$C:$C,$I17)&amp;"",""))</f>
        <v/>
      </c>
      <c r="E17" s="69">
        <f>IF($H17&lt;&gt;"",IF(INDEX(Guests!$N:$N,$H17)="","",INDEX(Guests!$N:$N,$H17)),"")</f>
        <v/>
      </c>
      <c r="F17" s="67">
        <f>IF($H17&lt;&gt;"",INDEX(Guests!$E:$E,$H17)&amp;"","")</f>
        <v/>
      </c>
      <c r="G17" s="67">
        <f>IF($H17&lt;&gt;"","Guest list",IF($I17&lt;&gt;"","RSVP form",""))</f>
        <v/>
      </c>
      <c r="H17" s="32">
        <f>IF(9&lt;=Guests!$AG$505,MATCH(9,Guests!$AH:$AH,0),"")</f>
        <v/>
      </c>
      <c r="I17" s="32">
        <f>IF(AND(9&gt;Guests!$AG$505,9&lt;=Guests!$AG$505+'Form Calc'!$AB$601),MATCH(9-Guests!$AG$505,'Form Calc'!$AC:$AC,0),"")</f>
        <v/>
      </c>
    </row>
    <row r="18">
      <c r="A18" s="66">
        <f>IF($H18&lt;&gt;"",INDEX(Guests!$A:$A,$H18)&amp;"",IF($I18&lt;&gt;"",INDEX('Form Calc'!$B:$B,$I18)&amp;"",""))</f>
        <v/>
      </c>
      <c r="B18" s="67">
        <f>IF($H18&lt;&gt;"",INDEX(Guests!$B:$B,$H18)&amp;"",IF($I18&lt;&gt;"",INDEX('Form Calc'!$G:$G,$I18)&amp;"",""))</f>
        <v/>
      </c>
      <c r="C18" s="68">
        <f>IF($H18&lt;&gt;"",IF(INDEX(Guests!$AD:$AD,$H18)&lt;&gt;"",HYPERLINK(INDEX(Guests!$AD:$AD,$H18),"💬 Remind"),"add mobile"),IF($I18&lt;&gt;"",IF(INDEX('Form Calc'!$AG:$AG,$I18)&lt;&gt;"",HYPERLINK(INDEX('Form Calc'!$AG:$AG,$I18),"💬 Remind"),"add mobile"),""))</f>
        <v/>
      </c>
      <c r="D18" s="67">
        <f>IF($H18&lt;&gt;"",INDEX(Guests!$Y:$Y,$H18)&amp;"",IF($I18&lt;&gt;"",INDEX('Form Calc'!$C:$C,$I18)&amp;"",""))</f>
        <v/>
      </c>
      <c r="E18" s="69">
        <f>IF($H18&lt;&gt;"",IF(INDEX(Guests!$N:$N,$H18)="","",INDEX(Guests!$N:$N,$H18)),"")</f>
        <v/>
      </c>
      <c r="F18" s="67">
        <f>IF($H18&lt;&gt;"",INDEX(Guests!$E:$E,$H18)&amp;"","")</f>
        <v/>
      </c>
      <c r="G18" s="67">
        <f>IF($H18&lt;&gt;"","Guest list",IF($I18&lt;&gt;"","RSVP form",""))</f>
        <v/>
      </c>
      <c r="H18" s="32">
        <f>IF(10&lt;=Guests!$AG$505,MATCH(10,Guests!$AH:$AH,0),"")</f>
        <v/>
      </c>
      <c r="I18" s="32">
        <f>IF(AND(10&gt;Guests!$AG$505,10&lt;=Guests!$AG$505+'Form Calc'!$AB$601),MATCH(10-Guests!$AG$505,'Form Calc'!$AC:$AC,0),"")</f>
        <v/>
      </c>
    </row>
    <row r="19">
      <c r="A19" s="66">
        <f>IF($H19&lt;&gt;"",INDEX(Guests!$A:$A,$H19)&amp;"",IF($I19&lt;&gt;"",INDEX('Form Calc'!$B:$B,$I19)&amp;"",""))</f>
        <v/>
      </c>
      <c r="B19" s="67">
        <f>IF($H19&lt;&gt;"",INDEX(Guests!$B:$B,$H19)&amp;"",IF($I19&lt;&gt;"",INDEX('Form Calc'!$G:$G,$I19)&amp;"",""))</f>
        <v/>
      </c>
      <c r="C19" s="68">
        <f>IF($H19&lt;&gt;"",IF(INDEX(Guests!$AD:$AD,$H19)&lt;&gt;"",HYPERLINK(INDEX(Guests!$AD:$AD,$H19),"💬 Remind"),"add mobile"),IF($I19&lt;&gt;"",IF(INDEX('Form Calc'!$AG:$AG,$I19)&lt;&gt;"",HYPERLINK(INDEX('Form Calc'!$AG:$AG,$I19),"💬 Remind"),"add mobile"),""))</f>
        <v/>
      </c>
      <c r="D19" s="67">
        <f>IF($H19&lt;&gt;"",INDEX(Guests!$Y:$Y,$H19)&amp;"",IF($I19&lt;&gt;"",INDEX('Form Calc'!$C:$C,$I19)&amp;"",""))</f>
        <v/>
      </c>
      <c r="E19" s="69">
        <f>IF($H19&lt;&gt;"",IF(INDEX(Guests!$N:$N,$H19)="","",INDEX(Guests!$N:$N,$H19)),"")</f>
        <v/>
      </c>
      <c r="F19" s="67">
        <f>IF($H19&lt;&gt;"",INDEX(Guests!$E:$E,$H19)&amp;"","")</f>
        <v/>
      </c>
      <c r="G19" s="67">
        <f>IF($H19&lt;&gt;"","Guest list",IF($I19&lt;&gt;"","RSVP form",""))</f>
        <v/>
      </c>
      <c r="H19" s="32">
        <f>IF(11&lt;=Guests!$AG$505,MATCH(11,Guests!$AH:$AH,0),"")</f>
        <v/>
      </c>
      <c r="I19" s="32">
        <f>IF(AND(11&gt;Guests!$AG$505,11&lt;=Guests!$AG$505+'Form Calc'!$AB$601),MATCH(11-Guests!$AG$505,'Form Calc'!$AC:$AC,0),"")</f>
        <v/>
      </c>
    </row>
    <row r="20">
      <c r="A20" s="66">
        <f>IF($H20&lt;&gt;"",INDEX(Guests!$A:$A,$H20)&amp;"",IF($I20&lt;&gt;"",INDEX('Form Calc'!$B:$B,$I20)&amp;"",""))</f>
        <v/>
      </c>
      <c r="B20" s="67">
        <f>IF($H20&lt;&gt;"",INDEX(Guests!$B:$B,$H20)&amp;"",IF($I20&lt;&gt;"",INDEX('Form Calc'!$G:$G,$I20)&amp;"",""))</f>
        <v/>
      </c>
      <c r="C20" s="68">
        <f>IF($H20&lt;&gt;"",IF(INDEX(Guests!$AD:$AD,$H20)&lt;&gt;"",HYPERLINK(INDEX(Guests!$AD:$AD,$H20),"💬 Remind"),"add mobile"),IF($I20&lt;&gt;"",IF(INDEX('Form Calc'!$AG:$AG,$I20)&lt;&gt;"",HYPERLINK(INDEX('Form Calc'!$AG:$AG,$I20),"💬 Remind"),"add mobile"),""))</f>
        <v/>
      </c>
      <c r="D20" s="67">
        <f>IF($H20&lt;&gt;"",INDEX(Guests!$Y:$Y,$H20)&amp;"",IF($I20&lt;&gt;"",INDEX('Form Calc'!$C:$C,$I20)&amp;"",""))</f>
        <v/>
      </c>
      <c r="E20" s="69">
        <f>IF($H20&lt;&gt;"",IF(INDEX(Guests!$N:$N,$H20)="","",INDEX(Guests!$N:$N,$H20)),"")</f>
        <v/>
      </c>
      <c r="F20" s="67">
        <f>IF($H20&lt;&gt;"",INDEX(Guests!$E:$E,$H20)&amp;"","")</f>
        <v/>
      </c>
      <c r="G20" s="67">
        <f>IF($H20&lt;&gt;"","Guest list",IF($I20&lt;&gt;"","RSVP form",""))</f>
        <v/>
      </c>
      <c r="H20" s="32">
        <f>IF(12&lt;=Guests!$AG$505,MATCH(12,Guests!$AH:$AH,0),"")</f>
        <v/>
      </c>
      <c r="I20" s="32">
        <f>IF(AND(12&gt;Guests!$AG$505,12&lt;=Guests!$AG$505+'Form Calc'!$AB$601),MATCH(12-Guests!$AG$505,'Form Calc'!$AC:$AC,0),"")</f>
        <v/>
      </c>
    </row>
    <row r="21">
      <c r="A21" s="66">
        <f>IF($H21&lt;&gt;"",INDEX(Guests!$A:$A,$H21)&amp;"",IF($I21&lt;&gt;"",INDEX('Form Calc'!$B:$B,$I21)&amp;"",""))</f>
        <v/>
      </c>
      <c r="B21" s="67">
        <f>IF($H21&lt;&gt;"",INDEX(Guests!$B:$B,$H21)&amp;"",IF($I21&lt;&gt;"",INDEX('Form Calc'!$G:$G,$I21)&amp;"",""))</f>
        <v/>
      </c>
      <c r="C21" s="68">
        <f>IF($H21&lt;&gt;"",IF(INDEX(Guests!$AD:$AD,$H21)&lt;&gt;"",HYPERLINK(INDEX(Guests!$AD:$AD,$H21),"💬 Remind"),"add mobile"),IF($I21&lt;&gt;"",IF(INDEX('Form Calc'!$AG:$AG,$I21)&lt;&gt;"",HYPERLINK(INDEX('Form Calc'!$AG:$AG,$I21),"💬 Remind"),"add mobile"),""))</f>
        <v/>
      </c>
      <c r="D21" s="67">
        <f>IF($H21&lt;&gt;"",INDEX(Guests!$Y:$Y,$H21)&amp;"",IF($I21&lt;&gt;"",INDEX('Form Calc'!$C:$C,$I21)&amp;"",""))</f>
        <v/>
      </c>
      <c r="E21" s="69">
        <f>IF($H21&lt;&gt;"",IF(INDEX(Guests!$N:$N,$H21)="","",INDEX(Guests!$N:$N,$H21)),"")</f>
        <v/>
      </c>
      <c r="F21" s="67">
        <f>IF($H21&lt;&gt;"",INDEX(Guests!$E:$E,$H21)&amp;"","")</f>
        <v/>
      </c>
      <c r="G21" s="67">
        <f>IF($H21&lt;&gt;"","Guest list",IF($I21&lt;&gt;"","RSVP form",""))</f>
        <v/>
      </c>
      <c r="H21" s="32">
        <f>IF(13&lt;=Guests!$AG$505,MATCH(13,Guests!$AH:$AH,0),"")</f>
        <v/>
      </c>
      <c r="I21" s="32">
        <f>IF(AND(13&gt;Guests!$AG$505,13&lt;=Guests!$AG$505+'Form Calc'!$AB$601),MATCH(13-Guests!$AG$505,'Form Calc'!$AC:$AC,0),"")</f>
        <v/>
      </c>
    </row>
    <row r="22">
      <c r="A22" s="66">
        <f>IF($H22&lt;&gt;"",INDEX(Guests!$A:$A,$H22)&amp;"",IF($I22&lt;&gt;"",INDEX('Form Calc'!$B:$B,$I22)&amp;"",""))</f>
        <v/>
      </c>
      <c r="B22" s="67">
        <f>IF($H22&lt;&gt;"",INDEX(Guests!$B:$B,$H22)&amp;"",IF($I22&lt;&gt;"",INDEX('Form Calc'!$G:$G,$I22)&amp;"",""))</f>
        <v/>
      </c>
      <c r="C22" s="68">
        <f>IF($H22&lt;&gt;"",IF(INDEX(Guests!$AD:$AD,$H22)&lt;&gt;"",HYPERLINK(INDEX(Guests!$AD:$AD,$H22),"💬 Remind"),"add mobile"),IF($I22&lt;&gt;"",IF(INDEX('Form Calc'!$AG:$AG,$I22)&lt;&gt;"",HYPERLINK(INDEX('Form Calc'!$AG:$AG,$I22),"💬 Remind"),"add mobile"),""))</f>
        <v/>
      </c>
      <c r="D22" s="67">
        <f>IF($H22&lt;&gt;"",INDEX(Guests!$Y:$Y,$H22)&amp;"",IF($I22&lt;&gt;"",INDEX('Form Calc'!$C:$C,$I22)&amp;"",""))</f>
        <v/>
      </c>
      <c r="E22" s="69">
        <f>IF($H22&lt;&gt;"",IF(INDEX(Guests!$N:$N,$H22)="","",INDEX(Guests!$N:$N,$H22)),"")</f>
        <v/>
      </c>
      <c r="F22" s="67">
        <f>IF($H22&lt;&gt;"",INDEX(Guests!$E:$E,$H22)&amp;"","")</f>
        <v/>
      </c>
      <c r="G22" s="67">
        <f>IF($H22&lt;&gt;"","Guest list",IF($I22&lt;&gt;"","RSVP form",""))</f>
        <v/>
      </c>
      <c r="H22" s="32">
        <f>IF(14&lt;=Guests!$AG$505,MATCH(14,Guests!$AH:$AH,0),"")</f>
        <v/>
      </c>
      <c r="I22" s="32">
        <f>IF(AND(14&gt;Guests!$AG$505,14&lt;=Guests!$AG$505+'Form Calc'!$AB$601),MATCH(14-Guests!$AG$505,'Form Calc'!$AC:$AC,0),"")</f>
        <v/>
      </c>
    </row>
    <row r="23">
      <c r="A23" s="66">
        <f>IF($H23&lt;&gt;"",INDEX(Guests!$A:$A,$H23)&amp;"",IF($I23&lt;&gt;"",INDEX('Form Calc'!$B:$B,$I23)&amp;"",""))</f>
        <v/>
      </c>
      <c r="B23" s="67">
        <f>IF($H23&lt;&gt;"",INDEX(Guests!$B:$B,$H23)&amp;"",IF($I23&lt;&gt;"",INDEX('Form Calc'!$G:$G,$I23)&amp;"",""))</f>
        <v/>
      </c>
      <c r="C23" s="68">
        <f>IF($H23&lt;&gt;"",IF(INDEX(Guests!$AD:$AD,$H23)&lt;&gt;"",HYPERLINK(INDEX(Guests!$AD:$AD,$H23),"💬 Remind"),"add mobile"),IF($I23&lt;&gt;"",IF(INDEX('Form Calc'!$AG:$AG,$I23)&lt;&gt;"",HYPERLINK(INDEX('Form Calc'!$AG:$AG,$I23),"💬 Remind"),"add mobile"),""))</f>
        <v/>
      </c>
      <c r="D23" s="67">
        <f>IF($H23&lt;&gt;"",INDEX(Guests!$Y:$Y,$H23)&amp;"",IF($I23&lt;&gt;"",INDEX('Form Calc'!$C:$C,$I23)&amp;"",""))</f>
        <v/>
      </c>
      <c r="E23" s="69">
        <f>IF($H23&lt;&gt;"",IF(INDEX(Guests!$N:$N,$H23)="","",INDEX(Guests!$N:$N,$H23)),"")</f>
        <v/>
      </c>
      <c r="F23" s="67">
        <f>IF($H23&lt;&gt;"",INDEX(Guests!$E:$E,$H23)&amp;"","")</f>
        <v/>
      </c>
      <c r="G23" s="67">
        <f>IF($H23&lt;&gt;"","Guest list",IF($I23&lt;&gt;"","RSVP form",""))</f>
        <v/>
      </c>
      <c r="H23" s="32">
        <f>IF(15&lt;=Guests!$AG$505,MATCH(15,Guests!$AH:$AH,0),"")</f>
        <v/>
      </c>
      <c r="I23" s="32">
        <f>IF(AND(15&gt;Guests!$AG$505,15&lt;=Guests!$AG$505+'Form Calc'!$AB$601),MATCH(15-Guests!$AG$505,'Form Calc'!$AC:$AC,0),"")</f>
        <v/>
      </c>
    </row>
    <row r="24">
      <c r="A24" s="66">
        <f>IF($H24&lt;&gt;"",INDEX(Guests!$A:$A,$H24)&amp;"",IF($I24&lt;&gt;"",INDEX('Form Calc'!$B:$B,$I24)&amp;"",""))</f>
        <v/>
      </c>
      <c r="B24" s="67">
        <f>IF($H24&lt;&gt;"",INDEX(Guests!$B:$B,$H24)&amp;"",IF($I24&lt;&gt;"",INDEX('Form Calc'!$G:$G,$I24)&amp;"",""))</f>
        <v/>
      </c>
      <c r="C24" s="68">
        <f>IF($H24&lt;&gt;"",IF(INDEX(Guests!$AD:$AD,$H24)&lt;&gt;"",HYPERLINK(INDEX(Guests!$AD:$AD,$H24),"💬 Remind"),"add mobile"),IF($I24&lt;&gt;"",IF(INDEX('Form Calc'!$AG:$AG,$I24)&lt;&gt;"",HYPERLINK(INDEX('Form Calc'!$AG:$AG,$I24),"💬 Remind"),"add mobile"),""))</f>
        <v/>
      </c>
      <c r="D24" s="67">
        <f>IF($H24&lt;&gt;"",INDEX(Guests!$Y:$Y,$H24)&amp;"",IF($I24&lt;&gt;"",INDEX('Form Calc'!$C:$C,$I24)&amp;"",""))</f>
        <v/>
      </c>
      <c r="E24" s="69">
        <f>IF($H24&lt;&gt;"",IF(INDEX(Guests!$N:$N,$H24)="","",INDEX(Guests!$N:$N,$H24)),"")</f>
        <v/>
      </c>
      <c r="F24" s="67">
        <f>IF($H24&lt;&gt;"",INDEX(Guests!$E:$E,$H24)&amp;"","")</f>
        <v/>
      </c>
      <c r="G24" s="67">
        <f>IF($H24&lt;&gt;"","Guest list",IF($I24&lt;&gt;"","RSVP form",""))</f>
        <v/>
      </c>
      <c r="H24" s="32">
        <f>IF(16&lt;=Guests!$AG$505,MATCH(16,Guests!$AH:$AH,0),"")</f>
        <v/>
      </c>
      <c r="I24" s="32">
        <f>IF(AND(16&gt;Guests!$AG$505,16&lt;=Guests!$AG$505+'Form Calc'!$AB$601),MATCH(16-Guests!$AG$505,'Form Calc'!$AC:$AC,0),"")</f>
        <v/>
      </c>
    </row>
    <row r="25">
      <c r="A25" s="66">
        <f>IF($H25&lt;&gt;"",INDEX(Guests!$A:$A,$H25)&amp;"",IF($I25&lt;&gt;"",INDEX('Form Calc'!$B:$B,$I25)&amp;"",""))</f>
        <v/>
      </c>
      <c r="B25" s="67">
        <f>IF($H25&lt;&gt;"",INDEX(Guests!$B:$B,$H25)&amp;"",IF($I25&lt;&gt;"",INDEX('Form Calc'!$G:$G,$I25)&amp;"",""))</f>
        <v/>
      </c>
      <c r="C25" s="68">
        <f>IF($H25&lt;&gt;"",IF(INDEX(Guests!$AD:$AD,$H25)&lt;&gt;"",HYPERLINK(INDEX(Guests!$AD:$AD,$H25),"💬 Remind"),"add mobile"),IF($I25&lt;&gt;"",IF(INDEX('Form Calc'!$AG:$AG,$I25)&lt;&gt;"",HYPERLINK(INDEX('Form Calc'!$AG:$AG,$I25),"💬 Remind"),"add mobile"),""))</f>
        <v/>
      </c>
      <c r="D25" s="67">
        <f>IF($H25&lt;&gt;"",INDEX(Guests!$Y:$Y,$H25)&amp;"",IF($I25&lt;&gt;"",INDEX('Form Calc'!$C:$C,$I25)&amp;"",""))</f>
        <v/>
      </c>
      <c r="E25" s="69">
        <f>IF($H25&lt;&gt;"",IF(INDEX(Guests!$N:$N,$H25)="","",INDEX(Guests!$N:$N,$H25)),"")</f>
        <v/>
      </c>
      <c r="F25" s="67">
        <f>IF($H25&lt;&gt;"",INDEX(Guests!$E:$E,$H25)&amp;"","")</f>
        <v/>
      </c>
      <c r="G25" s="67">
        <f>IF($H25&lt;&gt;"","Guest list",IF($I25&lt;&gt;"","RSVP form",""))</f>
        <v/>
      </c>
      <c r="H25" s="32">
        <f>IF(17&lt;=Guests!$AG$505,MATCH(17,Guests!$AH:$AH,0),"")</f>
        <v/>
      </c>
      <c r="I25" s="32">
        <f>IF(AND(17&gt;Guests!$AG$505,17&lt;=Guests!$AG$505+'Form Calc'!$AB$601),MATCH(17-Guests!$AG$505,'Form Calc'!$AC:$AC,0),"")</f>
        <v/>
      </c>
    </row>
    <row r="26">
      <c r="A26" s="66">
        <f>IF($H26&lt;&gt;"",INDEX(Guests!$A:$A,$H26)&amp;"",IF($I26&lt;&gt;"",INDEX('Form Calc'!$B:$B,$I26)&amp;"",""))</f>
        <v/>
      </c>
      <c r="B26" s="67">
        <f>IF($H26&lt;&gt;"",INDEX(Guests!$B:$B,$H26)&amp;"",IF($I26&lt;&gt;"",INDEX('Form Calc'!$G:$G,$I26)&amp;"",""))</f>
        <v/>
      </c>
      <c r="C26" s="68">
        <f>IF($H26&lt;&gt;"",IF(INDEX(Guests!$AD:$AD,$H26)&lt;&gt;"",HYPERLINK(INDEX(Guests!$AD:$AD,$H26),"💬 Remind"),"add mobile"),IF($I26&lt;&gt;"",IF(INDEX('Form Calc'!$AG:$AG,$I26)&lt;&gt;"",HYPERLINK(INDEX('Form Calc'!$AG:$AG,$I26),"💬 Remind"),"add mobile"),""))</f>
        <v/>
      </c>
      <c r="D26" s="67">
        <f>IF($H26&lt;&gt;"",INDEX(Guests!$Y:$Y,$H26)&amp;"",IF($I26&lt;&gt;"",INDEX('Form Calc'!$C:$C,$I26)&amp;"",""))</f>
        <v/>
      </c>
      <c r="E26" s="69">
        <f>IF($H26&lt;&gt;"",IF(INDEX(Guests!$N:$N,$H26)="","",INDEX(Guests!$N:$N,$H26)),"")</f>
        <v/>
      </c>
      <c r="F26" s="67">
        <f>IF($H26&lt;&gt;"",INDEX(Guests!$E:$E,$H26)&amp;"","")</f>
        <v/>
      </c>
      <c r="G26" s="67">
        <f>IF($H26&lt;&gt;"","Guest list",IF($I26&lt;&gt;"","RSVP form",""))</f>
        <v/>
      </c>
      <c r="H26" s="32">
        <f>IF(18&lt;=Guests!$AG$505,MATCH(18,Guests!$AH:$AH,0),"")</f>
        <v/>
      </c>
      <c r="I26" s="32">
        <f>IF(AND(18&gt;Guests!$AG$505,18&lt;=Guests!$AG$505+'Form Calc'!$AB$601),MATCH(18-Guests!$AG$505,'Form Calc'!$AC:$AC,0),"")</f>
        <v/>
      </c>
    </row>
    <row r="27">
      <c r="A27" s="66">
        <f>IF($H27&lt;&gt;"",INDEX(Guests!$A:$A,$H27)&amp;"",IF($I27&lt;&gt;"",INDEX('Form Calc'!$B:$B,$I27)&amp;"",""))</f>
        <v/>
      </c>
      <c r="B27" s="67">
        <f>IF($H27&lt;&gt;"",INDEX(Guests!$B:$B,$H27)&amp;"",IF($I27&lt;&gt;"",INDEX('Form Calc'!$G:$G,$I27)&amp;"",""))</f>
        <v/>
      </c>
      <c r="C27" s="68">
        <f>IF($H27&lt;&gt;"",IF(INDEX(Guests!$AD:$AD,$H27)&lt;&gt;"",HYPERLINK(INDEX(Guests!$AD:$AD,$H27),"💬 Remind"),"add mobile"),IF($I27&lt;&gt;"",IF(INDEX('Form Calc'!$AG:$AG,$I27)&lt;&gt;"",HYPERLINK(INDEX('Form Calc'!$AG:$AG,$I27),"💬 Remind"),"add mobile"),""))</f>
        <v/>
      </c>
      <c r="D27" s="67">
        <f>IF($H27&lt;&gt;"",INDEX(Guests!$Y:$Y,$H27)&amp;"",IF($I27&lt;&gt;"",INDEX('Form Calc'!$C:$C,$I27)&amp;"",""))</f>
        <v/>
      </c>
      <c r="E27" s="69">
        <f>IF($H27&lt;&gt;"",IF(INDEX(Guests!$N:$N,$H27)="","",INDEX(Guests!$N:$N,$H27)),"")</f>
        <v/>
      </c>
      <c r="F27" s="67">
        <f>IF($H27&lt;&gt;"",INDEX(Guests!$E:$E,$H27)&amp;"","")</f>
        <v/>
      </c>
      <c r="G27" s="67">
        <f>IF($H27&lt;&gt;"","Guest list",IF($I27&lt;&gt;"","RSVP form",""))</f>
        <v/>
      </c>
      <c r="H27" s="32">
        <f>IF(19&lt;=Guests!$AG$505,MATCH(19,Guests!$AH:$AH,0),"")</f>
        <v/>
      </c>
      <c r="I27" s="32">
        <f>IF(AND(19&gt;Guests!$AG$505,19&lt;=Guests!$AG$505+'Form Calc'!$AB$601),MATCH(19-Guests!$AG$505,'Form Calc'!$AC:$AC,0),"")</f>
        <v/>
      </c>
    </row>
    <row r="28">
      <c r="A28" s="66">
        <f>IF($H28&lt;&gt;"",INDEX(Guests!$A:$A,$H28)&amp;"",IF($I28&lt;&gt;"",INDEX('Form Calc'!$B:$B,$I28)&amp;"",""))</f>
        <v/>
      </c>
      <c r="B28" s="67">
        <f>IF($H28&lt;&gt;"",INDEX(Guests!$B:$B,$H28)&amp;"",IF($I28&lt;&gt;"",INDEX('Form Calc'!$G:$G,$I28)&amp;"",""))</f>
        <v/>
      </c>
      <c r="C28" s="68">
        <f>IF($H28&lt;&gt;"",IF(INDEX(Guests!$AD:$AD,$H28)&lt;&gt;"",HYPERLINK(INDEX(Guests!$AD:$AD,$H28),"💬 Remind"),"add mobile"),IF($I28&lt;&gt;"",IF(INDEX('Form Calc'!$AG:$AG,$I28)&lt;&gt;"",HYPERLINK(INDEX('Form Calc'!$AG:$AG,$I28),"💬 Remind"),"add mobile"),""))</f>
        <v/>
      </c>
      <c r="D28" s="67">
        <f>IF($H28&lt;&gt;"",INDEX(Guests!$Y:$Y,$H28)&amp;"",IF($I28&lt;&gt;"",INDEX('Form Calc'!$C:$C,$I28)&amp;"",""))</f>
        <v/>
      </c>
      <c r="E28" s="69">
        <f>IF($H28&lt;&gt;"",IF(INDEX(Guests!$N:$N,$H28)="","",INDEX(Guests!$N:$N,$H28)),"")</f>
        <v/>
      </c>
      <c r="F28" s="67">
        <f>IF($H28&lt;&gt;"",INDEX(Guests!$E:$E,$H28)&amp;"","")</f>
        <v/>
      </c>
      <c r="G28" s="67">
        <f>IF($H28&lt;&gt;"","Guest list",IF($I28&lt;&gt;"","RSVP form",""))</f>
        <v/>
      </c>
      <c r="H28" s="32">
        <f>IF(20&lt;=Guests!$AG$505,MATCH(20,Guests!$AH:$AH,0),"")</f>
        <v/>
      </c>
      <c r="I28" s="32">
        <f>IF(AND(20&gt;Guests!$AG$505,20&lt;=Guests!$AG$505+'Form Calc'!$AB$601),MATCH(20-Guests!$AG$505,'Form Calc'!$AC:$AC,0),"")</f>
        <v/>
      </c>
    </row>
    <row r="29">
      <c r="A29" s="66">
        <f>IF($H29&lt;&gt;"",INDEX(Guests!$A:$A,$H29)&amp;"",IF($I29&lt;&gt;"",INDEX('Form Calc'!$B:$B,$I29)&amp;"",""))</f>
        <v/>
      </c>
      <c r="B29" s="67">
        <f>IF($H29&lt;&gt;"",INDEX(Guests!$B:$B,$H29)&amp;"",IF($I29&lt;&gt;"",INDEX('Form Calc'!$G:$G,$I29)&amp;"",""))</f>
        <v/>
      </c>
      <c r="C29" s="68">
        <f>IF($H29&lt;&gt;"",IF(INDEX(Guests!$AD:$AD,$H29)&lt;&gt;"",HYPERLINK(INDEX(Guests!$AD:$AD,$H29),"💬 Remind"),"add mobile"),IF($I29&lt;&gt;"",IF(INDEX('Form Calc'!$AG:$AG,$I29)&lt;&gt;"",HYPERLINK(INDEX('Form Calc'!$AG:$AG,$I29),"💬 Remind"),"add mobile"),""))</f>
        <v/>
      </c>
      <c r="D29" s="67">
        <f>IF($H29&lt;&gt;"",INDEX(Guests!$Y:$Y,$H29)&amp;"",IF($I29&lt;&gt;"",INDEX('Form Calc'!$C:$C,$I29)&amp;"",""))</f>
        <v/>
      </c>
      <c r="E29" s="69">
        <f>IF($H29&lt;&gt;"",IF(INDEX(Guests!$N:$N,$H29)="","",INDEX(Guests!$N:$N,$H29)),"")</f>
        <v/>
      </c>
      <c r="F29" s="67">
        <f>IF($H29&lt;&gt;"",INDEX(Guests!$E:$E,$H29)&amp;"","")</f>
        <v/>
      </c>
      <c r="G29" s="67">
        <f>IF($H29&lt;&gt;"","Guest list",IF($I29&lt;&gt;"","RSVP form",""))</f>
        <v/>
      </c>
      <c r="H29" s="32">
        <f>IF(21&lt;=Guests!$AG$505,MATCH(21,Guests!$AH:$AH,0),"")</f>
        <v/>
      </c>
      <c r="I29" s="32">
        <f>IF(AND(21&gt;Guests!$AG$505,21&lt;=Guests!$AG$505+'Form Calc'!$AB$601),MATCH(21-Guests!$AG$505,'Form Calc'!$AC:$AC,0),"")</f>
        <v/>
      </c>
    </row>
    <row r="30">
      <c r="A30" s="66">
        <f>IF($H30&lt;&gt;"",INDEX(Guests!$A:$A,$H30)&amp;"",IF($I30&lt;&gt;"",INDEX('Form Calc'!$B:$B,$I30)&amp;"",""))</f>
        <v/>
      </c>
      <c r="B30" s="67">
        <f>IF($H30&lt;&gt;"",INDEX(Guests!$B:$B,$H30)&amp;"",IF($I30&lt;&gt;"",INDEX('Form Calc'!$G:$G,$I30)&amp;"",""))</f>
        <v/>
      </c>
      <c r="C30" s="68">
        <f>IF($H30&lt;&gt;"",IF(INDEX(Guests!$AD:$AD,$H30)&lt;&gt;"",HYPERLINK(INDEX(Guests!$AD:$AD,$H30),"💬 Remind"),"add mobile"),IF($I30&lt;&gt;"",IF(INDEX('Form Calc'!$AG:$AG,$I30)&lt;&gt;"",HYPERLINK(INDEX('Form Calc'!$AG:$AG,$I30),"💬 Remind"),"add mobile"),""))</f>
        <v/>
      </c>
      <c r="D30" s="67">
        <f>IF($H30&lt;&gt;"",INDEX(Guests!$Y:$Y,$H30)&amp;"",IF($I30&lt;&gt;"",INDEX('Form Calc'!$C:$C,$I30)&amp;"",""))</f>
        <v/>
      </c>
      <c r="E30" s="69">
        <f>IF($H30&lt;&gt;"",IF(INDEX(Guests!$N:$N,$H30)="","",INDEX(Guests!$N:$N,$H30)),"")</f>
        <v/>
      </c>
      <c r="F30" s="67">
        <f>IF($H30&lt;&gt;"",INDEX(Guests!$E:$E,$H30)&amp;"","")</f>
        <v/>
      </c>
      <c r="G30" s="67">
        <f>IF($H30&lt;&gt;"","Guest list",IF($I30&lt;&gt;"","RSVP form",""))</f>
        <v/>
      </c>
      <c r="H30" s="32">
        <f>IF(22&lt;=Guests!$AG$505,MATCH(22,Guests!$AH:$AH,0),"")</f>
        <v/>
      </c>
      <c r="I30" s="32">
        <f>IF(AND(22&gt;Guests!$AG$505,22&lt;=Guests!$AG$505+'Form Calc'!$AB$601),MATCH(22-Guests!$AG$505,'Form Calc'!$AC:$AC,0),"")</f>
        <v/>
      </c>
    </row>
    <row r="31">
      <c r="A31" s="66">
        <f>IF($H31&lt;&gt;"",INDEX(Guests!$A:$A,$H31)&amp;"",IF($I31&lt;&gt;"",INDEX('Form Calc'!$B:$B,$I31)&amp;"",""))</f>
        <v/>
      </c>
      <c r="B31" s="67">
        <f>IF($H31&lt;&gt;"",INDEX(Guests!$B:$B,$H31)&amp;"",IF($I31&lt;&gt;"",INDEX('Form Calc'!$G:$G,$I31)&amp;"",""))</f>
        <v/>
      </c>
      <c r="C31" s="68">
        <f>IF($H31&lt;&gt;"",IF(INDEX(Guests!$AD:$AD,$H31)&lt;&gt;"",HYPERLINK(INDEX(Guests!$AD:$AD,$H31),"💬 Remind"),"add mobile"),IF($I31&lt;&gt;"",IF(INDEX('Form Calc'!$AG:$AG,$I31)&lt;&gt;"",HYPERLINK(INDEX('Form Calc'!$AG:$AG,$I31),"💬 Remind"),"add mobile"),""))</f>
        <v/>
      </c>
      <c r="D31" s="67">
        <f>IF($H31&lt;&gt;"",INDEX(Guests!$Y:$Y,$H31)&amp;"",IF($I31&lt;&gt;"",INDEX('Form Calc'!$C:$C,$I31)&amp;"",""))</f>
        <v/>
      </c>
      <c r="E31" s="69">
        <f>IF($H31&lt;&gt;"",IF(INDEX(Guests!$N:$N,$H31)="","",INDEX(Guests!$N:$N,$H31)),"")</f>
        <v/>
      </c>
      <c r="F31" s="67">
        <f>IF($H31&lt;&gt;"",INDEX(Guests!$E:$E,$H31)&amp;"","")</f>
        <v/>
      </c>
      <c r="G31" s="67">
        <f>IF($H31&lt;&gt;"","Guest list",IF($I31&lt;&gt;"","RSVP form",""))</f>
        <v/>
      </c>
      <c r="H31" s="32">
        <f>IF(23&lt;=Guests!$AG$505,MATCH(23,Guests!$AH:$AH,0),"")</f>
        <v/>
      </c>
      <c r="I31" s="32">
        <f>IF(AND(23&gt;Guests!$AG$505,23&lt;=Guests!$AG$505+'Form Calc'!$AB$601),MATCH(23-Guests!$AG$505,'Form Calc'!$AC:$AC,0),"")</f>
        <v/>
      </c>
    </row>
    <row r="32">
      <c r="A32" s="66">
        <f>IF($H32&lt;&gt;"",INDEX(Guests!$A:$A,$H32)&amp;"",IF($I32&lt;&gt;"",INDEX('Form Calc'!$B:$B,$I32)&amp;"",""))</f>
        <v/>
      </c>
      <c r="B32" s="67">
        <f>IF($H32&lt;&gt;"",INDEX(Guests!$B:$B,$H32)&amp;"",IF($I32&lt;&gt;"",INDEX('Form Calc'!$G:$G,$I32)&amp;"",""))</f>
        <v/>
      </c>
      <c r="C32" s="68">
        <f>IF($H32&lt;&gt;"",IF(INDEX(Guests!$AD:$AD,$H32)&lt;&gt;"",HYPERLINK(INDEX(Guests!$AD:$AD,$H32),"💬 Remind"),"add mobile"),IF($I32&lt;&gt;"",IF(INDEX('Form Calc'!$AG:$AG,$I32)&lt;&gt;"",HYPERLINK(INDEX('Form Calc'!$AG:$AG,$I32),"💬 Remind"),"add mobile"),""))</f>
        <v/>
      </c>
      <c r="D32" s="67">
        <f>IF($H32&lt;&gt;"",INDEX(Guests!$Y:$Y,$H32)&amp;"",IF($I32&lt;&gt;"",INDEX('Form Calc'!$C:$C,$I32)&amp;"",""))</f>
        <v/>
      </c>
      <c r="E32" s="69">
        <f>IF($H32&lt;&gt;"",IF(INDEX(Guests!$N:$N,$H32)="","",INDEX(Guests!$N:$N,$H32)),"")</f>
        <v/>
      </c>
      <c r="F32" s="67">
        <f>IF($H32&lt;&gt;"",INDEX(Guests!$E:$E,$H32)&amp;"","")</f>
        <v/>
      </c>
      <c r="G32" s="67">
        <f>IF($H32&lt;&gt;"","Guest list",IF($I32&lt;&gt;"","RSVP form",""))</f>
        <v/>
      </c>
      <c r="H32" s="32">
        <f>IF(24&lt;=Guests!$AG$505,MATCH(24,Guests!$AH:$AH,0),"")</f>
        <v/>
      </c>
      <c r="I32" s="32">
        <f>IF(AND(24&gt;Guests!$AG$505,24&lt;=Guests!$AG$505+'Form Calc'!$AB$601),MATCH(24-Guests!$AG$505,'Form Calc'!$AC:$AC,0),"")</f>
        <v/>
      </c>
    </row>
    <row r="33">
      <c r="A33" s="66">
        <f>IF($H33&lt;&gt;"",INDEX(Guests!$A:$A,$H33)&amp;"",IF($I33&lt;&gt;"",INDEX('Form Calc'!$B:$B,$I33)&amp;"",""))</f>
        <v/>
      </c>
      <c r="B33" s="67">
        <f>IF($H33&lt;&gt;"",INDEX(Guests!$B:$B,$H33)&amp;"",IF($I33&lt;&gt;"",INDEX('Form Calc'!$G:$G,$I33)&amp;"",""))</f>
        <v/>
      </c>
      <c r="C33" s="68">
        <f>IF($H33&lt;&gt;"",IF(INDEX(Guests!$AD:$AD,$H33)&lt;&gt;"",HYPERLINK(INDEX(Guests!$AD:$AD,$H33),"💬 Remind"),"add mobile"),IF($I33&lt;&gt;"",IF(INDEX('Form Calc'!$AG:$AG,$I33)&lt;&gt;"",HYPERLINK(INDEX('Form Calc'!$AG:$AG,$I33),"💬 Remind"),"add mobile"),""))</f>
        <v/>
      </c>
      <c r="D33" s="67">
        <f>IF($H33&lt;&gt;"",INDEX(Guests!$Y:$Y,$H33)&amp;"",IF($I33&lt;&gt;"",INDEX('Form Calc'!$C:$C,$I33)&amp;"",""))</f>
        <v/>
      </c>
      <c r="E33" s="69">
        <f>IF($H33&lt;&gt;"",IF(INDEX(Guests!$N:$N,$H33)="","",INDEX(Guests!$N:$N,$H33)),"")</f>
        <v/>
      </c>
      <c r="F33" s="67">
        <f>IF($H33&lt;&gt;"",INDEX(Guests!$E:$E,$H33)&amp;"","")</f>
        <v/>
      </c>
      <c r="G33" s="67">
        <f>IF($H33&lt;&gt;"","Guest list",IF($I33&lt;&gt;"","RSVP form",""))</f>
        <v/>
      </c>
      <c r="H33" s="32">
        <f>IF(25&lt;=Guests!$AG$505,MATCH(25,Guests!$AH:$AH,0),"")</f>
        <v/>
      </c>
      <c r="I33" s="32">
        <f>IF(AND(25&gt;Guests!$AG$505,25&lt;=Guests!$AG$505+'Form Calc'!$AB$601),MATCH(25-Guests!$AG$505,'Form Calc'!$AC:$AC,0),"")</f>
        <v/>
      </c>
    </row>
    <row r="34">
      <c r="A34" s="66">
        <f>IF($H34&lt;&gt;"",INDEX(Guests!$A:$A,$H34)&amp;"",IF($I34&lt;&gt;"",INDEX('Form Calc'!$B:$B,$I34)&amp;"",""))</f>
        <v/>
      </c>
      <c r="B34" s="67">
        <f>IF($H34&lt;&gt;"",INDEX(Guests!$B:$B,$H34)&amp;"",IF($I34&lt;&gt;"",INDEX('Form Calc'!$G:$G,$I34)&amp;"",""))</f>
        <v/>
      </c>
      <c r="C34" s="68">
        <f>IF($H34&lt;&gt;"",IF(INDEX(Guests!$AD:$AD,$H34)&lt;&gt;"",HYPERLINK(INDEX(Guests!$AD:$AD,$H34),"💬 Remind"),"add mobile"),IF($I34&lt;&gt;"",IF(INDEX('Form Calc'!$AG:$AG,$I34)&lt;&gt;"",HYPERLINK(INDEX('Form Calc'!$AG:$AG,$I34),"💬 Remind"),"add mobile"),""))</f>
        <v/>
      </c>
      <c r="D34" s="67">
        <f>IF($H34&lt;&gt;"",INDEX(Guests!$Y:$Y,$H34)&amp;"",IF($I34&lt;&gt;"",INDEX('Form Calc'!$C:$C,$I34)&amp;"",""))</f>
        <v/>
      </c>
      <c r="E34" s="69">
        <f>IF($H34&lt;&gt;"",IF(INDEX(Guests!$N:$N,$H34)="","",INDEX(Guests!$N:$N,$H34)),"")</f>
        <v/>
      </c>
      <c r="F34" s="67">
        <f>IF($H34&lt;&gt;"",INDEX(Guests!$E:$E,$H34)&amp;"","")</f>
        <v/>
      </c>
      <c r="G34" s="67">
        <f>IF($H34&lt;&gt;"","Guest list",IF($I34&lt;&gt;"","RSVP form",""))</f>
        <v/>
      </c>
      <c r="H34" s="32">
        <f>IF(26&lt;=Guests!$AG$505,MATCH(26,Guests!$AH:$AH,0),"")</f>
        <v/>
      </c>
      <c r="I34" s="32">
        <f>IF(AND(26&gt;Guests!$AG$505,26&lt;=Guests!$AG$505+'Form Calc'!$AB$601),MATCH(26-Guests!$AG$505,'Form Calc'!$AC:$AC,0),"")</f>
        <v/>
      </c>
    </row>
    <row r="35">
      <c r="A35" s="66">
        <f>IF($H35&lt;&gt;"",INDEX(Guests!$A:$A,$H35)&amp;"",IF($I35&lt;&gt;"",INDEX('Form Calc'!$B:$B,$I35)&amp;"",""))</f>
        <v/>
      </c>
      <c r="B35" s="67">
        <f>IF($H35&lt;&gt;"",INDEX(Guests!$B:$B,$H35)&amp;"",IF($I35&lt;&gt;"",INDEX('Form Calc'!$G:$G,$I35)&amp;"",""))</f>
        <v/>
      </c>
      <c r="C35" s="68">
        <f>IF($H35&lt;&gt;"",IF(INDEX(Guests!$AD:$AD,$H35)&lt;&gt;"",HYPERLINK(INDEX(Guests!$AD:$AD,$H35),"💬 Remind"),"add mobile"),IF($I35&lt;&gt;"",IF(INDEX('Form Calc'!$AG:$AG,$I35)&lt;&gt;"",HYPERLINK(INDEX('Form Calc'!$AG:$AG,$I35),"💬 Remind"),"add mobile"),""))</f>
        <v/>
      </c>
      <c r="D35" s="67">
        <f>IF($H35&lt;&gt;"",INDEX(Guests!$Y:$Y,$H35)&amp;"",IF($I35&lt;&gt;"",INDEX('Form Calc'!$C:$C,$I35)&amp;"",""))</f>
        <v/>
      </c>
      <c r="E35" s="69">
        <f>IF($H35&lt;&gt;"",IF(INDEX(Guests!$N:$N,$H35)="","",INDEX(Guests!$N:$N,$H35)),"")</f>
        <v/>
      </c>
      <c r="F35" s="67">
        <f>IF($H35&lt;&gt;"",INDEX(Guests!$E:$E,$H35)&amp;"","")</f>
        <v/>
      </c>
      <c r="G35" s="67">
        <f>IF($H35&lt;&gt;"","Guest list",IF($I35&lt;&gt;"","RSVP form",""))</f>
        <v/>
      </c>
      <c r="H35" s="32">
        <f>IF(27&lt;=Guests!$AG$505,MATCH(27,Guests!$AH:$AH,0),"")</f>
        <v/>
      </c>
      <c r="I35" s="32">
        <f>IF(AND(27&gt;Guests!$AG$505,27&lt;=Guests!$AG$505+'Form Calc'!$AB$601),MATCH(27-Guests!$AG$505,'Form Calc'!$AC:$AC,0),"")</f>
        <v/>
      </c>
    </row>
    <row r="36">
      <c r="A36" s="66">
        <f>IF($H36&lt;&gt;"",INDEX(Guests!$A:$A,$H36)&amp;"",IF($I36&lt;&gt;"",INDEX('Form Calc'!$B:$B,$I36)&amp;"",""))</f>
        <v/>
      </c>
      <c r="B36" s="67">
        <f>IF($H36&lt;&gt;"",INDEX(Guests!$B:$B,$H36)&amp;"",IF($I36&lt;&gt;"",INDEX('Form Calc'!$G:$G,$I36)&amp;"",""))</f>
        <v/>
      </c>
      <c r="C36" s="68">
        <f>IF($H36&lt;&gt;"",IF(INDEX(Guests!$AD:$AD,$H36)&lt;&gt;"",HYPERLINK(INDEX(Guests!$AD:$AD,$H36),"💬 Remind"),"add mobile"),IF($I36&lt;&gt;"",IF(INDEX('Form Calc'!$AG:$AG,$I36)&lt;&gt;"",HYPERLINK(INDEX('Form Calc'!$AG:$AG,$I36),"💬 Remind"),"add mobile"),""))</f>
        <v/>
      </c>
      <c r="D36" s="67">
        <f>IF($H36&lt;&gt;"",INDEX(Guests!$Y:$Y,$H36)&amp;"",IF($I36&lt;&gt;"",INDEX('Form Calc'!$C:$C,$I36)&amp;"",""))</f>
        <v/>
      </c>
      <c r="E36" s="69">
        <f>IF($H36&lt;&gt;"",IF(INDEX(Guests!$N:$N,$H36)="","",INDEX(Guests!$N:$N,$H36)),"")</f>
        <v/>
      </c>
      <c r="F36" s="67">
        <f>IF($H36&lt;&gt;"",INDEX(Guests!$E:$E,$H36)&amp;"","")</f>
        <v/>
      </c>
      <c r="G36" s="67">
        <f>IF($H36&lt;&gt;"","Guest list",IF($I36&lt;&gt;"","RSVP form",""))</f>
        <v/>
      </c>
      <c r="H36" s="32">
        <f>IF(28&lt;=Guests!$AG$505,MATCH(28,Guests!$AH:$AH,0),"")</f>
        <v/>
      </c>
      <c r="I36" s="32">
        <f>IF(AND(28&gt;Guests!$AG$505,28&lt;=Guests!$AG$505+'Form Calc'!$AB$601),MATCH(28-Guests!$AG$505,'Form Calc'!$AC:$AC,0),"")</f>
        <v/>
      </c>
    </row>
    <row r="37">
      <c r="A37" s="66">
        <f>IF($H37&lt;&gt;"",INDEX(Guests!$A:$A,$H37)&amp;"",IF($I37&lt;&gt;"",INDEX('Form Calc'!$B:$B,$I37)&amp;"",""))</f>
        <v/>
      </c>
      <c r="B37" s="67">
        <f>IF($H37&lt;&gt;"",INDEX(Guests!$B:$B,$H37)&amp;"",IF($I37&lt;&gt;"",INDEX('Form Calc'!$G:$G,$I37)&amp;"",""))</f>
        <v/>
      </c>
      <c r="C37" s="68">
        <f>IF($H37&lt;&gt;"",IF(INDEX(Guests!$AD:$AD,$H37)&lt;&gt;"",HYPERLINK(INDEX(Guests!$AD:$AD,$H37),"💬 Remind"),"add mobile"),IF($I37&lt;&gt;"",IF(INDEX('Form Calc'!$AG:$AG,$I37)&lt;&gt;"",HYPERLINK(INDEX('Form Calc'!$AG:$AG,$I37),"💬 Remind"),"add mobile"),""))</f>
        <v/>
      </c>
      <c r="D37" s="67">
        <f>IF($H37&lt;&gt;"",INDEX(Guests!$Y:$Y,$H37)&amp;"",IF($I37&lt;&gt;"",INDEX('Form Calc'!$C:$C,$I37)&amp;"",""))</f>
        <v/>
      </c>
      <c r="E37" s="69">
        <f>IF($H37&lt;&gt;"",IF(INDEX(Guests!$N:$N,$H37)="","",INDEX(Guests!$N:$N,$H37)),"")</f>
        <v/>
      </c>
      <c r="F37" s="67">
        <f>IF($H37&lt;&gt;"",INDEX(Guests!$E:$E,$H37)&amp;"","")</f>
        <v/>
      </c>
      <c r="G37" s="67">
        <f>IF($H37&lt;&gt;"","Guest list",IF($I37&lt;&gt;"","RSVP form",""))</f>
        <v/>
      </c>
      <c r="H37" s="32">
        <f>IF(29&lt;=Guests!$AG$505,MATCH(29,Guests!$AH:$AH,0),"")</f>
        <v/>
      </c>
      <c r="I37" s="32">
        <f>IF(AND(29&gt;Guests!$AG$505,29&lt;=Guests!$AG$505+'Form Calc'!$AB$601),MATCH(29-Guests!$AG$505,'Form Calc'!$AC:$AC,0),"")</f>
        <v/>
      </c>
    </row>
    <row r="38">
      <c r="A38" s="66">
        <f>IF($H38&lt;&gt;"",INDEX(Guests!$A:$A,$H38)&amp;"",IF($I38&lt;&gt;"",INDEX('Form Calc'!$B:$B,$I38)&amp;"",""))</f>
        <v/>
      </c>
      <c r="B38" s="67">
        <f>IF($H38&lt;&gt;"",INDEX(Guests!$B:$B,$H38)&amp;"",IF($I38&lt;&gt;"",INDEX('Form Calc'!$G:$G,$I38)&amp;"",""))</f>
        <v/>
      </c>
      <c r="C38" s="68">
        <f>IF($H38&lt;&gt;"",IF(INDEX(Guests!$AD:$AD,$H38)&lt;&gt;"",HYPERLINK(INDEX(Guests!$AD:$AD,$H38),"💬 Remind"),"add mobile"),IF($I38&lt;&gt;"",IF(INDEX('Form Calc'!$AG:$AG,$I38)&lt;&gt;"",HYPERLINK(INDEX('Form Calc'!$AG:$AG,$I38),"💬 Remind"),"add mobile"),""))</f>
        <v/>
      </c>
      <c r="D38" s="67">
        <f>IF($H38&lt;&gt;"",INDEX(Guests!$Y:$Y,$H38)&amp;"",IF($I38&lt;&gt;"",INDEX('Form Calc'!$C:$C,$I38)&amp;"",""))</f>
        <v/>
      </c>
      <c r="E38" s="69">
        <f>IF($H38&lt;&gt;"",IF(INDEX(Guests!$N:$N,$H38)="","",INDEX(Guests!$N:$N,$H38)),"")</f>
        <v/>
      </c>
      <c r="F38" s="67">
        <f>IF($H38&lt;&gt;"",INDEX(Guests!$E:$E,$H38)&amp;"","")</f>
        <v/>
      </c>
      <c r="G38" s="67">
        <f>IF($H38&lt;&gt;"","Guest list",IF($I38&lt;&gt;"","RSVP form",""))</f>
        <v/>
      </c>
      <c r="H38" s="32">
        <f>IF(30&lt;=Guests!$AG$505,MATCH(30,Guests!$AH:$AH,0),"")</f>
        <v/>
      </c>
      <c r="I38" s="32">
        <f>IF(AND(30&gt;Guests!$AG$505,30&lt;=Guests!$AG$505+'Form Calc'!$AB$601),MATCH(30-Guests!$AG$505,'Form Calc'!$AC:$AC,0),"")</f>
        <v/>
      </c>
    </row>
    <row r="39">
      <c r="A39" s="66">
        <f>IF($H39&lt;&gt;"",INDEX(Guests!$A:$A,$H39)&amp;"",IF($I39&lt;&gt;"",INDEX('Form Calc'!$B:$B,$I39)&amp;"",""))</f>
        <v/>
      </c>
      <c r="B39" s="67">
        <f>IF($H39&lt;&gt;"",INDEX(Guests!$B:$B,$H39)&amp;"",IF($I39&lt;&gt;"",INDEX('Form Calc'!$G:$G,$I39)&amp;"",""))</f>
        <v/>
      </c>
      <c r="C39" s="68">
        <f>IF($H39&lt;&gt;"",IF(INDEX(Guests!$AD:$AD,$H39)&lt;&gt;"",HYPERLINK(INDEX(Guests!$AD:$AD,$H39),"💬 Remind"),"add mobile"),IF($I39&lt;&gt;"",IF(INDEX('Form Calc'!$AG:$AG,$I39)&lt;&gt;"",HYPERLINK(INDEX('Form Calc'!$AG:$AG,$I39),"💬 Remind"),"add mobile"),""))</f>
        <v/>
      </c>
      <c r="D39" s="67">
        <f>IF($H39&lt;&gt;"",INDEX(Guests!$Y:$Y,$H39)&amp;"",IF($I39&lt;&gt;"",INDEX('Form Calc'!$C:$C,$I39)&amp;"",""))</f>
        <v/>
      </c>
      <c r="E39" s="69">
        <f>IF($H39&lt;&gt;"",IF(INDEX(Guests!$N:$N,$H39)="","",INDEX(Guests!$N:$N,$H39)),"")</f>
        <v/>
      </c>
      <c r="F39" s="67">
        <f>IF($H39&lt;&gt;"",INDEX(Guests!$E:$E,$H39)&amp;"","")</f>
        <v/>
      </c>
      <c r="G39" s="67">
        <f>IF($H39&lt;&gt;"","Guest list",IF($I39&lt;&gt;"","RSVP form",""))</f>
        <v/>
      </c>
      <c r="H39" s="32">
        <f>IF(31&lt;=Guests!$AG$505,MATCH(31,Guests!$AH:$AH,0),"")</f>
        <v/>
      </c>
      <c r="I39" s="32">
        <f>IF(AND(31&gt;Guests!$AG$505,31&lt;=Guests!$AG$505+'Form Calc'!$AB$601),MATCH(31-Guests!$AG$505,'Form Calc'!$AC:$AC,0),"")</f>
        <v/>
      </c>
    </row>
    <row r="40">
      <c r="A40" s="66">
        <f>IF($H40&lt;&gt;"",INDEX(Guests!$A:$A,$H40)&amp;"",IF($I40&lt;&gt;"",INDEX('Form Calc'!$B:$B,$I40)&amp;"",""))</f>
        <v/>
      </c>
      <c r="B40" s="67">
        <f>IF($H40&lt;&gt;"",INDEX(Guests!$B:$B,$H40)&amp;"",IF($I40&lt;&gt;"",INDEX('Form Calc'!$G:$G,$I40)&amp;"",""))</f>
        <v/>
      </c>
      <c r="C40" s="68">
        <f>IF($H40&lt;&gt;"",IF(INDEX(Guests!$AD:$AD,$H40)&lt;&gt;"",HYPERLINK(INDEX(Guests!$AD:$AD,$H40),"💬 Remind"),"add mobile"),IF($I40&lt;&gt;"",IF(INDEX('Form Calc'!$AG:$AG,$I40)&lt;&gt;"",HYPERLINK(INDEX('Form Calc'!$AG:$AG,$I40),"💬 Remind"),"add mobile"),""))</f>
        <v/>
      </c>
      <c r="D40" s="67">
        <f>IF($H40&lt;&gt;"",INDEX(Guests!$Y:$Y,$H40)&amp;"",IF($I40&lt;&gt;"",INDEX('Form Calc'!$C:$C,$I40)&amp;"",""))</f>
        <v/>
      </c>
      <c r="E40" s="69">
        <f>IF($H40&lt;&gt;"",IF(INDEX(Guests!$N:$N,$H40)="","",INDEX(Guests!$N:$N,$H40)),"")</f>
        <v/>
      </c>
      <c r="F40" s="67">
        <f>IF($H40&lt;&gt;"",INDEX(Guests!$E:$E,$H40)&amp;"","")</f>
        <v/>
      </c>
      <c r="G40" s="67">
        <f>IF($H40&lt;&gt;"","Guest list",IF($I40&lt;&gt;"","RSVP form",""))</f>
        <v/>
      </c>
      <c r="H40" s="32">
        <f>IF(32&lt;=Guests!$AG$505,MATCH(32,Guests!$AH:$AH,0),"")</f>
        <v/>
      </c>
      <c r="I40" s="32">
        <f>IF(AND(32&gt;Guests!$AG$505,32&lt;=Guests!$AG$505+'Form Calc'!$AB$601),MATCH(32-Guests!$AG$505,'Form Calc'!$AC:$AC,0),"")</f>
        <v/>
      </c>
    </row>
    <row r="41">
      <c r="A41" s="66">
        <f>IF($H41&lt;&gt;"",INDEX(Guests!$A:$A,$H41)&amp;"",IF($I41&lt;&gt;"",INDEX('Form Calc'!$B:$B,$I41)&amp;"",""))</f>
        <v/>
      </c>
      <c r="B41" s="67">
        <f>IF($H41&lt;&gt;"",INDEX(Guests!$B:$B,$H41)&amp;"",IF($I41&lt;&gt;"",INDEX('Form Calc'!$G:$G,$I41)&amp;"",""))</f>
        <v/>
      </c>
      <c r="C41" s="68">
        <f>IF($H41&lt;&gt;"",IF(INDEX(Guests!$AD:$AD,$H41)&lt;&gt;"",HYPERLINK(INDEX(Guests!$AD:$AD,$H41),"💬 Remind"),"add mobile"),IF($I41&lt;&gt;"",IF(INDEX('Form Calc'!$AG:$AG,$I41)&lt;&gt;"",HYPERLINK(INDEX('Form Calc'!$AG:$AG,$I41),"💬 Remind"),"add mobile"),""))</f>
        <v/>
      </c>
      <c r="D41" s="67">
        <f>IF($H41&lt;&gt;"",INDEX(Guests!$Y:$Y,$H41)&amp;"",IF($I41&lt;&gt;"",INDEX('Form Calc'!$C:$C,$I41)&amp;"",""))</f>
        <v/>
      </c>
      <c r="E41" s="69">
        <f>IF($H41&lt;&gt;"",IF(INDEX(Guests!$N:$N,$H41)="","",INDEX(Guests!$N:$N,$H41)),"")</f>
        <v/>
      </c>
      <c r="F41" s="67">
        <f>IF($H41&lt;&gt;"",INDEX(Guests!$E:$E,$H41)&amp;"","")</f>
        <v/>
      </c>
      <c r="G41" s="67">
        <f>IF($H41&lt;&gt;"","Guest list",IF($I41&lt;&gt;"","RSVP form",""))</f>
        <v/>
      </c>
      <c r="H41" s="32">
        <f>IF(33&lt;=Guests!$AG$505,MATCH(33,Guests!$AH:$AH,0),"")</f>
        <v/>
      </c>
      <c r="I41" s="32">
        <f>IF(AND(33&gt;Guests!$AG$505,33&lt;=Guests!$AG$505+'Form Calc'!$AB$601),MATCH(33-Guests!$AG$505,'Form Calc'!$AC:$AC,0),"")</f>
        <v/>
      </c>
    </row>
    <row r="42">
      <c r="A42" s="66">
        <f>IF($H42&lt;&gt;"",INDEX(Guests!$A:$A,$H42)&amp;"",IF($I42&lt;&gt;"",INDEX('Form Calc'!$B:$B,$I42)&amp;"",""))</f>
        <v/>
      </c>
      <c r="B42" s="67">
        <f>IF($H42&lt;&gt;"",INDEX(Guests!$B:$B,$H42)&amp;"",IF($I42&lt;&gt;"",INDEX('Form Calc'!$G:$G,$I42)&amp;"",""))</f>
        <v/>
      </c>
      <c r="C42" s="68">
        <f>IF($H42&lt;&gt;"",IF(INDEX(Guests!$AD:$AD,$H42)&lt;&gt;"",HYPERLINK(INDEX(Guests!$AD:$AD,$H42),"💬 Remind"),"add mobile"),IF($I42&lt;&gt;"",IF(INDEX('Form Calc'!$AG:$AG,$I42)&lt;&gt;"",HYPERLINK(INDEX('Form Calc'!$AG:$AG,$I42),"💬 Remind"),"add mobile"),""))</f>
        <v/>
      </c>
      <c r="D42" s="67">
        <f>IF($H42&lt;&gt;"",INDEX(Guests!$Y:$Y,$H42)&amp;"",IF($I42&lt;&gt;"",INDEX('Form Calc'!$C:$C,$I42)&amp;"",""))</f>
        <v/>
      </c>
      <c r="E42" s="69">
        <f>IF($H42&lt;&gt;"",IF(INDEX(Guests!$N:$N,$H42)="","",INDEX(Guests!$N:$N,$H42)),"")</f>
        <v/>
      </c>
      <c r="F42" s="67">
        <f>IF($H42&lt;&gt;"",INDEX(Guests!$E:$E,$H42)&amp;"","")</f>
        <v/>
      </c>
      <c r="G42" s="67">
        <f>IF($H42&lt;&gt;"","Guest list",IF($I42&lt;&gt;"","RSVP form",""))</f>
        <v/>
      </c>
      <c r="H42" s="32">
        <f>IF(34&lt;=Guests!$AG$505,MATCH(34,Guests!$AH:$AH,0),"")</f>
        <v/>
      </c>
      <c r="I42" s="32">
        <f>IF(AND(34&gt;Guests!$AG$505,34&lt;=Guests!$AG$505+'Form Calc'!$AB$601),MATCH(34-Guests!$AG$505,'Form Calc'!$AC:$AC,0),"")</f>
        <v/>
      </c>
    </row>
    <row r="43">
      <c r="A43" s="66">
        <f>IF($H43&lt;&gt;"",INDEX(Guests!$A:$A,$H43)&amp;"",IF($I43&lt;&gt;"",INDEX('Form Calc'!$B:$B,$I43)&amp;"",""))</f>
        <v/>
      </c>
      <c r="B43" s="67">
        <f>IF($H43&lt;&gt;"",INDEX(Guests!$B:$B,$H43)&amp;"",IF($I43&lt;&gt;"",INDEX('Form Calc'!$G:$G,$I43)&amp;"",""))</f>
        <v/>
      </c>
      <c r="C43" s="68">
        <f>IF($H43&lt;&gt;"",IF(INDEX(Guests!$AD:$AD,$H43)&lt;&gt;"",HYPERLINK(INDEX(Guests!$AD:$AD,$H43),"💬 Remind"),"add mobile"),IF($I43&lt;&gt;"",IF(INDEX('Form Calc'!$AG:$AG,$I43)&lt;&gt;"",HYPERLINK(INDEX('Form Calc'!$AG:$AG,$I43),"💬 Remind"),"add mobile"),""))</f>
        <v/>
      </c>
      <c r="D43" s="67">
        <f>IF($H43&lt;&gt;"",INDEX(Guests!$Y:$Y,$H43)&amp;"",IF($I43&lt;&gt;"",INDEX('Form Calc'!$C:$C,$I43)&amp;"",""))</f>
        <v/>
      </c>
      <c r="E43" s="69">
        <f>IF($H43&lt;&gt;"",IF(INDEX(Guests!$N:$N,$H43)="","",INDEX(Guests!$N:$N,$H43)),"")</f>
        <v/>
      </c>
      <c r="F43" s="67">
        <f>IF($H43&lt;&gt;"",INDEX(Guests!$E:$E,$H43)&amp;"","")</f>
        <v/>
      </c>
      <c r="G43" s="67">
        <f>IF($H43&lt;&gt;"","Guest list",IF($I43&lt;&gt;"","RSVP form",""))</f>
        <v/>
      </c>
      <c r="H43" s="32">
        <f>IF(35&lt;=Guests!$AG$505,MATCH(35,Guests!$AH:$AH,0),"")</f>
        <v/>
      </c>
      <c r="I43" s="32">
        <f>IF(AND(35&gt;Guests!$AG$505,35&lt;=Guests!$AG$505+'Form Calc'!$AB$601),MATCH(35-Guests!$AG$505,'Form Calc'!$AC:$AC,0),"")</f>
        <v/>
      </c>
    </row>
    <row r="44">
      <c r="A44" s="66">
        <f>IF($H44&lt;&gt;"",INDEX(Guests!$A:$A,$H44)&amp;"",IF($I44&lt;&gt;"",INDEX('Form Calc'!$B:$B,$I44)&amp;"",""))</f>
        <v/>
      </c>
      <c r="B44" s="67">
        <f>IF($H44&lt;&gt;"",INDEX(Guests!$B:$B,$H44)&amp;"",IF($I44&lt;&gt;"",INDEX('Form Calc'!$G:$G,$I44)&amp;"",""))</f>
        <v/>
      </c>
      <c r="C44" s="68">
        <f>IF($H44&lt;&gt;"",IF(INDEX(Guests!$AD:$AD,$H44)&lt;&gt;"",HYPERLINK(INDEX(Guests!$AD:$AD,$H44),"💬 Remind"),"add mobile"),IF($I44&lt;&gt;"",IF(INDEX('Form Calc'!$AG:$AG,$I44)&lt;&gt;"",HYPERLINK(INDEX('Form Calc'!$AG:$AG,$I44),"💬 Remind"),"add mobile"),""))</f>
        <v/>
      </c>
      <c r="D44" s="67">
        <f>IF($H44&lt;&gt;"",INDEX(Guests!$Y:$Y,$H44)&amp;"",IF($I44&lt;&gt;"",INDEX('Form Calc'!$C:$C,$I44)&amp;"",""))</f>
        <v/>
      </c>
      <c r="E44" s="69">
        <f>IF($H44&lt;&gt;"",IF(INDEX(Guests!$N:$N,$H44)="","",INDEX(Guests!$N:$N,$H44)),"")</f>
        <v/>
      </c>
      <c r="F44" s="67">
        <f>IF($H44&lt;&gt;"",INDEX(Guests!$E:$E,$H44)&amp;"","")</f>
        <v/>
      </c>
      <c r="G44" s="67">
        <f>IF($H44&lt;&gt;"","Guest list",IF($I44&lt;&gt;"","RSVP form",""))</f>
        <v/>
      </c>
      <c r="H44" s="32">
        <f>IF(36&lt;=Guests!$AG$505,MATCH(36,Guests!$AH:$AH,0),"")</f>
        <v/>
      </c>
      <c r="I44" s="32">
        <f>IF(AND(36&gt;Guests!$AG$505,36&lt;=Guests!$AG$505+'Form Calc'!$AB$601),MATCH(36-Guests!$AG$505,'Form Calc'!$AC:$AC,0),"")</f>
        <v/>
      </c>
    </row>
    <row r="45">
      <c r="A45" s="66">
        <f>IF($H45&lt;&gt;"",INDEX(Guests!$A:$A,$H45)&amp;"",IF($I45&lt;&gt;"",INDEX('Form Calc'!$B:$B,$I45)&amp;"",""))</f>
        <v/>
      </c>
      <c r="B45" s="67">
        <f>IF($H45&lt;&gt;"",INDEX(Guests!$B:$B,$H45)&amp;"",IF($I45&lt;&gt;"",INDEX('Form Calc'!$G:$G,$I45)&amp;"",""))</f>
        <v/>
      </c>
      <c r="C45" s="68">
        <f>IF($H45&lt;&gt;"",IF(INDEX(Guests!$AD:$AD,$H45)&lt;&gt;"",HYPERLINK(INDEX(Guests!$AD:$AD,$H45),"💬 Remind"),"add mobile"),IF($I45&lt;&gt;"",IF(INDEX('Form Calc'!$AG:$AG,$I45)&lt;&gt;"",HYPERLINK(INDEX('Form Calc'!$AG:$AG,$I45),"💬 Remind"),"add mobile"),""))</f>
        <v/>
      </c>
      <c r="D45" s="67">
        <f>IF($H45&lt;&gt;"",INDEX(Guests!$Y:$Y,$H45)&amp;"",IF($I45&lt;&gt;"",INDEX('Form Calc'!$C:$C,$I45)&amp;"",""))</f>
        <v/>
      </c>
      <c r="E45" s="69">
        <f>IF($H45&lt;&gt;"",IF(INDEX(Guests!$N:$N,$H45)="","",INDEX(Guests!$N:$N,$H45)),"")</f>
        <v/>
      </c>
      <c r="F45" s="67">
        <f>IF($H45&lt;&gt;"",INDEX(Guests!$E:$E,$H45)&amp;"","")</f>
        <v/>
      </c>
      <c r="G45" s="67">
        <f>IF($H45&lt;&gt;"","Guest list",IF($I45&lt;&gt;"","RSVP form",""))</f>
        <v/>
      </c>
      <c r="H45" s="32">
        <f>IF(37&lt;=Guests!$AG$505,MATCH(37,Guests!$AH:$AH,0),"")</f>
        <v/>
      </c>
      <c r="I45" s="32">
        <f>IF(AND(37&gt;Guests!$AG$505,37&lt;=Guests!$AG$505+'Form Calc'!$AB$601),MATCH(37-Guests!$AG$505,'Form Calc'!$AC:$AC,0),"")</f>
        <v/>
      </c>
    </row>
    <row r="46">
      <c r="A46" s="66">
        <f>IF($H46&lt;&gt;"",INDEX(Guests!$A:$A,$H46)&amp;"",IF($I46&lt;&gt;"",INDEX('Form Calc'!$B:$B,$I46)&amp;"",""))</f>
        <v/>
      </c>
      <c r="B46" s="67">
        <f>IF($H46&lt;&gt;"",INDEX(Guests!$B:$B,$H46)&amp;"",IF($I46&lt;&gt;"",INDEX('Form Calc'!$G:$G,$I46)&amp;"",""))</f>
        <v/>
      </c>
      <c r="C46" s="68">
        <f>IF($H46&lt;&gt;"",IF(INDEX(Guests!$AD:$AD,$H46)&lt;&gt;"",HYPERLINK(INDEX(Guests!$AD:$AD,$H46),"💬 Remind"),"add mobile"),IF($I46&lt;&gt;"",IF(INDEX('Form Calc'!$AG:$AG,$I46)&lt;&gt;"",HYPERLINK(INDEX('Form Calc'!$AG:$AG,$I46),"💬 Remind"),"add mobile"),""))</f>
        <v/>
      </c>
      <c r="D46" s="67">
        <f>IF($H46&lt;&gt;"",INDEX(Guests!$Y:$Y,$H46)&amp;"",IF($I46&lt;&gt;"",INDEX('Form Calc'!$C:$C,$I46)&amp;"",""))</f>
        <v/>
      </c>
      <c r="E46" s="69">
        <f>IF($H46&lt;&gt;"",IF(INDEX(Guests!$N:$N,$H46)="","",INDEX(Guests!$N:$N,$H46)),"")</f>
        <v/>
      </c>
      <c r="F46" s="67">
        <f>IF($H46&lt;&gt;"",INDEX(Guests!$E:$E,$H46)&amp;"","")</f>
        <v/>
      </c>
      <c r="G46" s="67">
        <f>IF($H46&lt;&gt;"","Guest list",IF($I46&lt;&gt;"","RSVP form",""))</f>
        <v/>
      </c>
      <c r="H46" s="32">
        <f>IF(38&lt;=Guests!$AG$505,MATCH(38,Guests!$AH:$AH,0),"")</f>
        <v/>
      </c>
      <c r="I46" s="32">
        <f>IF(AND(38&gt;Guests!$AG$505,38&lt;=Guests!$AG$505+'Form Calc'!$AB$601),MATCH(38-Guests!$AG$505,'Form Calc'!$AC:$AC,0),"")</f>
        <v/>
      </c>
    </row>
    <row r="47">
      <c r="A47" s="66">
        <f>IF($H47&lt;&gt;"",INDEX(Guests!$A:$A,$H47)&amp;"",IF($I47&lt;&gt;"",INDEX('Form Calc'!$B:$B,$I47)&amp;"",""))</f>
        <v/>
      </c>
      <c r="B47" s="67">
        <f>IF($H47&lt;&gt;"",INDEX(Guests!$B:$B,$H47)&amp;"",IF($I47&lt;&gt;"",INDEX('Form Calc'!$G:$G,$I47)&amp;"",""))</f>
        <v/>
      </c>
      <c r="C47" s="68">
        <f>IF($H47&lt;&gt;"",IF(INDEX(Guests!$AD:$AD,$H47)&lt;&gt;"",HYPERLINK(INDEX(Guests!$AD:$AD,$H47),"💬 Remind"),"add mobile"),IF($I47&lt;&gt;"",IF(INDEX('Form Calc'!$AG:$AG,$I47)&lt;&gt;"",HYPERLINK(INDEX('Form Calc'!$AG:$AG,$I47),"💬 Remind"),"add mobile"),""))</f>
        <v/>
      </c>
      <c r="D47" s="67">
        <f>IF($H47&lt;&gt;"",INDEX(Guests!$Y:$Y,$H47)&amp;"",IF($I47&lt;&gt;"",INDEX('Form Calc'!$C:$C,$I47)&amp;"",""))</f>
        <v/>
      </c>
      <c r="E47" s="69">
        <f>IF($H47&lt;&gt;"",IF(INDEX(Guests!$N:$N,$H47)="","",INDEX(Guests!$N:$N,$H47)),"")</f>
        <v/>
      </c>
      <c r="F47" s="67">
        <f>IF($H47&lt;&gt;"",INDEX(Guests!$E:$E,$H47)&amp;"","")</f>
        <v/>
      </c>
      <c r="G47" s="67">
        <f>IF($H47&lt;&gt;"","Guest list",IF($I47&lt;&gt;"","RSVP form",""))</f>
        <v/>
      </c>
      <c r="H47" s="32">
        <f>IF(39&lt;=Guests!$AG$505,MATCH(39,Guests!$AH:$AH,0),"")</f>
        <v/>
      </c>
      <c r="I47" s="32">
        <f>IF(AND(39&gt;Guests!$AG$505,39&lt;=Guests!$AG$505+'Form Calc'!$AB$601),MATCH(39-Guests!$AG$505,'Form Calc'!$AC:$AC,0),"")</f>
        <v/>
      </c>
    </row>
    <row r="48">
      <c r="A48" s="66">
        <f>IF($H48&lt;&gt;"",INDEX(Guests!$A:$A,$H48)&amp;"",IF($I48&lt;&gt;"",INDEX('Form Calc'!$B:$B,$I48)&amp;"",""))</f>
        <v/>
      </c>
      <c r="B48" s="67">
        <f>IF($H48&lt;&gt;"",INDEX(Guests!$B:$B,$H48)&amp;"",IF($I48&lt;&gt;"",INDEX('Form Calc'!$G:$G,$I48)&amp;"",""))</f>
        <v/>
      </c>
      <c r="C48" s="68">
        <f>IF($H48&lt;&gt;"",IF(INDEX(Guests!$AD:$AD,$H48)&lt;&gt;"",HYPERLINK(INDEX(Guests!$AD:$AD,$H48),"💬 Remind"),"add mobile"),IF($I48&lt;&gt;"",IF(INDEX('Form Calc'!$AG:$AG,$I48)&lt;&gt;"",HYPERLINK(INDEX('Form Calc'!$AG:$AG,$I48),"💬 Remind"),"add mobile"),""))</f>
        <v/>
      </c>
      <c r="D48" s="67">
        <f>IF($H48&lt;&gt;"",INDEX(Guests!$Y:$Y,$H48)&amp;"",IF($I48&lt;&gt;"",INDEX('Form Calc'!$C:$C,$I48)&amp;"",""))</f>
        <v/>
      </c>
      <c r="E48" s="69">
        <f>IF($H48&lt;&gt;"",IF(INDEX(Guests!$N:$N,$H48)="","",INDEX(Guests!$N:$N,$H48)),"")</f>
        <v/>
      </c>
      <c r="F48" s="67">
        <f>IF($H48&lt;&gt;"",INDEX(Guests!$E:$E,$H48)&amp;"","")</f>
        <v/>
      </c>
      <c r="G48" s="67">
        <f>IF($H48&lt;&gt;"","Guest list",IF($I48&lt;&gt;"","RSVP form",""))</f>
        <v/>
      </c>
      <c r="H48" s="32">
        <f>IF(40&lt;=Guests!$AG$505,MATCH(40,Guests!$AH:$AH,0),"")</f>
        <v/>
      </c>
      <c r="I48" s="32">
        <f>IF(AND(40&gt;Guests!$AG$505,40&lt;=Guests!$AG$505+'Form Calc'!$AB$601),MATCH(40-Guests!$AG$505,'Form Calc'!$AC:$AC,0),"")</f>
        <v/>
      </c>
    </row>
    <row r="49">
      <c r="A49" s="66">
        <f>IF($H49&lt;&gt;"",INDEX(Guests!$A:$A,$H49)&amp;"",IF($I49&lt;&gt;"",INDEX('Form Calc'!$B:$B,$I49)&amp;"",""))</f>
        <v/>
      </c>
      <c r="B49" s="67">
        <f>IF($H49&lt;&gt;"",INDEX(Guests!$B:$B,$H49)&amp;"",IF($I49&lt;&gt;"",INDEX('Form Calc'!$G:$G,$I49)&amp;"",""))</f>
        <v/>
      </c>
      <c r="C49" s="68">
        <f>IF($H49&lt;&gt;"",IF(INDEX(Guests!$AD:$AD,$H49)&lt;&gt;"",HYPERLINK(INDEX(Guests!$AD:$AD,$H49),"💬 Remind"),"add mobile"),IF($I49&lt;&gt;"",IF(INDEX('Form Calc'!$AG:$AG,$I49)&lt;&gt;"",HYPERLINK(INDEX('Form Calc'!$AG:$AG,$I49),"💬 Remind"),"add mobile"),""))</f>
        <v/>
      </c>
      <c r="D49" s="67">
        <f>IF($H49&lt;&gt;"",INDEX(Guests!$Y:$Y,$H49)&amp;"",IF($I49&lt;&gt;"",INDEX('Form Calc'!$C:$C,$I49)&amp;"",""))</f>
        <v/>
      </c>
      <c r="E49" s="69">
        <f>IF($H49&lt;&gt;"",IF(INDEX(Guests!$N:$N,$H49)="","",INDEX(Guests!$N:$N,$H49)),"")</f>
        <v/>
      </c>
      <c r="F49" s="67">
        <f>IF($H49&lt;&gt;"",INDEX(Guests!$E:$E,$H49)&amp;"","")</f>
        <v/>
      </c>
      <c r="G49" s="67">
        <f>IF($H49&lt;&gt;"","Guest list",IF($I49&lt;&gt;"","RSVP form",""))</f>
        <v/>
      </c>
      <c r="H49" s="32">
        <f>IF(41&lt;=Guests!$AG$505,MATCH(41,Guests!$AH:$AH,0),"")</f>
        <v/>
      </c>
      <c r="I49" s="32">
        <f>IF(AND(41&gt;Guests!$AG$505,41&lt;=Guests!$AG$505+'Form Calc'!$AB$601),MATCH(41-Guests!$AG$505,'Form Calc'!$AC:$AC,0),"")</f>
        <v/>
      </c>
    </row>
    <row r="50">
      <c r="A50" s="66">
        <f>IF($H50&lt;&gt;"",INDEX(Guests!$A:$A,$H50)&amp;"",IF($I50&lt;&gt;"",INDEX('Form Calc'!$B:$B,$I50)&amp;"",""))</f>
        <v/>
      </c>
      <c r="B50" s="67">
        <f>IF($H50&lt;&gt;"",INDEX(Guests!$B:$B,$H50)&amp;"",IF($I50&lt;&gt;"",INDEX('Form Calc'!$G:$G,$I50)&amp;"",""))</f>
        <v/>
      </c>
      <c r="C50" s="68">
        <f>IF($H50&lt;&gt;"",IF(INDEX(Guests!$AD:$AD,$H50)&lt;&gt;"",HYPERLINK(INDEX(Guests!$AD:$AD,$H50),"💬 Remind"),"add mobile"),IF($I50&lt;&gt;"",IF(INDEX('Form Calc'!$AG:$AG,$I50)&lt;&gt;"",HYPERLINK(INDEX('Form Calc'!$AG:$AG,$I50),"💬 Remind"),"add mobile"),""))</f>
        <v/>
      </c>
      <c r="D50" s="67">
        <f>IF($H50&lt;&gt;"",INDEX(Guests!$Y:$Y,$H50)&amp;"",IF($I50&lt;&gt;"",INDEX('Form Calc'!$C:$C,$I50)&amp;"",""))</f>
        <v/>
      </c>
      <c r="E50" s="69">
        <f>IF($H50&lt;&gt;"",IF(INDEX(Guests!$N:$N,$H50)="","",INDEX(Guests!$N:$N,$H50)),"")</f>
        <v/>
      </c>
      <c r="F50" s="67">
        <f>IF($H50&lt;&gt;"",INDEX(Guests!$E:$E,$H50)&amp;"","")</f>
        <v/>
      </c>
      <c r="G50" s="67">
        <f>IF($H50&lt;&gt;"","Guest list",IF($I50&lt;&gt;"","RSVP form",""))</f>
        <v/>
      </c>
      <c r="H50" s="32">
        <f>IF(42&lt;=Guests!$AG$505,MATCH(42,Guests!$AH:$AH,0),"")</f>
        <v/>
      </c>
      <c r="I50" s="32">
        <f>IF(AND(42&gt;Guests!$AG$505,42&lt;=Guests!$AG$505+'Form Calc'!$AB$601),MATCH(42-Guests!$AG$505,'Form Calc'!$AC:$AC,0),"")</f>
        <v/>
      </c>
    </row>
    <row r="51">
      <c r="A51" s="66">
        <f>IF($H51&lt;&gt;"",INDEX(Guests!$A:$A,$H51)&amp;"",IF($I51&lt;&gt;"",INDEX('Form Calc'!$B:$B,$I51)&amp;"",""))</f>
        <v/>
      </c>
      <c r="B51" s="67">
        <f>IF($H51&lt;&gt;"",INDEX(Guests!$B:$B,$H51)&amp;"",IF($I51&lt;&gt;"",INDEX('Form Calc'!$G:$G,$I51)&amp;"",""))</f>
        <v/>
      </c>
      <c r="C51" s="68">
        <f>IF($H51&lt;&gt;"",IF(INDEX(Guests!$AD:$AD,$H51)&lt;&gt;"",HYPERLINK(INDEX(Guests!$AD:$AD,$H51),"💬 Remind"),"add mobile"),IF($I51&lt;&gt;"",IF(INDEX('Form Calc'!$AG:$AG,$I51)&lt;&gt;"",HYPERLINK(INDEX('Form Calc'!$AG:$AG,$I51),"💬 Remind"),"add mobile"),""))</f>
        <v/>
      </c>
      <c r="D51" s="67">
        <f>IF($H51&lt;&gt;"",INDEX(Guests!$Y:$Y,$H51)&amp;"",IF($I51&lt;&gt;"",INDEX('Form Calc'!$C:$C,$I51)&amp;"",""))</f>
        <v/>
      </c>
      <c r="E51" s="69">
        <f>IF($H51&lt;&gt;"",IF(INDEX(Guests!$N:$N,$H51)="","",INDEX(Guests!$N:$N,$H51)),"")</f>
        <v/>
      </c>
      <c r="F51" s="67">
        <f>IF($H51&lt;&gt;"",INDEX(Guests!$E:$E,$H51)&amp;"","")</f>
        <v/>
      </c>
      <c r="G51" s="67">
        <f>IF($H51&lt;&gt;"","Guest list",IF($I51&lt;&gt;"","RSVP form",""))</f>
        <v/>
      </c>
      <c r="H51" s="32">
        <f>IF(43&lt;=Guests!$AG$505,MATCH(43,Guests!$AH:$AH,0),"")</f>
        <v/>
      </c>
      <c r="I51" s="32">
        <f>IF(AND(43&gt;Guests!$AG$505,43&lt;=Guests!$AG$505+'Form Calc'!$AB$601),MATCH(43-Guests!$AG$505,'Form Calc'!$AC:$AC,0),"")</f>
        <v/>
      </c>
    </row>
    <row r="52">
      <c r="A52" s="66">
        <f>IF($H52&lt;&gt;"",INDEX(Guests!$A:$A,$H52)&amp;"",IF($I52&lt;&gt;"",INDEX('Form Calc'!$B:$B,$I52)&amp;"",""))</f>
        <v/>
      </c>
      <c r="B52" s="67">
        <f>IF($H52&lt;&gt;"",INDEX(Guests!$B:$B,$H52)&amp;"",IF($I52&lt;&gt;"",INDEX('Form Calc'!$G:$G,$I52)&amp;"",""))</f>
        <v/>
      </c>
      <c r="C52" s="68">
        <f>IF($H52&lt;&gt;"",IF(INDEX(Guests!$AD:$AD,$H52)&lt;&gt;"",HYPERLINK(INDEX(Guests!$AD:$AD,$H52),"💬 Remind"),"add mobile"),IF($I52&lt;&gt;"",IF(INDEX('Form Calc'!$AG:$AG,$I52)&lt;&gt;"",HYPERLINK(INDEX('Form Calc'!$AG:$AG,$I52),"💬 Remind"),"add mobile"),""))</f>
        <v/>
      </c>
      <c r="D52" s="67">
        <f>IF($H52&lt;&gt;"",INDEX(Guests!$Y:$Y,$H52)&amp;"",IF($I52&lt;&gt;"",INDEX('Form Calc'!$C:$C,$I52)&amp;"",""))</f>
        <v/>
      </c>
      <c r="E52" s="69">
        <f>IF($H52&lt;&gt;"",IF(INDEX(Guests!$N:$N,$H52)="","",INDEX(Guests!$N:$N,$H52)),"")</f>
        <v/>
      </c>
      <c r="F52" s="67">
        <f>IF($H52&lt;&gt;"",INDEX(Guests!$E:$E,$H52)&amp;"","")</f>
        <v/>
      </c>
      <c r="G52" s="67">
        <f>IF($H52&lt;&gt;"","Guest list",IF($I52&lt;&gt;"","RSVP form",""))</f>
        <v/>
      </c>
      <c r="H52" s="32">
        <f>IF(44&lt;=Guests!$AG$505,MATCH(44,Guests!$AH:$AH,0),"")</f>
        <v/>
      </c>
      <c r="I52" s="32">
        <f>IF(AND(44&gt;Guests!$AG$505,44&lt;=Guests!$AG$505+'Form Calc'!$AB$601),MATCH(44-Guests!$AG$505,'Form Calc'!$AC:$AC,0),"")</f>
        <v/>
      </c>
    </row>
    <row r="53">
      <c r="A53" s="66">
        <f>IF($H53&lt;&gt;"",INDEX(Guests!$A:$A,$H53)&amp;"",IF($I53&lt;&gt;"",INDEX('Form Calc'!$B:$B,$I53)&amp;"",""))</f>
        <v/>
      </c>
      <c r="B53" s="67">
        <f>IF($H53&lt;&gt;"",INDEX(Guests!$B:$B,$H53)&amp;"",IF($I53&lt;&gt;"",INDEX('Form Calc'!$G:$G,$I53)&amp;"",""))</f>
        <v/>
      </c>
      <c r="C53" s="68">
        <f>IF($H53&lt;&gt;"",IF(INDEX(Guests!$AD:$AD,$H53)&lt;&gt;"",HYPERLINK(INDEX(Guests!$AD:$AD,$H53),"💬 Remind"),"add mobile"),IF($I53&lt;&gt;"",IF(INDEX('Form Calc'!$AG:$AG,$I53)&lt;&gt;"",HYPERLINK(INDEX('Form Calc'!$AG:$AG,$I53),"💬 Remind"),"add mobile"),""))</f>
        <v/>
      </c>
      <c r="D53" s="67">
        <f>IF($H53&lt;&gt;"",INDEX(Guests!$Y:$Y,$H53)&amp;"",IF($I53&lt;&gt;"",INDEX('Form Calc'!$C:$C,$I53)&amp;"",""))</f>
        <v/>
      </c>
      <c r="E53" s="69">
        <f>IF($H53&lt;&gt;"",IF(INDEX(Guests!$N:$N,$H53)="","",INDEX(Guests!$N:$N,$H53)),"")</f>
        <v/>
      </c>
      <c r="F53" s="67">
        <f>IF($H53&lt;&gt;"",INDEX(Guests!$E:$E,$H53)&amp;"","")</f>
        <v/>
      </c>
      <c r="G53" s="67">
        <f>IF($H53&lt;&gt;"","Guest list",IF($I53&lt;&gt;"","RSVP form",""))</f>
        <v/>
      </c>
      <c r="H53" s="32">
        <f>IF(45&lt;=Guests!$AG$505,MATCH(45,Guests!$AH:$AH,0),"")</f>
        <v/>
      </c>
      <c r="I53" s="32">
        <f>IF(AND(45&gt;Guests!$AG$505,45&lt;=Guests!$AG$505+'Form Calc'!$AB$601),MATCH(45-Guests!$AG$505,'Form Calc'!$AC:$AC,0),"")</f>
        <v/>
      </c>
    </row>
    <row r="54">
      <c r="A54" s="66">
        <f>IF($H54&lt;&gt;"",INDEX(Guests!$A:$A,$H54)&amp;"",IF($I54&lt;&gt;"",INDEX('Form Calc'!$B:$B,$I54)&amp;"",""))</f>
        <v/>
      </c>
      <c r="B54" s="67">
        <f>IF($H54&lt;&gt;"",INDEX(Guests!$B:$B,$H54)&amp;"",IF($I54&lt;&gt;"",INDEX('Form Calc'!$G:$G,$I54)&amp;"",""))</f>
        <v/>
      </c>
      <c r="C54" s="68">
        <f>IF($H54&lt;&gt;"",IF(INDEX(Guests!$AD:$AD,$H54)&lt;&gt;"",HYPERLINK(INDEX(Guests!$AD:$AD,$H54),"💬 Remind"),"add mobile"),IF($I54&lt;&gt;"",IF(INDEX('Form Calc'!$AG:$AG,$I54)&lt;&gt;"",HYPERLINK(INDEX('Form Calc'!$AG:$AG,$I54),"💬 Remind"),"add mobile"),""))</f>
        <v/>
      </c>
      <c r="D54" s="67">
        <f>IF($H54&lt;&gt;"",INDEX(Guests!$Y:$Y,$H54)&amp;"",IF($I54&lt;&gt;"",INDEX('Form Calc'!$C:$C,$I54)&amp;"",""))</f>
        <v/>
      </c>
      <c r="E54" s="69">
        <f>IF($H54&lt;&gt;"",IF(INDEX(Guests!$N:$N,$H54)="","",INDEX(Guests!$N:$N,$H54)),"")</f>
        <v/>
      </c>
      <c r="F54" s="67">
        <f>IF($H54&lt;&gt;"",INDEX(Guests!$E:$E,$H54)&amp;"","")</f>
        <v/>
      </c>
      <c r="G54" s="67">
        <f>IF($H54&lt;&gt;"","Guest list",IF($I54&lt;&gt;"","RSVP form",""))</f>
        <v/>
      </c>
      <c r="H54" s="32">
        <f>IF(46&lt;=Guests!$AG$505,MATCH(46,Guests!$AH:$AH,0),"")</f>
        <v/>
      </c>
      <c r="I54" s="32">
        <f>IF(AND(46&gt;Guests!$AG$505,46&lt;=Guests!$AG$505+'Form Calc'!$AB$601),MATCH(46-Guests!$AG$505,'Form Calc'!$AC:$AC,0),"")</f>
        <v/>
      </c>
    </row>
    <row r="55">
      <c r="A55" s="66">
        <f>IF($H55&lt;&gt;"",INDEX(Guests!$A:$A,$H55)&amp;"",IF($I55&lt;&gt;"",INDEX('Form Calc'!$B:$B,$I55)&amp;"",""))</f>
        <v/>
      </c>
      <c r="B55" s="67">
        <f>IF($H55&lt;&gt;"",INDEX(Guests!$B:$B,$H55)&amp;"",IF($I55&lt;&gt;"",INDEX('Form Calc'!$G:$G,$I55)&amp;"",""))</f>
        <v/>
      </c>
      <c r="C55" s="68">
        <f>IF($H55&lt;&gt;"",IF(INDEX(Guests!$AD:$AD,$H55)&lt;&gt;"",HYPERLINK(INDEX(Guests!$AD:$AD,$H55),"💬 Remind"),"add mobile"),IF($I55&lt;&gt;"",IF(INDEX('Form Calc'!$AG:$AG,$I55)&lt;&gt;"",HYPERLINK(INDEX('Form Calc'!$AG:$AG,$I55),"💬 Remind"),"add mobile"),""))</f>
        <v/>
      </c>
      <c r="D55" s="67">
        <f>IF($H55&lt;&gt;"",INDEX(Guests!$Y:$Y,$H55)&amp;"",IF($I55&lt;&gt;"",INDEX('Form Calc'!$C:$C,$I55)&amp;"",""))</f>
        <v/>
      </c>
      <c r="E55" s="69">
        <f>IF($H55&lt;&gt;"",IF(INDEX(Guests!$N:$N,$H55)="","",INDEX(Guests!$N:$N,$H55)),"")</f>
        <v/>
      </c>
      <c r="F55" s="67">
        <f>IF($H55&lt;&gt;"",INDEX(Guests!$E:$E,$H55)&amp;"","")</f>
        <v/>
      </c>
      <c r="G55" s="67">
        <f>IF($H55&lt;&gt;"","Guest list",IF($I55&lt;&gt;"","RSVP form",""))</f>
        <v/>
      </c>
      <c r="H55" s="32">
        <f>IF(47&lt;=Guests!$AG$505,MATCH(47,Guests!$AH:$AH,0),"")</f>
        <v/>
      </c>
      <c r="I55" s="32">
        <f>IF(AND(47&gt;Guests!$AG$505,47&lt;=Guests!$AG$505+'Form Calc'!$AB$601),MATCH(47-Guests!$AG$505,'Form Calc'!$AC:$AC,0),"")</f>
        <v/>
      </c>
    </row>
    <row r="56">
      <c r="A56" s="66">
        <f>IF($H56&lt;&gt;"",INDEX(Guests!$A:$A,$H56)&amp;"",IF($I56&lt;&gt;"",INDEX('Form Calc'!$B:$B,$I56)&amp;"",""))</f>
        <v/>
      </c>
      <c r="B56" s="67">
        <f>IF($H56&lt;&gt;"",INDEX(Guests!$B:$B,$H56)&amp;"",IF($I56&lt;&gt;"",INDEX('Form Calc'!$G:$G,$I56)&amp;"",""))</f>
        <v/>
      </c>
      <c r="C56" s="68">
        <f>IF($H56&lt;&gt;"",IF(INDEX(Guests!$AD:$AD,$H56)&lt;&gt;"",HYPERLINK(INDEX(Guests!$AD:$AD,$H56),"💬 Remind"),"add mobile"),IF($I56&lt;&gt;"",IF(INDEX('Form Calc'!$AG:$AG,$I56)&lt;&gt;"",HYPERLINK(INDEX('Form Calc'!$AG:$AG,$I56),"💬 Remind"),"add mobile"),""))</f>
        <v/>
      </c>
      <c r="D56" s="67">
        <f>IF($H56&lt;&gt;"",INDEX(Guests!$Y:$Y,$H56)&amp;"",IF($I56&lt;&gt;"",INDEX('Form Calc'!$C:$C,$I56)&amp;"",""))</f>
        <v/>
      </c>
      <c r="E56" s="69">
        <f>IF($H56&lt;&gt;"",IF(INDEX(Guests!$N:$N,$H56)="","",INDEX(Guests!$N:$N,$H56)),"")</f>
        <v/>
      </c>
      <c r="F56" s="67">
        <f>IF($H56&lt;&gt;"",INDEX(Guests!$E:$E,$H56)&amp;"","")</f>
        <v/>
      </c>
      <c r="G56" s="67">
        <f>IF($H56&lt;&gt;"","Guest list",IF($I56&lt;&gt;"","RSVP form",""))</f>
        <v/>
      </c>
      <c r="H56" s="32">
        <f>IF(48&lt;=Guests!$AG$505,MATCH(48,Guests!$AH:$AH,0),"")</f>
        <v/>
      </c>
      <c r="I56" s="32">
        <f>IF(AND(48&gt;Guests!$AG$505,48&lt;=Guests!$AG$505+'Form Calc'!$AB$601),MATCH(48-Guests!$AG$505,'Form Calc'!$AC:$AC,0),"")</f>
        <v/>
      </c>
    </row>
    <row r="57">
      <c r="A57" s="66">
        <f>IF($H57&lt;&gt;"",INDEX(Guests!$A:$A,$H57)&amp;"",IF($I57&lt;&gt;"",INDEX('Form Calc'!$B:$B,$I57)&amp;"",""))</f>
        <v/>
      </c>
      <c r="B57" s="67">
        <f>IF($H57&lt;&gt;"",INDEX(Guests!$B:$B,$H57)&amp;"",IF($I57&lt;&gt;"",INDEX('Form Calc'!$G:$G,$I57)&amp;"",""))</f>
        <v/>
      </c>
      <c r="C57" s="68">
        <f>IF($H57&lt;&gt;"",IF(INDEX(Guests!$AD:$AD,$H57)&lt;&gt;"",HYPERLINK(INDEX(Guests!$AD:$AD,$H57),"💬 Remind"),"add mobile"),IF($I57&lt;&gt;"",IF(INDEX('Form Calc'!$AG:$AG,$I57)&lt;&gt;"",HYPERLINK(INDEX('Form Calc'!$AG:$AG,$I57),"💬 Remind"),"add mobile"),""))</f>
        <v/>
      </c>
      <c r="D57" s="67">
        <f>IF($H57&lt;&gt;"",INDEX(Guests!$Y:$Y,$H57)&amp;"",IF($I57&lt;&gt;"",INDEX('Form Calc'!$C:$C,$I57)&amp;"",""))</f>
        <v/>
      </c>
      <c r="E57" s="69">
        <f>IF($H57&lt;&gt;"",IF(INDEX(Guests!$N:$N,$H57)="","",INDEX(Guests!$N:$N,$H57)),"")</f>
        <v/>
      </c>
      <c r="F57" s="67">
        <f>IF($H57&lt;&gt;"",INDEX(Guests!$E:$E,$H57)&amp;"","")</f>
        <v/>
      </c>
      <c r="G57" s="67">
        <f>IF($H57&lt;&gt;"","Guest list",IF($I57&lt;&gt;"","RSVP form",""))</f>
        <v/>
      </c>
      <c r="H57" s="32">
        <f>IF(49&lt;=Guests!$AG$505,MATCH(49,Guests!$AH:$AH,0),"")</f>
        <v/>
      </c>
      <c r="I57" s="32">
        <f>IF(AND(49&gt;Guests!$AG$505,49&lt;=Guests!$AG$505+'Form Calc'!$AB$601),MATCH(49-Guests!$AG$505,'Form Calc'!$AC:$AC,0),"")</f>
        <v/>
      </c>
    </row>
    <row r="58">
      <c r="A58" s="66">
        <f>IF($H58&lt;&gt;"",INDEX(Guests!$A:$A,$H58)&amp;"",IF($I58&lt;&gt;"",INDEX('Form Calc'!$B:$B,$I58)&amp;"",""))</f>
        <v/>
      </c>
      <c r="B58" s="67">
        <f>IF($H58&lt;&gt;"",INDEX(Guests!$B:$B,$H58)&amp;"",IF($I58&lt;&gt;"",INDEX('Form Calc'!$G:$G,$I58)&amp;"",""))</f>
        <v/>
      </c>
      <c r="C58" s="68">
        <f>IF($H58&lt;&gt;"",IF(INDEX(Guests!$AD:$AD,$H58)&lt;&gt;"",HYPERLINK(INDEX(Guests!$AD:$AD,$H58),"💬 Remind"),"add mobile"),IF($I58&lt;&gt;"",IF(INDEX('Form Calc'!$AG:$AG,$I58)&lt;&gt;"",HYPERLINK(INDEX('Form Calc'!$AG:$AG,$I58),"💬 Remind"),"add mobile"),""))</f>
        <v/>
      </c>
      <c r="D58" s="67">
        <f>IF($H58&lt;&gt;"",INDEX(Guests!$Y:$Y,$H58)&amp;"",IF($I58&lt;&gt;"",INDEX('Form Calc'!$C:$C,$I58)&amp;"",""))</f>
        <v/>
      </c>
      <c r="E58" s="69">
        <f>IF($H58&lt;&gt;"",IF(INDEX(Guests!$N:$N,$H58)="","",INDEX(Guests!$N:$N,$H58)),"")</f>
        <v/>
      </c>
      <c r="F58" s="67">
        <f>IF($H58&lt;&gt;"",INDEX(Guests!$E:$E,$H58)&amp;"","")</f>
        <v/>
      </c>
      <c r="G58" s="67">
        <f>IF($H58&lt;&gt;"","Guest list",IF($I58&lt;&gt;"","RSVP form",""))</f>
        <v/>
      </c>
      <c r="H58" s="32">
        <f>IF(50&lt;=Guests!$AG$505,MATCH(50,Guests!$AH:$AH,0),"")</f>
        <v/>
      </c>
      <c r="I58" s="32">
        <f>IF(AND(50&gt;Guests!$AG$505,50&lt;=Guests!$AG$505+'Form Calc'!$AB$601),MATCH(50-Guests!$AG$505,'Form Calc'!$AC:$AC,0),"")</f>
        <v/>
      </c>
    </row>
    <row r="59">
      <c r="A59" s="66">
        <f>IF($H59&lt;&gt;"",INDEX(Guests!$A:$A,$H59)&amp;"",IF($I59&lt;&gt;"",INDEX('Form Calc'!$B:$B,$I59)&amp;"",""))</f>
        <v/>
      </c>
      <c r="B59" s="67">
        <f>IF($H59&lt;&gt;"",INDEX(Guests!$B:$B,$H59)&amp;"",IF($I59&lt;&gt;"",INDEX('Form Calc'!$G:$G,$I59)&amp;"",""))</f>
        <v/>
      </c>
      <c r="C59" s="68">
        <f>IF($H59&lt;&gt;"",IF(INDEX(Guests!$AD:$AD,$H59)&lt;&gt;"",HYPERLINK(INDEX(Guests!$AD:$AD,$H59),"💬 Remind"),"add mobile"),IF($I59&lt;&gt;"",IF(INDEX('Form Calc'!$AG:$AG,$I59)&lt;&gt;"",HYPERLINK(INDEX('Form Calc'!$AG:$AG,$I59),"💬 Remind"),"add mobile"),""))</f>
        <v/>
      </c>
      <c r="D59" s="67">
        <f>IF($H59&lt;&gt;"",INDEX(Guests!$Y:$Y,$H59)&amp;"",IF($I59&lt;&gt;"",INDEX('Form Calc'!$C:$C,$I59)&amp;"",""))</f>
        <v/>
      </c>
      <c r="E59" s="69">
        <f>IF($H59&lt;&gt;"",IF(INDEX(Guests!$N:$N,$H59)="","",INDEX(Guests!$N:$N,$H59)),"")</f>
        <v/>
      </c>
      <c r="F59" s="67">
        <f>IF($H59&lt;&gt;"",INDEX(Guests!$E:$E,$H59)&amp;"","")</f>
        <v/>
      </c>
      <c r="G59" s="67">
        <f>IF($H59&lt;&gt;"","Guest list",IF($I59&lt;&gt;"","RSVP form",""))</f>
        <v/>
      </c>
      <c r="H59" s="32">
        <f>IF(51&lt;=Guests!$AG$505,MATCH(51,Guests!$AH:$AH,0),"")</f>
        <v/>
      </c>
      <c r="I59" s="32">
        <f>IF(AND(51&gt;Guests!$AG$505,51&lt;=Guests!$AG$505+'Form Calc'!$AB$601),MATCH(51-Guests!$AG$505,'Form Calc'!$AC:$AC,0),"")</f>
        <v/>
      </c>
    </row>
    <row r="60">
      <c r="A60" s="66">
        <f>IF($H60&lt;&gt;"",INDEX(Guests!$A:$A,$H60)&amp;"",IF($I60&lt;&gt;"",INDEX('Form Calc'!$B:$B,$I60)&amp;"",""))</f>
        <v/>
      </c>
      <c r="B60" s="67">
        <f>IF($H60&lt;&gt;"",INDEX(Guests!$B:$B,$H60)&amp;"",IF($I60&lt;&gt;"",INDEX('Form Calc'!$G:$G,$I60)&amp;"",""))</f>
        <v/>
      </c>
      <c r="C60" s="68">
        <f>IF($H60&lt;&gt;"",IF(INDEX(Guests!$AD:$AD,$H60)&lt;&gt;"",HYPERLINK(INDEX(Guests!$AD:$AD,$H60),"💬 Remind"),"add mobile"),IF($I60&lt;&gt;"",IF(INDEX('Form Calc'!$AG:$AG,$I60)&lt;&gt;"",HYPERLINK(INDEX('Form Calc'!$AG:$AG,$I60),"💬 Remind"),"add mobile"),""))</f>
        <v/>
      </c>
      <c r="D60" s="67">
        <f>IF($H60&lt;&gt;"",INDEX(Guests!$Y:$Y,$H60)&amp;"",IF($I60&lt;&gt;"",INDEX('Form Calc'!$C:$C,$I60)&amp;"",""))</f>
        <v/>
      </c>
      <c r="E60" s="69">
        <f>IF($H60&lt;&gt;"",IF(INDEX(Guests!$N:$N,$H60)="","",INDEX(Guests!$N:$N,$H60)),"")</f>
        <v/>
      </c>
      <c r="F60" s="67">
        <f>IF($H60&lt;&gt;"",INDEX(Guests!$E:$E,$H60)&amp;"","")</f>
        <v/>
      </c>
      <c r="G60" s="67">
        <f>IF($H60&lt;&gt;"","Guest list",IF($I60&lt;&gt;"","RSVP form",""))</f>
        <v/>
      </c>
      <c r="H60" s="32">
        <f>IF(52&lt;=Guests!$AG$505,MATCH(52,Guests!$AH:$AH,0),"")</f>
        <v/>
      </c>
      <c r="I60" s="32">
        <f>IF(AND(52&gt;Guests!$AG$505,52&lt;=Guests!$AG$505+'Form Calc'!$AB$601),MATCH(52-Guests!$AG$505,'Form Calc'!$AC:$AC,0),"")</f>
        <v/>
      </c>
    </row>
    <row r="61">
      <c r="A61" s="66">
        <f>IF($H61&lt;&gt;"",INDEX(Guests!$A:$A,$H61)&amp;"",IF($I61&lt;&gt;"",INDEX('Form Calc'!$B:$B,$I61)&amp;"",""))</f>
        <v/>
      </c>
      <c r="B61" s="67">
        <f>IF($H61&lt;&gt;"",INDEX(Guests!$B:$B,$H61)&amp;"",IF($I61&lt;&gt;"",INDEX('Form Calc'!$G:$G,$I61)&amp;"",""))</f>
        <v/>
      </c>
      <c r="C61" s="68">
        <f>IF($H61&lt;&gt;"",IF(INDEX(Guests!$AD:$AD,$H61)&lt;&gt;"",HYPERLINK(INDEX(Guests!$AD:$AD,$H61),"💬 Remind"),"add mobile"),IF($I61&lt;&gt;"",IF(INDEX('Form Calc'!$AG:$AG,$I61)&lt;&gt;"",HYPERLINK(INDEX('Form Calc'!$AG:$AG,$I61),"💬 Remind"),"add mobile"),""))</f>
        <v/>
      </c>
      <c r="D61" s="67">
        <f>IF($H61&lt;&gt;"",INDEX(Guests!$Y:$Y,$H61)&amp;"",IF($I61&lt;&gt;"",INDEX('Form Calc'!$C:$C,$I61)&amp;"",""))</f>
        <v/>
      </c>
      <c r="E61" s="69">
        <f>IF($H61&lt;&gt;"",IF(INDEX(Guests!$N:$N,$H61)="","",INDEX(Guests!$N:$N,$H61)),"")</f>
        <v/>
      </c>
      <c r="F61" s="67">
        <f>IF($H61&lt;&gt;"",INDEX(Guests!$E:$E,$H61)&amp;"","")</f>
        <v/>
      </c>
      <c r="G61" s="67">
        <f>IF($H61&lt;&gt;"","Guest list",IF($I61&lt;&gt;"","RSVP form",""))</f>
        <v/>
      </c>
      <c r="H61" s="32">
        <f>IF(53&lt;=Guests!$AG$505,MATCH(53,Guests!$AH:$AH,0),"")</f>
        <v/>
      </c>
      <c r="I61" s="32">
        <f>IF(AND(53&gt;Guests!$AG$505,53&lt;=Guests!$AG$505+'Form Calc'!$AB$601),MATCH(53-Guests!$AG$505,'Form Calc'!$AC:$AC,0),"")</f>
        <v/>
      </c>
    </row>
    <row r="62">
      <c r="A62" s="66">
        <f>IF($H62&lt;&gt;"",INDEX(Guests!$A:$A,$H62)&amp;"",IF($I62&lt;&gt;"",INDEX('Form Calc'!$B:$B,$I62)&amp;"",""))</f>
        <v/>
      </c>
      <c r="B62" s="67">
        <f>IF($H62&lt;&gt;"",INDEX(Guests!$B:$B,$H62)&amp;"",IF($I62&lt;&gt;"",INDEX('Form Calc'!$G:$G,$I62)&amp;"",""))</f>
        <v/>
      </c>
      <c r="C62" s="68">
        <f>IF($H62&lt;&gt;"",IF(INDEX(Guests!$AD:$AD,$H62)&lt;&gt;"",HYPERLINK(INDEX(Guests!$AD:$AD,$H62),"💬 Remind"),"add mobile"),IF($I62&lt;&gt;"",IF(INDEX('Form Calc'!$AG:$AG,$I62)&lt;&gt;"",HYPERLINK(INDEX('Form Calc'!$AG:$AG,$I62),"💬 Remind"),"add mobile"),""))</f>
        <v/>
      </c>
      <c r="D62" s="67">
        <f>IF($H62&lt;&gt;"",INDEX(Guests!$Y:$Y,$H62)&amp;"",IF($I62&lt;&gt;"",INDEX('Form Calc'!$C:$C,$I62)&amp;"",""))</f>
        <v/>
      </c>
      <c r="E62" s="69">
        <f>IF($H62&lt;&gt;"",IF(INDEX(Guests!$N:$N,$H62)="","",INDEX(Guests!$N:$N,$H62)),"")</f>
        <v/>
      </c>
      <c r="F62" s="67">
        <f>IF($H62&lt;&gt;"",INDEX(Guests!$E:$E,$H62)&amp;"","")</f>
        <v/>
      </c>
      <c r="G62" s="67">
        <f>IF($H62&lt;&gt;"","Guest list",IF($I62&lt;&gt;"","RSVP form",""))</f>
        <v/>
      </c>
      <c r="H62" s="32">
        <f>IF(54&lt;=Guests!$AG$505,MATCH(54,Guests!$AH:$AH,0),"")</f>
        <v/>
      </c>
      <c r="I62" s="32">
        <f>IF(AND(54&gt;Guests!$AG$505,54&lt;=Guests!$AG$505+'Form Calc'!$AB$601),MATCH(54-Guests!$AG$505,'Form Calc'!$AC:$AC,0),"")</f>
        <v/>
      </c>
    </row>
    <row r="63">
      <c r="A63" s="66">
        <f>IF($H63&lt;&gt;"",INDEX(Guests!$A:$A,$H63)&amp;"",IF($I63&lt;&gt;"",INDEX('Form Calc'!$B:$B,$I63)&amp;"",""))</f>
        <v/>
      </c>
      <c r="B63" s="67">
        <f>IF($H63&lt;&gt;"",INDEX(Guests!$B:$B,$H63)&amp;"",IF($I63&lt;&gt;"",INDEX('Form Calc'!$G:$G,$I63)&amp;"",""))</f>
        <v/>
      </c>
      <c r="C63" s="68">
        <f>IF($H63&lt;&gt;"",IF(INDEX(Guests!$AD:$AD,$H63)&lt;&gt;"",HYPERLINK(INDEX(Guests!$AD:$AD,$H63),"💬 Remind"),"add mobile"),IF($I63&lt;&gt;"",IF(INDEX('Form Calc'!$AG:$AG,$I63)&lt;&gt;"",HYPERLINK(INDEX('Form Calc'!$AG:$AG,$I63),"💬 Remind"),"add mobile"),""))</f>
        <v/>
      </c>
      <c r="D63" s="67">
        <f>IF($H63&lt;&gt;"",INDEX(Guests!$Y:$Y,$H63)&amp;"",IF($I63&lt;&gt;"",INDEX('Form Calc'!$C:$C,$I63)&amp;"",""))</f>
        <v/>
      </c>
      <c r="E63" s="69">
        <f>IF($H63&lt;&gt;"",IF(INDEX(Guests!$N:$N,$H63)="","",INDEX(Guests!$N:$N,$H63)),"")</f>
        <v/>
      </c>
      <c r="F63" s="67">
        <f>IF($H63&lt;&gt;"",INDEX(Guests!$E:$E,$H63)&amp;"","")</f>
        <v/>
      </c>
      <c r="G63" s="67">
        <f>IF($H63&lt;&gt;"","Guest list",IF($I63&lt;&gt;"","RSVP form",""))</f>
        <v/>
      </c>
      <c r="H63" s="32">
        <f>IF(55&lt;=Guests!$AG$505,MATCH(55,Guests!$AH:$AH,0),"")</f>
        <v/>
      </c>
      <c r="I63" s="32">
        <f>IF(AND(55&gt;Guests!$AG$505,55&lt;=Guests!$AG$505+'Form Calc'!$AB$601),MATCH(55-Guests!$AG$505,'Form Calc'!$AC:$AC,0),"")</f>
        <v/>
      </c>
    </row>
    <row r="64">
      <c r="A64" s="66">
        <f>IF($H64&lt;&gt;"",INDEX(Guests!$A:$A,$H64)&amp;"",IF($I64&lt;&gt;"",INDEX('Form Calc'!$B:$B,$I64)&amp;"",""))</f>
        <v/>
      </c>
      <c r="B64" s="67">
        <f>IF($H64&lt;&gt;"",INDEX(Guests!$B:$B,$H64)&amp;"",IF($I64&lt;&gt;"",INDEX('Form Calc'!$G:$G,$I64)&amp;"",""))</f>
        <v/>
      </c>
      <c r="C64" s="68">
        <f>IF($H64&lt;&gt;"",IF(INDEX(Guests!$AD:$AD,$H64)&lt;&gt;"",HYPERLINK(INDEX(Guests!$AD:$AD,$H64),"💬 Remind"),"add mobile"),IF($I64&lt;&gt;"",IF(INDEX('Form Calc'!$AG:$AG,$I64)&lt;&gt;"",HYPERLINK(INDEX('Form Calc'!$AG:$AG,$I64),"💬 Remind"),"add mobile"),""))</f>
        <v/>
      </c>
      <c r="D64" s="67">
        <f>IF($H64&lt;&gt;"",INDEX(Guests!$Y:$Y,$H64)&amp;"",IF($I64&lt;&gt;"",INDEX('Form Calc'!$C:$C,$I64)&amp;"",""))</f>
        <v/>
      </c>
      <c r="E64" s="69">
        <f>IF($H64&lt;&gt;"",IF(INDEX(Guests!$N:$N,$H64)="","",INDEX(Guests!$N:$N,$H64)),"")</f>
        <v/>
      </c>
      <c r="F64" s="67">
        <f>IF($H64&lt;&gt;"",INDEX(Guests!$E:$E,$H64)&amp;"","")</f>
        <v/>
      </c>
      <c r="G64" s="67">
        <f>IF($H64&lt;&gt;"","Guest list",IF($I64&lt;&gt;"","RSVP form",""))</f>
        <v/>
      </c>
      <c r="H64" s="32">
        <f>IF(56&lt;=Guests!$AG$505,MATCH(56,Guests!$AH:$AH,0),"")</f>
        <v/>
      </c>
      <c r="I64" s="32">
        <f>IF(AND(56&gt;Guests!$AG$505,56&lt;=Guests!$AG$505+'Form Calc'!$AB$601),MATCH(56-Guests!$AG$505,'Form Calc'!$AC:$AC,0),"")</f>
        <v/>
      </c>
    </row>
    <row r="65">
      <c r="A65" s="66">
        <f>IF($H65&lt;&gt;"",INDEX(Guests!$A:$A,$H65)&amp;"",IF($I65&lt;&gt;"",INDEX('Form Calc'!$B:$B,$I65)&amp;"",""))</f>
        <v/>
      </c>
      <c r="B65" s="67">
        <f>IF($H65&lt;&gt;"",INDEX(Guests!$B:$B,$H65)&amp;"",IF($I65&lt;&gt;"",INDEX('Form Calc'!$G:$G,$I65)&amp;"",""))</f>
        <v/>
      </c>
      <c r="C65" s="68">
        <f>IF($H65&lt;&gt;"",IF(INDEX(Guests!$AD:$AD,$H65)&lt;&gt;"",HYPERLINK(INDEX(Guests!$AD:$AD,$H65),"💬 Remind"),"add mobile"),IF($I65&lt;&gt;"",IF(INDEX('Form Calc'!$AG:$AG,$I65)&lt;&gt;"",HYPERLINK(INDEX('Form Calc'!$AG:$AG,$I65),"💬 Remind"),"add mobile"),""))</f>
        <v/>
      </c>
      <c r="D65" s="67">
        <f>IF($H65&lt;&gt;"",INDEX(Guests!$Y:$Y,$H65)&amp;"",IF($I65&lt;&gt;"",INDEX('Form Calc'!$C:$C,$I65)&amp;"",""))</f>
        <v/>
      </c>
      <c r="E65" s="69">
        <f>IF($H65&lt;&gt;"",IF(INDEX(Guests!$N:$N,$H65)="","",INDEX(Guests!$N:$N,$H65)),"")</f>
        <v/>
      </c>
      <c r="F65" s="67">
        <f>IF($H65&lt;&gt;"",INDEX(Guests!$E:$E,$H65)&amp;"","")</f>
        <v/>
      </c>
      <c r="G65" s="67">
        <f>IF($H65&lt;&gt;"","Guest list",IF($I65&lt;&gt;"","RSVP form",""))</f>
        <v/>
      </c>
      <c r="H65" s="32">
        <f>IF(57&lt;=Guests!$AG$505,MATCH(57,Guests!$AH:$AH,0),"")</f>
        <v/>
      </c>
      <c r="I65" s="32">
        <f>IF(AND(57&gt;Guests!$AG$505,57&lt;=Guests!$AG$505+'Form Calc'!$AB$601),MATCH(57-Guests!$AG$505,'Form Calc'!$AC:$AC,0),"")</f>
        <v/>
      </c>
    </row>
    <row r="66">
      <c r="A66" s="66">
        <f>IF($H66&lt;&gt;"",INDEX(Guests!$A:$A,$H66)&amp;"",IF($I66&lt;&gt;"",INDEX('Form Calc'!$B:$B,$I66)&amp;"",""))</f>
        <v/>
      </c>
      <c r="B66" s="67">
        <f>IF($H66&lt;&gt;"",INDEX(Guests!$B:$B,$H66)&amp;"",IF($I66&lt;&gt;"",INDEX('Form Calc'!$G:$G,$I66)&amp;"",""))</f>
        <v/>
      </c>
      <c r="C66" s="68">
        <f>IF($H66&lt;&gt;"",IF(INDEX(Guests!$AD:$AD,$H66)&lt;&gt;"",HYPERLINK(INDEX(Guests!$AD:$AD,$H66),"💬 Remind"),"add mobile"),IF($I66&lt;&gt;"",IF(INDEX('Form Calc'!$AG:$AG,$I66)&lt;&gt;"",HYPERLINK(INDEX('Form Calc'!$AG:$AG,$I66),"💬 Remind"),"add mobile"),""))</f>
        <v/>
      </c>
      <c r="D66" s="67">
        <f>IF($H66&lt;&gt;"",INDEX(Guests!$Y:$Y,$H66)&amp;"",IF($I66&lt;&gt;"",INDEX('Form Calc'!$C:$C,$I66)&amp;"",""))</f>
        <v/>
      </c>
      <c r="E66" s="69">
        <f>IF($H66&lt;&gt;"",IF(INDEX(Guests!$N:$N,$H66)="","",INDEX(Guests!$N:$N,$H66)),"")</f>
        <v/>
      </c>
      <c r="F66" s="67">
        <f>IF($H66&lt;&gt;"",INDEX(Guests!$E:$E,$H66)&amp;"","")</f>
        <v/>
      </c>
      <c r="G66" s="67">
        <f>IF($H66&lt;&gt;"","Guest list",IF($I66&lt;&gt;"","RSVP form",""))</f>
        <v/>
      </c>
      <c r="H66" s="32">
        <f>IF(58&lt;=Guests!$AG$505,MATCH(58,Guests!$AH:$AH,0),"")</f>
        <v/>
      </c>
      <c r="I66" s="32">
        <f>IF(AND(58&gt;Guests!$AG$505,58&lt;=Guests!$AG$505+'Form Calc'!$AB$601),MATCH(58-Guests!$AG$505,'Form Calc'!$AC:$AC,0),"")</f>
        <v/>
      </c>
    </row>
    <row r="67">
      <c r="A67" s="66">
        <f>IF($H67&lt;&gt;"",INDEX(Guests!$A:$A,$H67)&amp;"",IF($I67&lt;&gt;"",INDEX('Form Calc'!$B:$B,$I67)&amp;"",""))</f>
        <v/>
      </c>
      <c r="B67" s="67">
        <f>IF($H67&lt;&gt;"",INDEX(Guests!$B:$B,$H67)&amp;"",IF($I67&lt;&gt;"",INDEX('Form Calc'!$G:$G,$I67)&amp;"",""))</f>
        <v/>
      </c>
      <c r="C67" s="68">
        <f>IF($H67&lt;&gt;"",IF(INDEX(Guests!$AD:$AD,$H67)&lt;&gt;"",HYPERLINK(INDEX(Guests!$AD:$AD,$H67),"💬 Remind"),"add mobile"),IF($I67&lt;&gt;"",IF(INDEX('Form Calc'!$AG:$AG,$I67)&lt;&gt;"",HYPERLINK(INDEX('Form Calc'!$AG:$AG,$I67),"💬 Remind"),"add mobile"),""))</f>
        <v/>
      </c>
      <c r="D67" s="67">
        <f>IF($H67&lt;&gt;"",INDEX(Guests!$Y:$Y,$H67)&amp;"",IF($I67&lt;&gt;"",INDEX('Form Calc'!$C:$C,$I67)&amp;"",""))</f>
        <v/>
      </c>
      <c r="E67" s="69">
        <f>IF($H67&lt;&gt;"",IF(INDEX(Guests!$N:$N,$H67)="","",INDEX(Guests!$N:$N,$H67)),"")</f>
        <v/>
      </c>
      <c r="F67" s="67">
        <f>IF($H67&lt;&gt;"",INDEX(Guests!$E:$E,$H67)&amp;"","")</f>
        <v/>
      </c>
      <c r="G67" s="67">
        <f>IF($H67&lt;&gt;"","Guest list",IF($I67&lt;&gt;"","RSVP form",""))</f>
        <v/>
      </c>
      <c r="H67" s="32">
        <f>IF(59&lt;=Guests!$AG$505,MATCH(59,Guests!$AH:$AH,0),"")</f>
        <v/>
      </c>
      <c r="I67" s="32">
        <f>IF(AND(59&gt;Guests!$AG$505,59&lt;=Guests!$AG$505+'Form Calc'!$AB$601),MATCH(59-Guests!$AG$505,'Form Calc'!$AC:$AC,0),"")</f>
        <v/>
      </c>
    </row>
    <row r="68">
      <c r="A68" s="66">
        <f>IF($H68&lt;&gt;"",INDEX(Guests!$A:$A,$H68)&amp;"",IF($I68&lt;&gt;"",INDEX('Form Calc'!$B:$B,$I68)&amp;"",""))</f>
        <v/>
      </c>
      <c r="B68" s="67">
        <f>IF($H68&lt;&gt;"",INDEX(Guests!$B:$B,$H68)&amp;"",IF($I68&lt;&gt;"",INDEX('Form Calc'!$G:$G,$I68)&amp;"",""))</f>
        <v/>
      </c>
      <c r="C68" s="68">
        <f>IF($H68&lt;&gt;"",IF(INDEX(Guests!$AD:$AD,$H68)&lt;&gt;"",HYPERLINK(INDEX(Guests!$AD:$AD,$H68),"💬 Remind"),"add mobile"),IF($I68&lt;&gt;"",IF(INDEX('Form Calc'!$AG:$AG,$I68)&lt;&gt;"",HYPERLINK(INDEX('Form Calc'!$AG:$AG,$I68),"💬 Remind"),"add mobile"),""))</f>
        <v/>
      </c>
      <c r="D68" s="67">
        <f>IF($H68&lt;&gt;"",INDEX(Guests!$Y:$Y,$H68)&amp;"",IF($I68&lt;&gt;"",INDEX('Form Calc'!$C:$C,$I68)&amp;"",""))</f>
        <v/>
      </c>
      <c r="E68" s="69">
        <f>IF($H68&lt;&gt;"",IF(INDEX(Guests!$N:$N,$H68)="","",INDEX(Guests!$N:$N,$H68)),"")</f>
        <v/>
      </c>
      <c r="F68" s="67">
        <f>IF($H68&lt;&gt;"",INDEX(Guests!$E:$E,$H68)&amp;"","")</f>
        <v/>
      </c>
      <c r="G68" s="67">
        <f>IF($H68&lt;&gt;"","Guest list",IF($I68&lt;&gt;"","RSVP form",""))</f>
        <v/>
      </c>
      <c r="H68" s="32">
        <f>IF(60&lt;=Guests!$AG$505,MATCH(60,Guests!$AH:$AH,0),"")</f>
        <v/>
      </c>
      <c r="I68" s="32">
        <f>IF(AND(60&gt;Guests!$AG$505,60&lt;=Guests!$AG$505+'Form Calc'!$AB$601),MATCH(60-Guests!$AG$505,'Form Calc'!$AC:$AC,0),"")</f>
        <v/>
      </c>
    </row>
    <row r="69">
      <c r="A69" s="66">
        <f>IF($H69&lt;&gt;"",INDEX(Guests!$A:$A,$H69)&amp;"",IF($I69&lt;&gt;"",INDEX('Form Calc'!$B:$B,$I69)&amp;"",""))</f>
        <v/>
      </c>
      <c r="B69" s="67">
        <f>IF($H69&lt;&gt;"",INDEX(Guests!$B:$B,$H69)&amp;"",IF($I69&lt;&gt;"",INDEX('Form Calc'!$G:$G,$I69)&amp;"",""))</f>
        <v/>
      </c>
      <c r="C69" s="68">
        <f>IF($H69&lt;&gt;"",IF(INDEX(Guests!$AD:$AD,$H69)&lt;&gt;"",HYPERLINK(INDEX(Guests!$AD:$AD,$H69),"💬 Remind"),"add mobile"),IF($I69&lt;&gt;"",IF(INDEX('Form Calc'!$AG:$AG,$I69)&lt;&gt;"",HYPERLINK(INDEX('Form Calc'!$AG:$AG,$I69),"💬 Remind"),"add mobile"),""))</f>
        <v/>
      </c>
      <c r="D69" s="67">
        <f>IF($H69&lt;&gt;"",INDEX(Guests!$Y:$Y,$H69)&amp;"",IF($I69&lt;&gt;"",INDEX('Form Calc'!$C:$C,$I69)&amp;"",""))</f>
        <v/>
      </c>
      <c r="E69" s="69">
        <f>IF($H69&lt;&gt;"",IF(INDEX(Guests!$N:$N,$H69)="","",INDEX(Guests!$N:$N,$H69)),"")</f>
        <v/>
      </c>
      <c r="F69" s="67">
        <f>IF($H69&lt;&gt;"",INDEX(Guests!$E:$E,$H69)&amp;"","")</f>
        <v/>
      </c>
      <c r="G69" s="67">
        <f>IF($H69&lt;&gt;"","Guest list",IF($I69&lt;&gt;"","RSVP form",""))</f>
        <v/>
      </c>
      <c r="H69" s="32">
        <f>IF(61&lt;=Guests!$AG$505,MATCH(61,Guests!$AH:$AH,0),"")</f>
        <v/>
      </c>
      <c r="I69" s="32">
        <f>IF(AND(61&gt;Guests!$AG$505,61&lt;=Guests!$AG$505+'Form Calc'!$AB$601),MATCH(61-Guests!$AG$505,'Form Calc'!$AC:$AC,0),"")</f>
        <v/>
      </c>
    </row>
    <row r="70">
      <c r="A70" s="66">
        <f>IF($H70&lt;&gt;"",INDEX(Guests!$A:$A,$H70)&amp;"",IF($I70&lt;&gt;"",INDEX('Form Calc'!$B:$B,$I70)&amp;"",""))</f>
        <v/>
      </c>
      <c r="B70" s="67">
        <f>IF($H70&lt;&gt;"",INDEX(Guests!$B:$B,$H70)&amp;"",IF($I70&lt;&gt;"",INDEX('Form Calc'!$G:$G,$I70)&amp;"",""))</f>
        <v/>
      </c>
      <c r="C70" s="68">
        <f>IF($H70&lt;&gt;"",IF(INDEX(Guests!$AD:$AD,$H70)&lt;&gt;"",HYPERLINK(INDEX(Guests!$AD:$AD,$H70),"💬 Remind"),"add mobile"),IF($I70&lt;&gt;"",IF(INDEX('Form Calc'!$AG:$AG,$I70)&lt;&gt;"",HYPERLINK(INDEX('Form Calc'!$AG:$AG,$I70),"💬 Remind"),"add mobile"),""))</f>
        <v/>
      </c>
      <c r="D70" s="67">
        <f>IF($H70&lt;&gt;"",INDEX(Guests!$Y:$Y,$H70)&amp;"",IF($I70&lt;&gt;"",INDEX('Form Calc'!$C:$C,$I70)&amp;"",""))</f>
        <v/>
      </c>
      <c r="E70" s="69">
        <f>IF($H70&lt;&gt;"",IF(INDEX(Guests!$N:$N,$H70)="","",INDEX(Guests!$N:$N,$H70)),"")</f>
        <v/>
      </c>
      <c r="F70" s="67">
        <f>IF($H70&lt;&gt;"",INDEX(Guests!$E:$E,$H70)&amp;"","")</f>
        <v/>
      </c>
      <c r="G70" s="67">
        <f>IF($H70&lt;&gt;"","Guest list",IF($I70&lt;&gt;"","RSVP form",""))</f>
        <v/>
      </c>
      <c r="H70" s="32">
        <f>IF(62&lt;=Guests!$AG$505,MATCH(62,Guests!$AH:$AH,0),"")</f>
        <v/>
      </c>
      <c r="I70" s="32">
        <f>IF(AND(62&gt;Guests!$AG$505,62&lt;=Guests!$AG$505+'Form Calc'!$AB$601),MATCH(62-Guests!$AG$505,'Form Calc'!$AC:$AC,0),"")</f>
        <v/>
      </c>
    </row>
    <row r="71">
      <c r="A71" s="66">
        <f>IF($H71&lt;&gt;"",INDEX(Guests!$A:$A,$H71)&amp;"",IF($I71&lt;&gt;"",INDEX('Form Calc'!$B:$B,$I71)&amp;"",""))</f>
        <v/>
      </c>
      <c r="B71" s="67">
        <f>IF($H71&lt;&gt;"",INDEX(Guests!$B:$B,$H71)&amp;"",IF($I71&lt;&gt;"",INDEX('Form Calc'!$G:$G,$I71)&amp;"",""))</f>
        <v/>
      </c>
      <c r="C71" s="68">
        <f>IF($H71&lt;&gt;"",IF(INDEX(Guests!$AD:$AD,$H71)&lt;&gt;"",HYPERLINK(INDEX(Guests!$AD:$AD,$H71),"💬 Remind"),"add mobile"),IF($I71&lt;&gt;"",IF(INDEX('Form Calc'!$AG:$AG,$I71)&lt;&gt;"",HYPERLINK(INDEX('Form Calc'!$AG:$AG,$I71),"💬 Remind"),"add mobile"),""))</f>
        <v/>
      </c>
      <c r="D71" s="67">
        <f>IF($H71&lt;&gt;"",INDEX(Guests!$Y:$Y,$H71)&amp;"",IF($I71&lt;&gt;"",INDEX('Form Calc'!$C:$C,$I71)&amp;"",""))</f>
        <v/>
      </c>
      <c r="E71" s="69">
        <f>IF($H71&lt;&gt;"",IF(INDEX(Guests!$N:$N,$H71)="","",INDEX(Guests!$N:$N,$H71)),"")</f>
        <v/>
      </c>
      <c r="F71" s="67">
        <f>IF($H71&lt;&gt;"",INDEX(Guests!$E:$E,$H71)&amp;"","")</f>
        <v/>
      </c>
      <c r="G71" s="67">
        <f>IF($H71&lt;&gt;"","Guest list",IF($I71&lt;&gt;"","RSVP form",""))</f>
        <v/>
      </c>
      <c r="H71" s="32">
        <f>IF(63&lt;=Guests!$AG$505,MATCH(63,Guests!$AH:$AH,0),"")</f>
        <v/>
      </c>
      <c r="I71" s="32">
        <f>IF(AND(63&gt;Guests!$AG$505,63&lt;=Guests!$AG$505+'Form Calc'!$AB$601),MATCH(63-Guests!$AG$505,'Form Calc'!$AC:$AC,0),"")</f>
        <v/>
      </c>
    </row>
    <row r="72">
      <c r="A72" s="66">
        <f>IF($H72&lt;&gt;"",INDEX(Guests!$A:$A,$H72)&amp;"",IF($I72&lt;&gt;"",INDEX('Form Calc'!$B:$B,$I72)&amp;"",""))</f>
        <v/>
      </c>
      <c r="B72" s="67">
        <f>IF($H72&lt;&gt;"",INDEX(Guests!$B:$B,$H72)&amp;"",IF($I72&lt;&gt;"",INDEX('Form Calc'!$G:$G,$I72)&amp;"",""))</f>
        <v/>
      </c>
      <c r="C72" s="68">
        <f>IF($H72&lt;&gt;"",IF(INDEX(Guests!$AD:$AD,$H72)&lt;&gt;"",HYPERLINK(INDEX(Guests!$AD:$AD,$H72),"💬 Remind"),"add mobile"),IF($I72&lt;&gt;"",IF(INDEX('Form Calc'!$AG:$AG,$I72)&lt;&gt;"",HYPERLINK(INDEX('Form Calc'!$AG:$AG,$I72),"💬 Remind"),"add mobile"),""))</f>
        <v/>
      </c>
      <c r="D72" s="67">
        <f>IF($H72&lt;&gt;"",INDEX(Guests!$Y:$Y,$H72)&amp;"",IF($I72&lt;&gt;"",INDEX('Form Calc'!$C:$C,$I72)&amp;"",""))</f>
        <v/>
      </c>
      <c r="E72" s="69">
        <f>IF($H72&lt;&gt;"",IF(INDEX(Guests!$N:$N,$H72)="","",INDEX(Guests!$N:$N,$H72)),"")</f>
        <v/>
      </c>
      <c r="F72" s="67">
        <f>IF($H72&lt;&gt;"",INDEX(Guests!$E:$E,$H72)&amp;"","")</f>
        <v/>
      </c>
      <c r="G72" s="67">
        <f>IF($H72&lt;&gt;"","Guest list",IF($I72&lt;&gt;"","RSVP form",""))</f>
        <v/>
      </c>
      <c r="H72" s="32">
        <f>IF(64&lt;=Guests!$AG$505,MATCH(64,Guests!$AH:$AH,0),"")</f>
        <v/>
      </c>
      <c r="I72" s="32">
        <f>IF(AND(64&gt;Guests!$AG$505,64&lt;=Guests!$AG$505+'Form Calc'!$AB$601),MATCH(64-Guests!$AG$505,'Form Calc'!$AC:$AC,0),"")</f>
        <v/>
      </c>
    </row>
    <row r="73">
      <c r="A73" s="66">
        <f>IF($H73&lt;&gt;"",INDEX(Guests!$A:$A,$H73)&amp;"",IF($I73&lt;&gt;"",INDEX('Form Calc'!$B:$B,$I73)&amp;"",""))</f>
        <v/>
      </c>
      <c r="B73" s="67">
        <f>IF($H73&lt;&gt;"",INDEX(Guests!$B:$B,$H73)&amp;"",IF($I73&lt;&gt;"",INDEX('Form Calc'!$G:$G,$I73)&amp;"",""))</f>
        <v/>
      </c>
      <c r="C73" s="68">
        <f>IF($H73&lt;&gt;"",IF(INDEX(Guests!$AD:$AD,$H73)&lt;&gt;"",HYPERLINK(INDEX(Guests!$AD:$AD,$H73),"💬 Remind"),"add mobile"),IF($I73&lt;&gt;"",IF(INDEX('Form Calc'!$AG:$AG,$I73)&lt;&gt;"",HYPERLINK(INDEX('Form Calc'!$AG:$AG,$I73),"💬 Remind"),"add mobile"),""))</f>
        <v/>
      </c>
      <c r="D73" s="67">
        <f>IF($H73&lt;&gt;"",INDEX(Guests!$Y:$Y,$H73)&amp;"",IF($I73&lt;&gt;"",INDEX('Form Calc'!$C:$C,$I73)&amp;"",""))</f>
        <v/>
      </c>
      <c r="E73" s="69">
        <f>IF($H73&lt;&gt;"",IF(INDEX(Guests!$N:$N,$H73)="","",INDEX(Guests!$N:$N,$H73)),"")</f>
        <v/>
      </c>
      <c r="F73" s="67">
        <f>IF($H73&lt;&gt;"",INDEX(Guests!$E:$E,$H73)&amp;"","")</f>
        <v/>
      </c>
      <c r="G73" s="67">
        <f>IF($H73&lt;&gt;"","Guest list",IF($I73&lt;&gt;"","RSVP form",""))</f>
        <v/>
      </c>
      <c r="H73" s="32">
        <f>IF(65&lt;=Guests!$AG$505,MATCH(65,Guests!$AH:$AH,0),"")</f>
        <v/>
      </c>
      <c r="I73" s="32">
        <f>IF(AND(65&gt;Guests!$AG$505,65&lt;=Guests!$AG$505+'Form Calc'!$AB$601),MATCH(65-Guests!$AG$505,'Form Calc'!$AC:$AC,0),"")</f>
        <v/>
      </c>
    </row>
    <row r="74">
      <c r="A74" s="66">
        <f>IF($H74&lt;&gt;"",INDEX(Guests!$A:$A,$H74)&amp;"",IF($I74&lt;&gt;"",INDEX('Form Calc'!$B:$B,$I74)&amp;"",""))</f>
        <v/>
      </c>
      <c r="B74" s="67">
        <f>IF($H74&lt;&gt;"",INDEX(Guests!$B:$B,$H74)&amp;"",IF($I74&lt;&gt;"",INDEX('Form Calc'!$G:$G,$I74)&amp;"",""))</f>
        <v/>
      </c>
      <c r="C74" s="68">
        <f>IF($H74&lt;&gt;"",IF(INDEX(Guests!$AD:$AD,$H74)&lt;&gt;"",HYPERLINK(INDEX(Guests!$AD:$AD,$H74),"💬 Remind"),"add mobile"),IF($I74&lt;&gt;"",IF(INDEX('Form Calc'!$AG:$AG,$I74)&lt;&gt;"",HYPERLINK(INDEX('Form Calc'!$AG:$AG,$I74),"💬 Remind"),"add mobile"),""))</f>
        <v/>
      </c>
      <c r="D74" s="67">
        <f>IF($H74&lt;&gt;"",INDEX(Guests!$Y:$Y,$H74)&amp;"",IF($I74&lt;&gt;"",INDEX('Form Calc'!$C:$C,$I74)&amp;"",""))</f>
        <v/>
      </c>
      <c r="E74" s="69">
        <f>IF($H74&lt;&gt;"",IF(INDEX(Guests!$N:$N,$H74)="","",INDEX(Guests!$N:$N,$H74)),"")</f>
        <v/>
      </c>
      <c r="F74" s="67">
        <f>IF($H74&lt;&gt;"",INDEX(Guests!$E:$E,$H74)&amp;"","")</f>
        <v/>
      </c>
      <c r="G74" s="67">
        <f>IF($H74&lt;&gt;"","Guest list",IF($I74&lt;&gt;"","RSVP form",""))</f>
        <v/>
      </c>
      <c r="H74" s="32">
        <f>IF(66&lt;=Guests!$AG$505,MATCH(66,Guests!$AH:$AH,0),"")</f>
        <v/>
      </c>
      <c r="I74" s="32">
        <f>IF(AND(66&gt;Guests!$AG$505,66&lt;=Guests!$AG$505+'Form Calc'!$AB$601),MATCH(66-Guests!$AG$505,'Form Calc'!$AC:$AC,0),"")</f>
        <v/>
      </c>
    </row>
    <row r="75">
      <c r="A75" s="66">
        <f>IF($H75&lt;&gt;"",INDEX(Guests!$A:$A,$H75)&amp;"",IF($I75&lt;&gt;"",INDEX('Form Calc'!$B:$B,$I75)&amp;"",""))</f>
        <v/>
      </c>
      <c r="B75" s="67">
        <f>IF($H75&lt;&gt;"",INDEX(Guests!$B:$B,$H75)&amp;"",IF($I75&lt;&gt;"",INDEX('Form Calc'!$G:$G,$I75)&amp;"",""))</f>
        <v/>
      </c>
      <c r="C75" s="68">
        <f>IF($H75&lt;&gt;"",IF(INDEX(Guests!$AD:$AD,$H75)&lt;&gt;"",HYPERLINK(INDEX(Guests!$AD:$AD,$H75),"💬 Remind"),"add mobile"),IF($I75&lt;&gt;"",IF(INDEX('Form Calc'!$AG:$AG,$I75)&lt;&gt;"",HYPERLINK(INDEX('Form Calc'!$AG:$AG,$I75),"💬 Remind"),"add mobile"),""))</f>
        <v/>
      </c>
      <c r="D75" s="67">
        <f>IF($H75&lt;&gt;"",INDEX(Guests!$Y:$Y,$H75)&amp;"",IF($I75&lt;&gt;"",INDEX('Form Calc'!$C:$C,$I75)&amp;"",""))</f>
        <v/>
      </c>
      <c r="E75" s="69">
        <f>IF($H75&lt;&gt;"",IF(INDEX(Guests!$N:$N,$H75)="","",INDEX(Guests!$N:$N,$H75)),"")</f>
        <v/>
      </c>
      <c r="F75" s="67">
        <f>IF($H75&lt;&gt;"",INDEX(Guests!$E:$E,$H75)&amp;"","")</f>
        <v/>
      </c>
      <c r="G75" s="67">
        <f>IF($H75&lt;&gt;"","Guest list",IF($I75&lt;&gt;"","RSVP form",""))</f>
        <v/>
      </c>
      <c r="H75" s="32">
        <f>IF(67&lt;=Guests!$AG$505,MATCH(67,Guests!$AH:$AH,0),"")</f>
        <v/>
      </c>
      <c r="I75" s="32">
        <f>IF(AND(67&gt;Guests!$AG$505,67&lt;=Guests!$AG$505+'Form Calc'!$AB$601),MATCH(67-Guests!$AG$505,'Form Calc'!$AC:$AC,0),"")</f>
        <v/>
      </c>
    </row>
    <row r="76">
      <c r="A76" s="66">
        <f>IF($H76&lt;&gt;"",INDEX(Guests!$A:$A,$H76)&amp;"",IF($I76&lt;&gt;"",INDEX('Form Calc'!$B:$B,$I76)&amp;"",""))</f>
        <v/>
      </c>
      <c r="B76" s="67">
        <f>IF($H76&lt;&gt;"",INDEX(Guests!$B:$B,$H76)&amp;"",IF($I76&lt;&gt;"",INDEX('Form Calc'!$G:$G,$I76)&amp;"",""))</f>
        <v/>
      </c>
      <c r="C76" s="68">
        <f>IF($H76&lt;&gt;"",IF(INDEX(Guests!$AD:$AD,$H76)&lt;&gt;"",HYPERLINK(INDEX(Guests!$AD:$AD,$H76),"💬 Remind"),"add mobile"),IF($I76&lt;&gt;"",IF(INDEX('Form Calc'!$AG:$AG,$I76)&lt;&gt;"",HYPERLINK(INDEX('Form Calc'!$AG:$AG,$I76),"💬 Remind"),"add mobile"),""))</f>
        <v/>
      </c>
      <c r="D76" s="67">
        <f>IF($H76&lt;&gt;"",INDEX(Guests!$Y:$Y,$H76)&amp;"",IF($I76&lt;&gt;"",INDEX('Form Calc'!$C:$C,$I76)&amp;"",""))</f>
        <v/>
      </c>
      <c r="E76" s="69">
        <f>IF($H76&lt;&gt;"",IF(INDEX(Guests!$N:$N,$H76)="","",INDEX(Guests!$N:$N,$H76)),"")</f>
        <v/>
      </c>
      <c r="F76" s="67">
        <f>IF($H76&lt;&gt;"",INDEX(Guests!$E:$E,$H76)&amp;"","")</f>
        <v/>
      </c>
      <c r="G76" s="67">
        <f>IF($H76&lt;&gt;"","Guest list",IF($I76&lt;&gt;"","RSVP form",""))</f>
        <v/>
      </c>
      <c r="H76" s="32">
        <f>IF(68&lt;=Guests!$AG$505,MATCH(68,Guests!$AH:$AH,0),"")</f>
        <v/>
      </c>
      <c r="I76" s="32">
        <f>IF(AND(68&gt;Guests!$AG$505,68&lt;=Guests!$AG$505+'Form Calc'!$AB$601),MATCH(68-Guests!$AG$505,'Form Calc'!$AC:$AC,0),"")</f>
        <v/>
      </c>
    </row>
    <row r="77">
      <c r="A77" s="66">
        <f>IF($H77&lt;&gt;"",INDEX(Guests!$A:$A,$H77)&amp;"",IF($I77&lt;&gt;"",INDEX('Form Calc'!$B:$B,$I77)&amp;"",""))</f>
        <v/>
      </c>
      <c r="B77" s="67">
        <f>IF($H77&lt;&gt;"",INDEX(Guests!$B:$B,$H77)&amp;"",IF($I77&lt;&gt;"",INDEX('Form Calc'!$G:$G,$I77)&amp;"",""))</f>
        <v/>
      </c>
      <c r="C77" s="68">
        <f>IF($H77&lt;&gt;"",IF(INDEX(Guests!$AD:$AD,$H77)&lt;&gt;"",HYPERLINK(INDEX(Guests!$AD:$AD,$H77),"💬 Remind"),"add mobile"),IF($I77&lt;&gt;"",IF(INDEX('Form Calc'!$AG:$AG,$I77)&lt;&gt;"",HYPERLINK(INDEX('Form Calc'!$AG:$AG,$I77),"💬 Remind"),"add mobile"),""))</f>
        <v/>
      </c>
      <c r="D77" s="67">
        <f>IF($H77&lt;&gt;"",INDEX(Guests!$Y:$Y,$H77)&amp;"",IF($I77&lt;&gt;"",INDEX('Form Calc'!$C:$C,$I77)&amp;"",""))</f>
        <v/>
      </c>
      <c r="E77" s="69">
        <f>IF($H77&lt;&gt;"",IF(INDEX(Guests!$N:$N,$H77)="","",INDEX(Guests!$N:$N,$H77)),"")</f>
        <v/>
      </c>
      <c r="F77" s="67">
        <f>IF($H77&lt;&gt;"",INDEX(Guests!$E:$E,$H77)&amp;"","")</f>
        <v/>
      </c>
      <c r="G77" s="67">
        <f>IF($H77&lt;&gt;"","Guest list",IF($I77&lt;&gt;"","RSVP form",""))</f>
        <v/>
      </c>
      <c r="H77" s="32">
        <f>IF(69&lt;=Guests!$AG$505,MATCH(69,Guests!$AH:$AH,0),"")</f>
        <v/>
      </c>
      <c r="I77" s="32">
        <f>IF(AND(69&gt;Guests!$AG$505,69&lt;=Guests!$AG$505+'Form Calc'!$AB$601),MATCH(69-Guests!$AG$505,'Form Calc'!$AC:$AC,0),"")</f>
        <v/>
      </c>
    </row>
    <row r="78">
      <c r="A78" s="66">
        <f>IF($H78&lt;&gt;"",INDEX(Guests!$A:$A,$H78)&amp;"",IF($I78&lt;&gt;"",INDEX('Form Calc'!$B:$B,$I78)&amp;"",""))</f>
        <v/>
      </c>
      <c r="B78" s="67">
        <f>IF($H78&lt;&gt;"",INDEX(Guests!$B:$B,$H78)&amp;"",IF($I78&lt;&gt;"",INDEX('Form Calc'!$G:$G,$I78)&amp;"",""))</f>
        <v/>
      </c>
      <c r="C78" s="68">
        <f>IF($H78&lt;&gt;"",IF(INDEX(Guests!$AD:$AD,$H78)&lt;&gt;"",HYPERLINK(INDEX(Guests!$AD:$AD,$H78),"💬 Remind"),"add mobile"),IF($I78&lt;&gt;"",IF(INDEX('Form Calc'!$AG:$AG,$I78)&lt;&gt;"",HYPERLINK(INDEX('Form Calc'!$AG:$AG,$I78),"💬 Remind"),"add mobile"),""))</f>
        <v/>
      </c>
      <c r="D78" s="67">
        <f>IF($H78&lt;&gt;"",INDEX(Guests!$Y:$Y,$H78)&amp;"",IF($I78&lt;&gt;"",INDEX('Form Calc'!$C:$C,$I78)&amp;"",""))</f>
        <v/>
      </c>
      <c r="E78" s="69">
        <f>IF($H78&lt;&gt;"",IF(INDEX(Guests!$N:$N,$H78)="","",INDEX(Guests!$N:$N,$H78)),"")</f>
        <v/>
      </c>
      <c r="F78" s="67">
        <f>IF($H78&lt;&gt;"",INDEX(Guests!$E:$E,$H78)&amp;"","")</f>
        <v/>
      </c>
      <c r="G78" s="67">
        <f>IF($H78&lt;&gt;"","Guest list",IF($I78&lt;&gt;"","RSVP form",""))</f>
        <v/>
      </c>
      <c r="H78" s="32">
        <f>IF(70&lt;=Guests!$AG$505,MATCH(70,Guests!$AH:$AH,0),"")</f>
        <v/>
      </c>
      <c r="I78" s="32">
        <f>IF(AND(70&gt;Guests!$AG$505,70&lt;=Guests!$AG$505+'Form Calc'!$AB$601),MATCH(70-Guests!$AG$505,'Form Calc'!$AC:$AC,0),"")</f>
        <v/>
      </c>
    </row>
    <row r="79">
      <c r="A79" s="66">
        <f>IF($H79&lt;&gt;"",INDEX(Guests!$A:$A,$H79)&amp;"",IF($I79&lt;&gt;"",INDEX('Form Calc'!$B:$B,$I79)&amp;"",""))</f>
        <v/>
      </c>
      <c r="B79" s="67">
        <f>IF($H79&lt;&gt;"",INDEX(Guests!$B:$B,$H79)&amp;"",IF($I79&lt;&gt;"",INDEX('Form Calc'!$G:$G,$I79)&amp;"",""))</f>
        <v/>
      </c>
      <c r="C79" s="68">
        <f>IF($H79&lt;&gt;"",IF(INDEX(Guests!$AD:$AD,$H79)&lt;&gt;"",HYPERLINK(INDEX(Guests!$AD:$AD,$H79),"💬 Remind"),"add mobile"),IF($I79&lt;&gt;"",IF(INDEX('Form Calc'!$AG:$AG,$I79)&lt;&gt;"",HYPERLINK(INDEX('Form Calc'!$AG:$AG,$I79),"💬 Remind"),"add mobile"),""))</f>
        <v/>
      </c>
      <c r="D79" s="67">
        <f>IF($H79&lt;&gt;"",INDEX(Guests!$Y:$Y,$H79)&amp;"",IF($I79&lt;&gt;"",INDEX('Form Calc'!$C:$C,$I79)&amp;"",""))</f>
        <v/>
      </c>
      <c r="E79" s="69">
        <f>IF($H79&lt;&gt;"",IF(INDEX(Guests!$N:$N,$H79)="","",INDEX(Guests!$N:$N,$H79)),"")</f>
        <v/>
      </c>
      <c r="F79" s="67">
        <f>IF($H79&lt;&gt;"",INDEX(Guests!$E:$E,$H79)&amp;"","")</f>
        <v/>
      </c>
      <c r="G79" s="67">
        <f>IF($H79&lt;&gt;"","Guest list",IF($I79&lt;&gt;"","RSVP form",""))</f>
        <v/>
      </c>
      <c r="H79" s="32">
        <f>IF(71&lt;=Guests!$AG$505,MATCH(71,Guests!$AH:$AH,0),"")</f>
        <v/>
      </c>
      <c r="I79" s="32">
        <f>IF(AND(71&gt;Guests!$AG$505,71&lt;=Guests!$AG$505+'Form Calc'!$AB$601),MATCH(71-Guests!$AG$505,'Form Calc'!$AC:$AC,0),"")</f>
        <v/>
      </c>
    </row>
    <row r="80">
      <c r="A80" s="66">
        <f>IF($H80&lt;&gt;"",INDEX(Guests!$A:$A,$H80)&amp;"",IF($I80&lt;&gt;"",INDEX('Form Calc'!$B:$B,$I80)&amp;"",""))</f>
        <v/>
      </c>
      <c r="B80" s="67">
        <f>IF($H80&lt;&gt;"",INDEX(Guests!$B:$B,$H80)&amp;"",IF($I80&lt;&gt;"",INDEX('Form Calc'!$G:$G,$I80)&amp;"",""))</f>
        <v/>
      </c>
      <c r="C80" s="68">
        <f>IF($H80&lt;&gt;"",IF(INDEX(Guests!$AD:$AD,$H80)&lt;&gt;"",HYPERLINK(INDEX(Guests!$AD:$AD,$H80),"💬 Remind"),"add mobile"),IF($I80&lt;&gt;"",IF(INDEX('Form Calc'!$AG:$AG,$I80)&lt;&gt;"",HYPERLINK(INDEX('Form Calc'!$AG:$AG,$I80),"💬 Remind"),"add mobile"),""))</f>
        <v/>
      </c>
      <c r="D80" s="67">
        <f>IF($H80&lt;&gt;"",INDEX(Guests!$Y:$Y,$H80)&amp;"",IF($I80&lt;&gt;"",INDEX('Form Calc'!$C:$C,$I80)&amp;"",""))</f>
        <v/>
      </c>
      <c r="E80" s="69">
        <f>IF($H80&lt;&gt;"",IF(INDEX(Guests!$N:$N,$H80)="","",INDEX(Guests!$N:$N,$H80)),"")</f>
        <v/>
      </c>
      <c r="F80" s="67">
        <f>IF($H80&lt;&gt;"",INDEX(Guests!$E:$E,$H80)&amp;"","")</f>
        <v/>
      </c>
      <c r="G80" s="67">
        <f>IF($H80&lt;&gt;"","Guest list",IF($I80&lt;&gt;"","RSVP form",""))</f>
        <v/>
      </c>
      <c r="H80" s="32">
        <f>IF(72&lt;=Guests!$AG$505,MATCH(72,Guests!$AH:$AH,0),"")</f>
        <v/>
      </c>
      <c r="I80" s="32">
        <f>IF(AND(72&gt;Guests!$AG$505,72&lt;=Guests!$AG$505+'Form Calc'!$AB$601),MATCH(72-Guests!$AG$505,'Form Calc'!$AC:$AC,0),"")</f>
        <v/>
      </c>
    </row>
    <row r="81">
      <c r="A81" s="66">
        <f>IF($H81&lt;&gt;"",INDEX(Guests!$A:$A,$H81)&amp;"",IF($I81&lt;&gt;"",INDEX('Form Calc'!$B:$B,$I81)&amp;"",""))</f>
        <v/>
      </c>
      <c r="B81" s="67">
        <f>IF($H81&lt;&gt;"",INDEX(Guests!$B:$B,$H81)&amp;"",IF($I81&lt;&gt;"",INDEX('Form Calc'!$G:$G,$I81)&amp;"",""))</f>
        <v/>
      </c>
      <c r="C81" s="68">
        <f>IF($H81&lt;&gt;"",IF(INDEX(Guests!$AD:$AD,$H81)&lt;&gt;"",HYPERLINK(INDEX(Guests!$AD:$AD,$H81),"💬 Remind"),"add mobile"),IF($I81&lt;&gt;"",IF(INDEX('Form Calc'!$AG:$AG,$I81)&lt;&gt;"",HYPERLINK(INDEX('Form Calc'!$AG:$AG,$I81),"💬 Remind"),"add mobile"),""))</f>
        <v/>
      </c>
      <c r="D81" s="67">
        <f>IF($H81&lt;&gt;"",INDEX(Guests!$Y:$Y,$H81)&amp;"",IF($I81&lt;&gt;"",INDEX('Form Calc'!$C:$C,$I81)&amp;"",""))</f>
        <v/>
      </c>
      <c r="E81" s="69">
        <f>IF($H81&lt;&gt;"",IF(INDEX(Guests!$N:$N,$H81)="","",INDEX(Guests!$N:$N,$H81)),"")</f>
        <v/>
      </c>
      <c r="F81" s="67">
        <f>IF($H81&lt;&gt;"",INDEX(Guests!$E:$E,$H81)&amp;"","")</f>
        <v/>
      </c>
      <c r="G81" s="67">
        <f>IF($H81&lt;&gt;"","Guest list",IF($I81&lt;&gt;"","RSVP form",""))</f>
        <v/>
      </c>
      <c r="H81" s="32">
        <f>IF(73&lt;=Guests!$AG$505,MATCH(73,Guests!$AH:$AH,0),"")</f>
        <v/>
      </c>
      <c r="I81" s="32">
        <f>IF(AND(73&gt;Guests!$AG$505,73&lt;=Guests!$AG$505+'Form Calc'!$AB$601),MATCH(73-Guests!$AG$505,'Form Calc'!$AC:$AC,0),"")</f>
        <v/>
      </c>
    </row>
    <row r="82">
      <c r="A82" s="66">
        <f>IF($H82&lt;&gt;"",INDEX(Guests!$A:$A,$H82)&amp;"",IF($I82&lt;&gt;"",INDEX('Form Calc'!$B:$B,$I82)&amp;"",""))</f>
        <v/>
      </c>
      <c r="B82" s="67">
        <f>IF($H82&lt;&gt;"",INDEX(Guests!$B:$B,$H82)&amp;"",IF($I82&lt;&gt;"",INDEX('Form Calc'!$G:$G,$I82)&amp;"",""))</f>
        <v/>
      </c>
      <c r="C82" s="68">
        <f>IF($H82&lt;&gt;"",IF(INDEX(Guests!$AD:$AD,$H82)&lt;&gt;"",HYPERLINK(INDEX(Guests!$AD:$AD,$H82),"💬 Remind"),"add mobile"),IF($I82&lt;&gt;"",IF(INDEX('Form Calc'!$AG:$AG,$I82)&lt;&gt;"",HYPERLINK(INDEX('Form Calc'!$AG:$AG,$I82),"💬 Remind"),"add mobile"),""))</f>
        <v/>
      </c>
      <c r="D82" s="67">
        <f>IF($H82&lt;&gt;"",INDEX(Guests!$Y:$Y,$H82)&amp;"",IF($I82&lt;&gt;"",INDEX('Form Calc'!$C:$C,$I82)&amp;"",""))</f>
        <v/>
      </c>
      <c r="E82" s="69">
        <f>IF($H82&lt;&gt;"",IF(INDEX(Guests!$N:$N,$H82)="","",INDEX(Guests!$N:$N,$H82)),"")</f>
        <v/>
      </c>
      <c r="F82" s="67">
        <f>IF($H82&lt;&gt;"",INDEX(Guests!$E:$E,$H82)&amp;"","")</f>
        <v/>
      </c>
      <c r="G82" s="67">
        <f>IF($H82&lt;&gt;"","Guest list",IF($I82&lt;&gt;"","RSVP form",""))</f>
        <v/>
      </c>
      <c r="H82" s="32">
        <f>IF(74&lt;=Guests!$AG$505,MATCH(74,Guests!$AH:$AH,0),"")</f>
        <v/>
      </c>
      <c r="I82" s="32">
        <f>IF(AND(74&gt;Guests!$AG$505,74&lt;=Guests!$AG$505+'Form Calc'!$AB$601),MATCH(74-Guests!$AG$505,'Form Calc'!$AC:$AC,0),"")</f>
        <v/>
      </c>
    </row>
    <row r="83">
      <c r="A83" s="66">
        <f>IF($H83&lt;&gt;"",INDEX(Guests!$A:$A,$H83)&amp;"",IF($I83&lt;&gt;"",INDEX('Form Calc'!$B:$B,$I83)&amp;"",""))</f>
        <v/>
      </c>
      <c r="B83" s="67">
        <f>IF($H83&lt;&gt;"",INDEX(Guests!$B:$B,$H83)&amp;"",IF($I83&lt;&gt;"",INDEX('Form Calc'!$G:$G,$I83)&amp;"",""))</f>
        <v/>
      </c>
      <c r="C83" s="68">
        <f>IF($H83&lt;&gt;"",IF(INDEX(Guests!$AD:$AD,$H83)&lt;&gt;"",HYPERLINK(INDEX(Guests!$AD:$AD,$H83),"💬 Remind"),"add mobile"),IF($I83&lt;&gt;"",IF(INDEX('Form Calc'!$AG:$AG,$I83)&lt;&gt;"",HYPERLINK(INDEX('Form Calc'!$AG:$AG,$I83),"💬 Remind"),"add mobile"),""))</f>
        <v/>
      </c>
      <c r="D83" s="67">
        <f>IF($H83&lt;&gt;"",INDEX(Guests!$Y:$Y,$H83)&amp;"",IF($I83&lt;&gt;"",INDEX('Form Calc'!$C:$C,$I83)&amp;"",""))</f>
        <v/>
      </c>
      <c r="E83" s="69">
        <f>IF($H83&lt;&gt;"",IF(INDEX(Guests!$N:$N,$H83)="","",INDEX(Guests!$N:$N,$H83)),"")</f>
        <v/>
      </c>
      <c r="F83" s="67">
        <f>IF($H83&lt;&gt;"",INDEX(Guests!$E:$E,$H83)&amp;"","")</f>
        <v/>
      </c>
      <c r="G83" s="67">
        <f>IF($H83&lt;&gt;"","Guest list",IF($I83&lt;&gt;"","RSVP form",""))</f>
        <v/>
      </c>
      <c r="H83" s="32">
        <f>IF(75&lt;=Guests!$AG$505,MATCH(75,Guests!$AH:$AH,0),"")</f>
        <v/>
      </c>
      <c r="I83" s="32">
        <f>IF(AND(75&gt;Guests!$AG$505,75&lt;=Guests!$AG$505+'Form Calc'!$AB$601),MATCH(75-Guests!$AG$505,'Form Calc'!$AC:$AC,0),"")</f>
        <v/>
      </c>
    </row>
    <row r="84">
      <c r="A84" s="66">
        <f>IF($H84&lt;&gt;"",INDEX(Guests!$A:$A,$H84)&amp;"",IF($I84&lt;&gt;"",INDEX('Form Calc'!$B:$B,$I84)&amp;"",""))</f>
        <v/>
      </c>
      <c r="B84" s="67">
        <f>IF($H84&lt;&gt;"",INDEX(Guests!$B:$B,$H84)&amp;"",IF($I84&lt;&gt;"",INDEX('Form Calc'!$G:$G,$I84)&amp;"",""))</f>
        <v/>
      </c>
      <c r="C84" s="68">
        <f>IF($H84&lt;&gt;"",IF(INDEX(Guests!$AD:$AD,$H84)&lt;&gt;"",HYPERLINK(INDEX(Guests!$AD:$AD,$H84),"💬 Remind"),"add mobile"),IF($I84&lt;&gt;"",IF(INDEX('Form Calc'!$AG:$AG,$I84)&lt;&gt;"",HYPERLINK(INDEX('Form Calc'!$AG:$AG,$I84),"💬 Remind"),"add mobile"),""))</f>
        <v/>
      </c>
      <c r="D84" s="67">
        <f>IF($H84&lt;&gt;"",INDEX(Guests!$Y:$Y,$H84)&amp;"",IF($I84&lt;&gt;"",INDEX('Form Calc'!$C:$C,$I84)&amp;"",""))</f>
        <v/>
      </c>
      <c r="E84" s="69">
        <f>IF($H84&lt;&gt;"",IF(INDEX(Guests!$N:$N,$H84)="","",INDEX(Guests!$N:$N,$H84)),"")</f>
        <v/>
      </c>
      <c r="F84" s="67">
        <f>IF($H84&lt;&gt;"",INDEX(Guests!$E:$E,$H84)&amp;"","")</f>
        <v/>
      </c>
      <c r="G84" s="67">
        <f>IF($H84&lt;&gt;"","Guest list",IF($I84&lt;&gt;"","RSVP form",""))</f>
        <v/>
      </c>
      <c r="H84" s="32">
        <f>IF(76&lt;=Guests!$AG$505,MATCH(76,Guests!$AH:$AH,0),"")</f>
        <v/>
      </c>
      <c r="I84" s="32">
        <f>IF(AND(76&gt;Guests!$AG$505,76&lt;=Guests!$AG$505+'Form Calc'!$AB$601),MATCH(76-Guests!$AG$505,'Form Calc'!$AC:$AC,0),"")</f>
        <v/>
      </c>
    </row>
    <row r="85">
      <c r="A85" s="66">
        <f>IF($H85&lt;&gt;"",INDEX(Guests!$A:$A,$H85)&amp;"",IF($I85&lt;&gt;"",INDEX('Form Calc'!$B:$B,$I85)&amp;"",""))</f>
        <v/>
      </c>
      <c r="B85" s="67">
        <f>IF($H85&lt;&gt;"",INDEX(Guests!$B:$B,$H85)&amp;"",IF($I85&lt;&gt;"",INDEX('Form Calc'!$G:$G,$I85)&amp;"",""))</f>
        <v/>
      </c>
      <c r="C85" s="68">
        <f>IF($H85&lt;&gt;"",IF(INDEX(Guests!$AD:$AD,$H85)&lt;&gt;"",HYPERLINK(INDEX(Guests!$AD:$AD,$H85),"💬 Remind"),"add mobile"),IF($I85&lt;&gt;"",IF(INDEX('Form Calc'!$AG:$AG,$I85)&lt;&gt;"",HYPERLINK(INDEX('Form Calc'!$AG:$AG,$I85),"💬 Remind"),"add mobile"),""))</f>
        <v/>
      </c>
      <c r="D85" s="67">
        <f>IF($H85&lt;&gt;"",INDEX(Guests!$Y:$Y,$H85)&amp;"",IF($I85&lt;&gt;"",INDEX('Form Calc'!$C:$C,$I85)&amp;"",""))</f>
        <v/>
      </c>
      <c r="E85" s="69">
        <f>IF($H85&lt;&gt;"",IF(INDEX(Guests!$N:$N,$H85)="","",INDEX(Guests!$N:$N,$H85)),"")</f>
        <v/>
      </c>
      <c r="F85" s="67">
        <f>IF($H85&lt;&gt;"",INDEX(Guests!$E:$E,$H85)&amp;"","")</f>
        <v/>
      </c>
      <c r="G85" s="67">
        <f>IF($H85&lt;&gt;"","Guest list",IF($I85&lt;&gt;"","RSVP form",""))</f>
        <v/>
      </c>
      <c r="H85" s="32">
        <f>IF(77&lt;=Guests!$AG$505,MATCH(77,Guests!$AH:$AH,0),"")</f>
        <v/>
      </c>
      <c r="I85" s="32">
        <f>IF(AND(77&gt;Guests!$AG$505,77&lt;=Guests!$AG$505+'Form Calc'!$AB$601),MATCH(77-Guests!$AG$505,'Form Calc'!$AC:$AC,0),"")</f>
        <v/>
      </c>
    </row>
    <row r="86">
      <c r="A86" s="66">
        <f>IF($H86&lt;&gt;"",INDEX(Guests!$A:$A,$H86)&amp;"",IF($I86&lt;&gt;"",INDEX('Form Calc'!$B:$B,$I86)&amp;"",""))</f>
        <v/>
      </c>
      <c r="B86" s="67">
        <f>IF($H86&lt;&gt;"",INDEX(Guests!$B:$B,$H86)&amp;"",IF($I86&lt;&gt;"",INDEX('Form Calc'!$G:$G,$I86)&amp;"",""))</f>
        <v/>
      </c>
      <c r="C86" s="68">
        <f>IF($H86&lt;&gt;"",IF(INDEX(Guests!$AD:$AD,$H86)&lt;&gt;"",HYPERLINK(INDEX(Guests!$AD:$AD,$H86),"💬 Remind"),"add mobile"),IF($I86&lt;&gt;"",IF(INDEX('Form Calc'!$AG:$AG,$I86)&lt;&gt;"",HYPERLINK(INDEX('Form Calc'!$AG:$AG,$I86),"💬 Remind"),"add mobile"),""))</f>
        <v/>
      </c>
      <c r="D86" s="67">
        <f>IF($H86&lt;&gt;"",INDEX(Guests!$Y:$Y,$H86)&amp;"",IF($I86&lt;&gt;"",INDEX('Form Calc'!$C:$C,$I86)&amp;"",""))</f>
        <v/>
      </c>
      <c r="E86" s="69">
        <f>IF($H86&lt;&gt;"",IF(INDEX(Guests!$N:$N,$H86)="","",INDEX(Guests!$N:$N,$H86)),"")</f>
        <v/>
      </c>
      <c r="F86" s="67">
        <f>IF($H86&lt;&gt;"",INDEX(Guests!$E:$E,$H86)&amp;"","")</f>
        <v/>
      </c>
      <c r="G86" s="67">
        <f>IF($H86&lt;&gt;"","Guest list",IF($I86&lt;&gt;"","RSVP form",""))</f>
        <v/>
      </c>
      <c r="H86" s="32">
        <f>IF(78&lt;=Guests!$AG$505,MATCH(78,Guests!$AH:$AH,0),"")</f>
        <v/>
      </c>
      <c r="I86" s="32">
        <f>IF(AND(78&gt;Guests!$AG$505,78&lt;=Guests!$AG$505+'Form Calc'!$AB$601),MATCH(78-Guests!$AG$505,'Form Calc'!$AC:$AC,0),"")</f>
        <v/>
      </c>
    </row>
    <row r="87">
      <c r="A87" s="66">
        <f>IF($H87&lt;&gt;"",INDEX(Guests!$A:$A,$H87)&amp;"",IF($I87&lt;&gt;"",INDEX('Form Calc'!$B:$B,$I87)&amp;"",""))</f>
        <v/>
      </c>
      <c r="B87" s="67">
        <f>IF($H87&lt;&gt;"",INDEX(Guests!$B:$B,$H87)&amp;"",IF($I87&lt;&gt;"",INDEX('Form Calc'!$G:$G,$I87)&amp;"",""))</f>
        <v/>
      </c>
      <c r="C87" s="68">
        <f>IF($H87&lt;&gt;"",IF(INDEX(Guests!$AD:$AD,$H87)&lt;&gt;"",HYPERLINK(INDEX(Guests!$AD:$AD,$H87),"💬 Remind"),"add mobile"),IF($I87&lt;&gt;"",IF(INDEX('Form Calc'!$AG:$AG,$I87)&lt;&gt;"",HYPERLINK(INDEX('Form Calc'!$AG:$AG,$I87),"💬 Remind"),"add mobile"),""))</f>
        <v/>
      </c>
      <c r="D87" s="67">
        <f>IF($H87&lt;&gt;"",INDEX(Guests!$Y:$Y,$H87)&amp;"",IF($I87&lt;&gt;"",INDEX('Form Calc'!$C:$C,$I87)&amp;"",""))</f>
        <v/>
      </c>
      <c r="E87" s="69">
        <f>IF($H87&lt;&gt;"",IF(INDEX(Guests!$N:$N,$H87)="","",INDEX(Guests!$N:$N,$H87)),"")</f>
        <v/>
      </c>
      <c r="F87" s="67">
        <f>IF($H87&lt;&gt;"",INDEX(Guests!$E:$E,$H87)&amp;"","")</f>
        <v/>
      </c>
      <c r="G87" s="67">
        <f>IF($H87&lt;&gt;"","Guest list",IF($I87&lt;&gt;"","RSVP form",""))</f>
        <v/>
      </c>
      <c r="H87" s="32">
        <f>IF(79&lt;=Guests!$AG$505,MATCH(79,Guests!$AH:$AH,0),"")</f>
        <v/>
      </c>
      <c r="I87" s="32">
        <f>IF(AND(79&gt;Guests!$AG$505,79&lt;=Guests!$AG$505+'Form Calc'!$AB$601),MATCH(79-Guests!$AG$505,'Form Calc'!$AC:$AC,0),"")</f>
        <v/>
      </c>
    </row>
    <row r="88">
      <c r="A88" s="66">
        <f>IF($H88&lt;&gt;"",INDEX(Guests!$A:$A,$H88)&amp;"",IF($I88&lt;&gt;"",INDEX('Form Calc'!$B:$B,$I88)&amp;"",""))</f>
        <v/>
      </c>
      <c r="B88" s="67">
        <f>IF($H88&lt;&gt;"",INDEX(Guests!$B:$B,$H88)&amp;"",IF($I88&lt;&gt;"",INDEX('Form Calc'!$G:$G,$I88)&amp;"",""))</f>
        <v/>
      </c>
      <c r="C88" s="68">
        <f>IF($H88&lt;&gt;"",IF(INDEX(Guests!$AD:$AD,$H88)&lt;&gt;"",HYPERLINK(INDEX(Guests!$AD:$AD,$H88),"💬 Remind"),"add mobile"),IF($I88&lt;&gt;"",IF(INDEX('Form Calc'!$AG:$AG,$I88)&lt;&gt;"",HYPERLINK(INDEX('Form Calc'!$AG:$AG,$I88),"💬 Remind"),"add mobile"),""))</f>
        <v/>
      </c>
      <c r="D88" s="67">
        <f>IF($H88&lt;&gt;"",INDEX(Guests!$Y:$Y,$H88)&amp;"",IF($I88&lt;&gt;"",INDEX('Form Calc'!$C:$C,$I88)&amp;"",""))</f>
        <v/>
      </c>
      <c r="E88" s="69">
        <f>IF($H88&lt;&gt;"",IF(INDEX(Guests!$N:$N,$H88)="","",INDEX(Guests!$N:$N,$H88)),"")</f>
        <v/>
      </c>
      <c r="F88" s="67">
        <f>IF($H88&lt;&gt;"",INDEX(Guests!$E:$E,$H88)&amp;"","")</f>
        <v/>
      </c>
      <c r="G88" s="67">
        <f>IF($H88&lt;&gt;"","Guest list",IF($I88&lt;&gt;"","RSVP form",""))</f>
        <v/>
      </c>
      <c r="H88" s="32">
        <f>IF(80&lt;=Guests!$AG$505,MATCH(80,Guests!$AH:$AH,0),"")</f>
        <v/>
      </c>
      <c r="I88" s="32">
        <f>IF(AND(80&gt;Guests!$AG$505,80&lt;=Guests!$AG$505+'Form Calc'!$AB$601),MATCH(80-Guests!$AG$505,'Form Calc'!$AC:$AC,0),"")</f>
        <v/>
      </c>
    </row>
    <row r="89">
      <c r="A89" s="66">
        <f>IF($H89&lt;&gt;"",INDEX(Guests!$A:$A,$H89)&amp;"",IF($I89&lt;&gt;"",INDEX('Form Calc'!$B:$B,$I89)&amp;"",""))</f>
        <v/>
      </c>
      <c r="B89" s="67">
        <f>IF($H89&lt;&gt;"",INDEX(Guests!$B:$B,$H89)&amp;"",IF($I89&lt;&gt;"",INDEX('Form Calc'!$G:$G,$I89)&amp;"",""))</f>
        <v/>
      </c>
      <c r="C89" s="68">
        <f>IF($H89&lt;&gt;"",IF(INDEX(Guests!$AD:$AD,$H89)&lt;&gt;"",HYPERLINK(INDEX(Guests!$AD:$AD,$H89),"💬 Remind"),"add mobile"),IF($I89&lt;&gt;"",IF(INDEX('Form Calc'!$AG:$AG,$I89)&lt;&gt;"",HYPERLINK(INDEX('Form Calc'!$AG:$AG,$I89),"💬 Remind"),"add mobile"),""))</f>
        <v/>
      </c>
      <c r="D89" s="67">
        <f>IF($H89&lt;&gt;"",INDEX(Guests!$Y:$Y,$H89)&amp;"",IF($I89&lt;&gt;"",INDEX('Form Calc'!$C:$C,$I89)&amp;"",""))</f>
        <v/>
      </c>
      <c r="E89" s="69">
        <f>IF($H89&lt;&gt;"",IF(INDEX(Guests!$N:$N,$H89)="","",INDEX(Guests!$N:$N,$H89)),"")</f>
        <v/>
      </c>
      <c r="F89" s="67">
        <f>IF($H89&lt;&gt;"",INDEX(Guests!$E:$E,$H89)&amp;"","")</f>
        <v/>
      </c>
      <c r="G89" s="67">
        <f>IF($H89&lt;&gt;"","Guest list",IF($I89&lt;&gt;"","RSVP form",""))</f>
        <v/>
      </c>
      <c r="H89" s="32">
        <f>IF(81&lt;=Guests!$AG$505,MATCH(81,Guests!$AH:$AH,0),"")</f>
        <v/>
      </c>
      <c r="I89" s="32">
        <f>IF(AND(81&gt;Guests!$AG$505,81&lt;=Guests!$AG$505+'Form Calc'!$AB$601),MATCH(81-Guests!$AG$505,'Form Calc'!$AC:$AC,0),"")</f>
        <v/>
      </c>
    </row>
    <row r="90">
      <c r="A90" s="66">
        <f>IF($H90&lt;&gt;"",INDEX(Guests!$A:$A,$H90)&amp;"",IF($I90&lt;&gt;"",INDEX('Form Calc'!$B:$B,$I90)&amp;"",""))</f>
        <v/>
      </c>
      <c r="B90" s="67">
        <f>IF($H90&lt;&gt;"",INDEX(Guests!$B:$B,$H90)&amp;"",IF($I90&lt;&gt;"",INDEX('Form Calc'!$G:$G,$I90)&amp;"",""))</f>
        <v/>
      </c>
      <c r="C90" s="68">
        <f>IF($H90&lt;&gt;"",IF(INDEX(Guests!$AD:$AD,$H90)&lt;&gt;"",HYPERLINK(INDEX(Guests!$AD:$AD,$H90),"💬 Remind"),"add mobile"),IF($I90&lt;&gt;"",IF(INDEX('Form Calc'!$AG:$AG,$I90)&lt;&gt;"",HYPERLINK(INDEX('Form Calc'!$AG:$AG,$I90),"💬 Remind"),"add mobile"),""))</f>
        <v/>
      </c>
      <c r="D90" s="67">
        <f>IF($H90&lt;&gt;"",INDEX(Guests!$Y:$Y,$H90)&amp;"",IF($I90&lt;&gt;"",INDEX('Form Calc'!$C:$C,$I90)&amp;"",""))</f>
        <v/>
      </c>
      <c r="E90" s="69">
        <f>IF($H90&lt;&gt;"",IF(INDEX(Guests!$N:$N,$H90)="","",INDEX(Guests!$N:$N,$H90)),"")</f>
        <v/>
      </c>
      <c r="F90" s="67">
        <f>IF($H90&lt;&gt;"",INDEX(Guests!$E:$E,$H90)&amp;"","")</f>
        <v/>
      </c>
      <c r="G90" s="67">
        <f>IF($H90&lt;&gt;"","Guest list",IF($I90&lt;&gt;"","RSVP form",""))</f>
        <v/>
      </c>
      <c r="H90" s="32">
        <f>IF(82&lt;=Guests!$AG$505,MATCH(82,Guests!$AH:$AH,0),"")</f>
        <v/>
      </c>
      <c r="I90" s="32">
        <f>IF(AND(82&gt;Guests!$AG$505,82&lt;=Guests!$AG$505+'Form Calc'!$AB$601),MATCH(82-Guests!$AG$505,'Form Calc'!$AC:$AC,0),"")</f>
        <v/>
      </c>
    </row>
    <row r="91">
      <c r="A91" s="66">
        <f>IF($H91&lt;&gt;"",INDEX(Guests!$A:$A,$H91)&amp;"",IF($I91&lt;&gt;"",INDEX('Form Calc'!$B:$B,$I91)&amp;"",""))</f>
        <v/>
      </c>
      <c r="B91" s="67">
        <f>IF($H91&lt;&gt;"",INDEX(Guests!$B:$B,$H91)&amp;"",IF($I91&lt;&gt;"",INDEX('Form Calc'!$G:$G,$I91)&amp;"",""))</f>
        <v/>
      </c>
      <c r="C91" s="68">
        <f>IF($H91&lt;&gt;"",IF(INDEX(Guests!$AD:$AD,$H91)&lt;&gt;"",HYPERLINK(INDEX(Guests!$AD:$AD,$H91),"💬 Remind"),"add mobile"),IF($I91&lt;&gt;"",IF(INDEX('Form Calc'!$AG:$AG,$I91)&lt;&gt;"",HYPERLINK(INDEX('Form Calc'!$AG:$AG,$I91),"💬 Remind"),"add mobile"),""))</f>
        <v/>
      </c>
      <c r="D91" s="67">
        <f>IF($H91&lt;&gt;"",INDEX(Guests!$Y:$Y,$H91)&amp;"",IF($I91&lt;&gt;"",INDEX('Form Calc'!$C:$C,$I91)&amp;"",""))</f>
        <v/>
      </c>
      <c r="E91" s="69">
        <f>IF($H91&lt;&gt;"",IF(INDEX(Guests!$N:$N,$H91)="","",INDEX(Guests!$N:$N,$H91)),"")</f>
        <v/>
      </c>
      <c r="F91" s="67">
        <f>IF($H91&lt;&gt;"",INDEX(Guests!$E:$E,$H91)&amp;"","")</f>
        <v/>
      </c>
      <c r="G91" s="67">
        <f>IF($H91&lt;&gt;"","Guest list",IF($I91&lt;&gt;"","RSVP form",""))</f>
        <v/>
      </c>
      <c r="H91" s="32">
        <f>IF(83&lt;=Guests!$AG$505,MATCH(83,Guests!$AH:$AH,0),"")</f>
        <v/>
      </c>
      <c r="I91" s="32">
        <f>IF(AND(83&gt;Guests!$AG$505,83&lt;=Guests!$AG$505+'Form Calc'!$AB$601),MATCH(83-Guests!$AG$505,'Form Calc'!$AC:$AC,0),"")</f>
        <v/>
      </c>
    </row>
    <row r="92">
      <c r="A92" s="66">
        <f>IF($H92&lt;&gt;"",INDEX(Guests!$A:$A,$H92)&amp;"",IF($I92&lt;&gt;"",INDEX('Form Calc'!$B:$B,$I92)&amp;"",""))</f>
        <v/>
      </c>
      <c r="B92" s="67">
        <f>IF($H92&lt;&gt;"",INDEX(Guests!$B:$B,$H92)&amp;"",IF($I92&lt;&gt;"",INDEX('Form Calc'!$G:$G,$I92)&amp;"",""))</f>
        <v/>
      </c>
      <c r="C92" s="68">
        <f>IF($H92&lt;&gt;"",IF(INDEX(Guests!$AD:$AD,$H92)&lt;&gt;"",HYPERLINK(INDEX(Guests!$AD:$AD,$H92),"💬 Remind"),"add mobile"),IF($I92&lt;&gt;"",IF(INDEX('Form Calc'!$AG:$AG,$I92)&lt;&gt;"",HYPERLINK(INDEX('Form Calc'!$AG:$AG,$I92),"💬 Remind"),"add mobile"),""))</f>
        <v/>
      </c>
      <c r="D92" s="67">
        <f>IF($H92&lt;&gt;"",INDEX(Guests!$Y:$Y,$H92)&amp;"",IF($I92&lt;&gt;"",INDEX('Form Calc'!$C:$C,$I92)&amp;"",""))</f>
        <v/>
      </c>
      <c r="E92" s="69">
        <f>IF($H92&lt;&gt;"",IF(INDEX(Guests!$N:$N,$H92)="","",INDEX(Guests!$N:$N,$H92)),"")</f>
        <v/>
      </c>
      <c r="F92" s="67">
        <f>IF($H92&lt;&gt;"",INDEX(Guests!$E:$E,$H92)&amp;"","")</f>
        <v/>
      </c>
      <c r="G92" s="67">
        <f>IF($H92&lt;&gt;"","Guest list",IF($I92&lt;&gt;"","RSVP form",""))</f>
        <v/>
      </c>
      <c r="H92" s="32">
        <f>IF(84&lt;=Guests!$AG$505,MATCH(84,Guests!$AH:$AH,0),"")</f>
        <v/>
      </c>
      <c r="I92" s="32">
        <f>IF(AND(84&gt;Guests!$AG$505,84&lt;=Guests!$AG$505+'Form Calc'!$AB$601),MATCH(84-Guests!$AG$505,'Form Calc'!$AC:$AC,0),"")</f>
        <v/>
      </c>
    </row>
    <row r="93">
      <c r="A93" s="66">
        <f>IF($H93&lt;&gt;"",INDEX(Guests!$A:$A,$H93)&amp;"",IF($I93&lt;&gt;"",INDEX('Form Calc'!$B:$B,$I93)&amp;"",""))</f>
        <v/>
      </c>
      <c r="B93" s="67">
        <f>IF($H93&lt;&gt;"",INDEX(Guests!$B:$B,$H93)&amp;"",IF($I93&lt;&gt;"",INDEX('Form Calc'!$G:$G,$I93)&amp;"",""))</f>
        <v/>
      </c>
      <c r="C93" s="68">
        <f>IF($H93&lt;&gt;"",IF(INDEX(Guests!$AD:$AD,$H93)&lt;&gt;"",HYPERLINK(INDEX(Guests!$AD:$AD,$H93),"💬 Remind"),"add mobile"),IF($I93&lt;&gt;"",IF(INDEX('Form Calc'!$AG:$AG,$I93)&lt;&gt;"",HYPERLINK(INDEX('Form Calc'!$AG:$AG,$I93),"💬 Remind"),"add mobile"),""))</f>
        <v/>
      </c>
      <c r="D93" s="67">
        <f>IF($H93&lt;&gt;"",INDEX(Guests!$Y:$Y,$H93)&amp;"",IF($I93&lt;&gt;"",INDEX('Form Calc'!$C:$C,$I93)&amp;"",""))</f>
        <v/>
      </c>
      <c r="E93" s="69">
        <f>IF($H93&lt;&gt;"",IF(INDEX(Guests!$N:$N,$H93)="","",INDEX(Guests!$N:$N,$H93)),"")</f>
        <v/>
      </c>
      <c r="F93" s="67">
        <f>IF($H93&lt;&gt;"",INDEX(Guests!$E:$E,$H93)&amp;"","")</f>
        <v/>
      </c>
      <c r="G93" s="67">
        <f>IF($H93&lt;&gt;"","Guest list",IF($I93&lt;&gt;"","RSVP form",""))</f>
        <v/>
      </c>
      <c r="H93" s="32">
        <f>IF(85&lt;=Guests!$AG$505,MATCH(85,Guests!$AH:$AH,0),"")</f>
        <v/>
      </c>
      <c r="I93" s="32">
        <f>IF(AND(85&gt;Guests!$AG$505,85&lt;=Guests!$AG$505+'Form Calc'!$AB$601),MATCH(85-Guests!$AG$505,'Form Calc'!$AC:$AC,0),"")</f>
        <v/>
      </c>
    </row>
    <row r="94">
      <c r="A94" s="66">
        <f>IF($H94&lt;&gt;"",INDEX(Guests!$A:$A,$H94)&amp;"",IF($I94&lt;&gt;"",INDEX('Form Calc'!$B:$B,$I94)&amp;"",""))</f>
        <v/>
      </c>
      <c r="B94" s="67">
        <f>IF($H94&lt;&gt;"",INDEX(Guests!$B:$B,$H94)&amp;"",IF($I94&lt;&gt;"",INDEX('Form Calc'!$G:$G,$I94)&amp;"",""))</f>
        <v/>
      </c>
      <c r="C94" s="68">
        <f>IF($H94&lt;&gt;"",IF(INDEX(Guests!$AD:$AD,$H94)&lt;&gt;"",HYPERLINK(INDEX(Guests!$AD:$AD,$H94),"💬 Remind"),"add mobile"),IF($I94&lt;&gt;"",IF(INDEX('Form Calc'!$AG:$AG,$I94)&lt;&gt;"",HYPERLINK(INDEX('Form Calc'!$AG:$AG,$I94),"💬 Remind"),"add mobile"),""))</f>
        <v/>
      </c>
      <c r="D94" s="67">
        <f>IF($H94&lt;&gt;"",INDEX(Guests!$Y:$Y,$H94)&amp;"",IF($I94&lt;&gt;"",INDEX('Form Calc'!$C:$C,$I94)&amp;"",""))</f>
        <v/>
      </c>
      <c r="E94" s="69">
        <f>IF($H94&lt;&gt;"",IF(INDEX(Guests!$N:$N,$H94)="","",INDEX(Guests!$N:$N,$H94)),"")</f>
        <v/>
      </c>
      <c r="F94" s="67">
        <f>IF($H94&lt;&gt;"",INDEX(Guests!$E:$E,$H94)&amp;"","")</f>
        <v/>
      </c>
      <c r="G94" s="67">
        <f>IF($H94&lt;&gt;"","Guest list",IF($I94&lt;&gt;"","RSVP form",""))</f>
        <v/>
      </c>
      <c r="H94" s="32">
        <f>IF(86&lt;=Guests!$AG$505,MATCH(86,Guests!$AH:$AH,0),"")</f>
        <v/>
      </c>
      <c r="I94" s="32">
        <f>IF(AND(86&gt;Guests!$AG$505,86&lt;=Guests!$AG$505+'Form Calc'!$AB$601),MATCH(86-Guests!$AG$505,'Form Calc'!$AC:$AC,0),"")</f>
        <v/>
      </c>
    </row>
    <row r="95">
      <c r="A95" s="66">
        <f>IF($H95&lt;&gt;"",INDEX(Guests!$A:$A,$H95)&amp;"",IF($I95&lt;&gt;"",INDEX('Form Calc'!$B:$B,$I95)&amp;"",""))</f>
        <v/>
      </c>
      <c r="B95" s="67">
        <f>IF($H95&lt;&gt;"",INDEX(Guests!$B:$B,$H95)&amp;"",IF($I95&lt;&gt;"",INDEX('Form Calc'!$G:$G,$I95)&amp;"",""))</f>
        <v/>
      </c>
      <c r="C95" s="68">
        <f>IF($H95&lt;&gt;"",IF(INDEX(Guests!$AD:$AD,$H95)&lt;&gt;"",HYPERLINK(INDEX(Guests!$AD:$AD,$H95),"💬 Remind"),"add mobile"),IF($I95&lt;&gt;"",IF(INDEX('Form Calc'!$AG:$AG,$I95)&lt;&gt;"",HYPERLINK(INDEX('Form Calc'!$AG:$AG,$I95),"💬 Remind"),"add mobile"),""))</f>
        <v/>
      </c>
      <c r="D95" s="67">
        <f>IF($H95&lt;&gt;"",INDEX(Guests!$Y:$Y,$H95)&amp;"",IF($I95&lt;&gt;"",INDEX('Form Calc'!$C:$C,$I95)&amp;"",""))</f>
        <v/>
      </c>
      <c r="E95" s="69">
        <f>IF($H95&lt;&gt;"",IF(INDEX(Guests!$N:$N,$H95)="","",INDEX(Guests!$N:$N,$H95)),"")</f>
        <v/>
      </c>
      <c r="F95" s="67">
        <f>IF($H95&lt;&gt;"",INDEX(Guests!$E:$E,$H95)&amp;"","")</f>
        <v/>
      </c>
      <c r="G95" s="67">
        <f>IF($H95&lt;&gt;"","Guest list",IF($I95&lt;&gt;"","RSVP form",""))</f>
        <v/>
      </c>
      <c r="H95" s="32">
        <f>IF(87&lt;=Guests!$AG$505,MATCH(87,Guests!$AH:$AH,0),"")</f>
        <v/>
      </c>
      <c r="I95" s="32">
        <f>IF(AND(87&gt;Guests!$AG$505,87&lt;=Guests!$AG$505+'Form Calc'!$AB$601),MATCH(87-Guests!$AG$505,'Form Calc'!$AC:$AC,0),"")</f>
        <v/>
      </c>
    </row>
    <row r="96">
      <c r="A96" s="66">
        <f>IF($H96&lt;&gt;"",INDEX(Guests!$A:$A,$H96)&amp;"",IF($I96&lt;&gt;"",INDEX('Form Calc'!$B:$B,$I96)&amp;"",""))</f>
        <v/>
      </c>
      <c r="B96" s="67">
        <f>IF($H96&lt;&gt;"",INDEX(Guests!$B:$B,$H96)&amp;"",IF($I96&lt;&gt;"",INDEX('Form Calc'!$G:$G,$I96)&amp;"",""))</f>
        <v/>
      </c>
      <c r="C96" s="68">
        <f>IF($H96&lt;&gt;"",IF(INDEX(Guests!$AD:$AD,$H96)&lt;&gt;"",HYPERLINK(INDEX(Guests!$AD:$AD,$H96),"💬 Remind"),"add mobile"),IF($I96&lt;&gt;"",IF(INDEX('Form Calc'!$AG:$AG,$I96)&lt;&gt;"",HYPERLINK(INDEX('Form Calc'!$AG:$AG,$I96),"💬 Remind"),"add mobile"),""))</f>
        <v/>
      </c>
      <c r="D96" s="67">
        <f>IF($H96&lt;&gt;"",INDEX(Guests!$Y:$Y,$H96)&amp;"",IF($I96&lt;&gt;"",INDEX('Form Calc'!$C:$C,$I96)&amp;"",""))</f>
        <v/>
      </c>
      <c r="E96" s="69">
        <f>IF($H96&lt;&gt;"",IF(INDEX(Guests!$N:$N,$H96)="","",INDEX(Guests!$N:$N,$H96)),"")</f>
        <v/>
      </c>
      <c r="F96" s="67">
        <f>IF($H96&lt;&gt;"",INDEX(Guests!$E:$E,$H96)&amp;"","")</f>
        <v/>
      </c>
      <c r="G96" s="67">
        <f>IF($H96&lt;&gt;"","Guest list",IF($I96&lt;&gt;"","RSVP form",""))</f>
        <v/>
      </c>
      <c r="H96" s="32">
        <f>IF(88&lt;=Guests!$AG$505,MATCH(88,Guests!$AH:$AH,0),"")</f>
        <v/>
      </c>
      <c r="I96" s="32">
        <f>IF(AND(88&gt;Guests!$AG$505,88&lt;=Guests!$AG$505+'Form Calc'!$AB$601),MATCH(88-Guests!$AG$505,'Form Calc'!$AC:$AC,0),"")</f>
        <v/>
      </c>
    </row>
    <row r="97">
      <c r="A97" s="66">
        <f>IF($H97&lt;&gt;"",INDEX(Guests!$A:$A,$H97)&amp;"",IF($I97&lt;&gt;"",INDEX('Form Calc'!$B:$B,$I97)&amp;"",""))</f>
        <v/>
      </c>
      <c r="B97" s="67">
        <f>IF($H97&lt;&gt;"",INDEX(Guests!$B:$B,$H97)&amp;"",IF($I97&lt;&gt;"",INDEX('Form Calc'!$G:$G,$I97)&amp;"",""))</f>
        <v/>
      </c>
      <c r="C97" s="68">
        <f>IF($H97&lt;&gt;"",IF(INDEX(Guests!$AD:$AD,$H97)&lt;&gt;"",HYPERLINK(INDEX(Guests!$AD:$AD,$H97),"💬 Remind"),"add mobile"),IF($I97&lt;&gt;"",IF(INDEX('Form Calc'!$AG:$AG,$I97)&lt;&gt;"",HYPERLINK(INDEX('Form Calc'!$AG:$AG,$I97),"💬 Remind"),"add mobile"),""))</f>
        <v/>
      </c>
      <c r="D97" s="67">
        <f>IF($H97&lt;&gt;"",INDEX(Guests!$Y:$Y,$H97)&amp;"",IF($I97&lt;&gt;"",INDEX('Form Calc'!$C:$C,$I97)&amp;"",""))</f>
        <v/>
      </c>
      <c r="E97" s="69">
        <f>IF($H97&lt;&gt;"",IF(INDEX(Guests!$N:$N,$H97)="","",INDEX(Guests!$N:$N,$H97)),"")</f>
        <v/>
      </c>
      <c r="F97" s="67">
        <f>IF($H97&lt;&gt;"",INDEX(Guests!$E:$E,$H97)&amp;"","")</f>
        <v/>
      </c>
      <c r="G97" s="67">
        <f>IF($H97&lt;&gt;"","Guest list",IF($I97&lt;&gt;"","RSVP form",""))</f>
        <v/>
      </c>
      <c r="H97" s="32">
        <f>IF(89&lt;=Guests!$AG$505,MATCH(89,Guests!$AH:$AH,0),"")</f>
        <v/>
      </c>
      <c r="I97" s="32">
        <f>IF(AND(89&gt;Guests!$AG$505,89&lt;=Guests!$AG$505+'Form Calc'!$AB$601),MATCH(89-Guests!$AG$505,'Form Calc'!$AC:$AC,0),"")</f>
        <v/>
      </c>
    </row>
    <row r="98">
      <c r="A98" s="66">
        <f>IF($H98&lt;&gt;"",INDEX(Guests!$A:$A,$H98)&amp;"",IF($I98&lt;&gt;"",INDEX('Form Calc'!$B:$B,$I98)&amp;"",""))</f>
        <v/>
      </c>
      <c r="B98" s="67">
        <f>IF($H98&lt;&gt;"",INDEX(Guests!$B:$B,$H98)&amp;"",IF($I98&lt;&gt;"",INDEX('Form Calc'!$G:$G,$I98)&amp;"",""))</f>
        <v/>
      </c>
      <c r="C98" s="68">
        <f>IF($H98&lt;&gt;"",IF(INDEX(Guests!$AD:$AD,$H98)&lt;&gt;"",HYPERLINK(INDEX(Guests!$AD:$AD,$H98),"💬 Remind"),"add mobile"),IF($I98&lt;&gt;"",IF(INDEX('Form Calc'!$AG:$AG,$I98)&lt;&gt;"",HYPERLINK(INDEX('Form Calc'!$AG:$AG,$I98),"💬 Remind"),"add mobile"),""))</f>
        <v/>
      </c>
      <c r="D98" s="67">
        <f>IF($H98&lt;&gt;"",INDEX(Guests!$Y:$Y,$H98)&amp;"",IF($I98&lt;&gt;"",INDEX('Form Calc'!$C:$C,$I98)&amp;"",""))</f>
        <v/>
      </c>
      <c r="E98" s="69">
        <f>IF($H98&lt;&gt;"",IF(INDEX(Guests!$N:$N,$H98)="","",INDEX(Guests!$N:$N,$H98)),"")</f>
        <v/>
      </c>
      <c r="F98" s="67">
        <f>IF($H98&lt;&gt;"",INDEX(Guests!$E:$E,$H98)&amp;"","")</f>
        <v/>
      </c>
      <c r="G98" s="67">
        <f>IF($H98&lt;&gt;"","Guest list",IF($I98&lt;&gt;"","RSVP form",""))</f>
        <v/>
      </c>
      <c r="H98" s="32">
        <f>IF(90&lt;=Guests!$AG$505,MATCH(90,Guests!$AH:$AH,0),"")</f>
        <v/>
      </c>
      <c r="I98" s="32">
        <f>IF(AND(90&gt;Guests!$AG$505,90&lt;=Guests!$AG$505+'Form Calc'!$AB$601),MATCH(90-Guests!$AG$505,'Form Calc'!$AC:$AC,0),"")</f>
        <v/>
      </c>
    </row>
    <row r="99">
      <c r="A99" s="66">
        <f>IF($H99&lt;&gt;"",INDEX(Guests!$A:$A,$H99)&amp;"",IF($I99&lt;&gt;"",INDEX('Form Calc'!$B:$B,$I99)&amp;"",""))</f>
        <v/>
      </c>
      <c r="B99" s="67">
        <f>IF($H99&lt;&gt;"",INDEX(Guests!$B:$B,$H99)&amp;"",IF($I99&lt;&gt;"",INDEX('Form Calc'!$G:$G,$I99)&amp;"",""))</f>
        <v/>
      </c>
      <c r="C99" s="68">
        <f>IF($H99&lt;&gt;"",IF(INDEX(Guests!$AD:$AD,$H99)&lt;&gt;"",HYPERLINK(INDEX(Guests!$AD:$AD,$H99),"💬 Remind"),"add mobile"),IF($I99&lt;&gt;"",IF(INDEX('Form Calc'!$AG:$AG,$I99)&lt;&gt;"",HYPERLINK(INDEX('Form Calc'!$AG:$AG,$I99),"💬 Remind"),"add mobile"),""))</f>
        <v/>
      </c>
      <c r="D99" s="67">
        <f>IF($H99&lt;&gt;"",INDEX(Guests!$Y:$Y,$H99)&amp;"",IF($I99&lt;&gt;"",INDEX('Form Calc'!$C:$C,$I99)&amp;"",""))</f>
        <v/>
      </c>
      <c r="E99" s="69">
        <f>IF($H99&lt;&gt;"",IF(INDEX(Guests!$N:$N,$H99)="","",INDEX(Guests!$N:$N,$H99)),"")</f>
        <v/>
      </c>
      <c r="F99" s="67">
        <f>IF($H99&lt;&gt;"",INDEX(Guests!$E:$E,$H99)&amp;"","")</f>
        <v/>
      </c>
      <c r="G99" s="67">
        <f>IF($H99&lt;&gt;"","Guest list",IF($I99&lt;&gt;"","RSVP form",""))</f>
        <v/>
      </c>
      <c r="H99" s="32">
        <f>IF(91&lt;=Guests!$AG$505,MATCH(91,Guests!$AH:$AH,0),"")</f>
        <v/>
      </c>
      <c r="I99" s="32">
        <f>IF(AND(91&gt;Guests!$AG$505,91&lt;=Guests!$AG$505+'Form Calc'!$AB$601),MATCH(91-Guests!$AG$505,'Form Calc'!$AC:$AC,0),"")</f>
        <v/>
      </c>
    </row>
    <row r="100">
      <c r="A100" s="66">
        <f>IF($H100&lt;&gt;"",INDEX(Guests!$A:$A,$H100)&amp;"",IF($I100&lt;&gt;"",INDEX('Form Calc'!$B:$B,$I100)&amp;"",""))</f>
        <v/>
      </c>
      <c r="B100" s="67">
        <f>IF($H100&lt;&gt;"",INDEX(Guests!$B:$B,$H100)&amp;"",IF($I100&lt;&gt;"",INDEX('Form Calc'!$G:$G,$I100)&amp;"",""))</f>
        <v/>
      </c>
      <c r="C100" s="68">
        <f>IF($H100&lt;&gt;"",IF(INDEX(Guests!$AD:$AD,$H100)&lt;&gt;"",HYPERLINK(INDEX(Guests!$AD:$AD,$H100),"💬 Remind"),"add mobile"),IF($I100&lt;&gt;"",IF(INDEX('Form Calc'!$AG:$AG,$I100)&lt;&gt;"",HYPERLINK(INDEX('Form Calc'!$AG:$AG,$I100),"💬 Remind"),"add mobile"),""))</f>
        <v/>
      </c>
      <c r="D100" s="67">
        <f>IF($H100&lt;&gt;"",INDEX(Guests!$Y:$Y,$H100)&amp;"",IF($I100&lt;&gt;"",INDEX('Form Calc'!$C:$C,$I100)&amp;"",""))</f>
        <v/>
      </c>
      <c r="E100" s="69">
        <f>IF($H100&lt;&gt;"",IF(INDEX(Guests!$N:$N,$H100)="","",INDEX(Guests!$N:$N,$H100)),"")</f>
        <v/>
      </c>
      <c r="F100" s="67">
        <f>IF($H100&lt;&gt;"",INDEX(Guests!$E:$E,$H100)&amp;"","")</f>
        <v/>
      </c>
      <c r="G100" s="67">
        <f>IF($H100&lt;&gt;"","Guest list",IF($I100&lt;&gt;"","RSVP form",""))</f>
        <v/>
      </c>
      <c r="H100" s="32">
        <f>IF(92&lt;=Guests!$AG$505,MATCH(92,Guests!$AH:$AH,0),"")</f>
        <v/>
      </c>
      <c r="I100" s="32">
        <f>IF(AND(92&gt;Guests!$AG$505,92&lt;=Guests!$AG$505+'Form Calc'!$AB$601),MATCH(92-Guests!$AG$505,'Form Calc'!$AC:$AC,0),"")</f>
        <v/>
      </c>
    </row>
    <row r="101">
      <c r="A101" s="66">
        <f>IF($H101&lt;&gt;"",INDEX(Guests!$A:$A,$H101)&amp;"",IF($I101&lt;&gt;"",INDEX('Form Calc'!$B:$B,$I101)&amp;"",""))</f>
        <v/>
      </c>
      <c r="B101" s="67">
        <f>IF($H101&lt;&gt;"",INDEX(Guests!$B:$B,$H101)&amp;"",IF($I101&lt;&gt;"",INDEX('Form Calc'!$G:$G,$I101)&amp;"",""))</f>
        <v/>
      </c>
      <c r="C101" s="68">
        <f>IF($H101&lt;&gt;"",IF(INDEX(Guests!$AD:$AD,$H101)&lt;&gt;"",HYPERLINK(INDEX(Guests!$AD:$AD,$H101),"💬 Remind"),"add mobile"),IF($I101&lt;&gt;"",IF(INDEX('Form Calc'!$AG:$AG,$I101)&lt;&gt;"",HYPERLINK(INDEX('Form Calc'!$AG:$AG,$I101),"💬 Remind"),"add mobile"),""))</f>
        <v/>
      </c>
      <c r="D101" s="67">
        <f>IF($H101&lt;&gt;"",INDEX(Guests!$Y:$Y,$H101)&amp;"",IF($I101&lt;&gt;"",INDEX('Form Calc'!$C:$C,$I101)&amp;"",""))</f>
        <v/>
      </c>
      <c r="E101" s="69">
        <f>IF($H101&lt;&gt;"",IF(INDEX(Guests!$N:$N,$H101)="","",INDEX(Guests!$N:$N,$H101)),"")</f>
        <v/>
      </c>
      <c r="F101" s="67">
        <f>IF($H101&lt;&gt;"",INDEX(Guests!$E:$E,$H101)&amp;"","")</f>
        <v/>
      </c>
      <c r="G101" s="67">
        <f>IF($H101&lt;&gt;"","Guest list",IF($I101&lt;&gt;"","RSVP form",""))</f>
        <v/>
      </c>
      <c r="H101" s="32">
        <f>IF(93&lt;=Guests!$AG$505,MATCH(93,Guests!$AH:$AH,0),"")</f>
        <v/>
      </c>
      <c r="I101" s="32">
        <f>IF(AND(93&gt;Guests!$AG$505,93&lt;=Guests!$AG$505+'Form Calc'!$AB$601),MATCH(93-Guests!$AG$505,'Form Calc'!$AC:$AC,0),"")</f>
        <v/>
      </c>
    </row>
    <row r="102">
      <c r="A102" s="66">
        <f>IF($H102&lt;&gt;"",INDEX(Guests!$A:$A,$H102)&amp;"",IF($I102&lt;&gt;"",INDEX('Form Calc'!$B:$B,$I102)&amp;"",""))</f>
        <v/>
      </c>
      <c r="B102" s="67">
        <f>IF($H102&lt;&gt;"",INDEX(Guests!$B:$B,$H102)&amp;"",IF($I102&lt;&gt;"",INDEX('Form Calc'!$G:$G,$I102)&amp;"",""))</f>
        <v/>
      </c>
      <c r="C102" s="68">
        <f>IF($H102&lt;&gt;"",IF(INDEX(Guests!$AD:$AD,$H102)&lt;&gt;"",HYPERLINK(INDEX(Guests!$AD:$AD,$H102),"💬 Remind"),"add mobile"),IF($I102&lt;&gt;"",IF(INDEX('Form Calc'!$AG:$AG,$I102)&lt;&gt;"",HYPERLINK(INDEX('Form Calc'!$AG:$AG,$I102),"💬 Remind"),"add mobile"),""))</f>
        <v/>
      </c>
      <c r="D102" s="67">
        <f>IF($H102&lt;&gt;"",INDEX(Guests!$Y:$Y,$H102)&amp;"",IF($I102&lt;&gt;"",INDEX('Form Calc'!$C:$C,$I102)&amp;"",""))</f>
        <v/>
      </c>
      <c r="E102" s="69">
        <f>IF($H102&lt;&gt;"",IF(INDEX(Guests!$N:$N,$H102)="","",INDEX(Guests!$N:$N,$H102)),"")</f>
        <v/>
      </c>
      <c r="F102" s="67">
        <f>IF($H102&lt;&gt;"",INDEX(Guests!$E:$E,$H102)&amp;"","")</f>
        <v/>
      </c>
      <c r="G102" s="67">
        <f>IF($H102&lt;&gt;"","Guest list",IF($I102&lt;&gt;"","RSVP form",""))</f>
        <v/>
      </c>
      <c r="H102" s="32">
        <f>IF(94&lt;=Guests!$AG$505,MATCH(94,Guests!$AH:$AH,0),"")</f>
        <v/>
      </c>
      <c r="I102" s="32">
        <f>IF(AND(94&gt;Guests!$AG$505,94&lt;=Guests!$AG$505+'Form Calc'!$AB$601),MATCH(94-Guests!$AG$505,'Form Calc'!$AC:$AC,0),"")</f>
        <v/>
      </c>
    </row>
    <row r="103">
      <c r="A103" s="66">
        <f>IF($H103&lt;&gt;"",INDEX(Guests!$A:$A,$H103)&amp;"",IF($I103&lt;&gt;"",INDEX('Form Calc'!$B:$B,$I103)&amp;"",""))</f>
        <v/>
      </c>
      <c r="B103" s="67">
        <f>IF($H103&lt;&gt;"",INDEX(Guests!$B:$B,$H103)&amp;"",IF($I103&lt;&gt;"",INDEX('Form Calc'!$G:$G,$I103)&amp;"",""))</f>
        <v/>
      </c>
      <c r="C103" s="68">
        <f>IF($H103&lt;&gt;"",IF(INDEX(Guests!$AD:$AD,$H103)&lt;&gt;"",HYPERLINK(INDEX(Guests!$AD:$AD,$H103),"💬 Remind"),"add mobile"),IF($I103&lt;&gt;"",IF(INDEX('Form Calc'!$AG:$AG,$I103)&lt;&gt;"",HYPERLINK(INDEX('Form Calc'!$AG:$AG,$I103),"💬 Remind"),"add mobile"),""))</f>
        <v/>
      </c>
      <c r="D103" s="67">
        <f>IF($H103&lt;&gt;"",INDEX(Guests!$Y:$Y,$H103)&amp;"",IF($I103&lt;&gt;"",INDEX('Form Calc'!$C:$C,$I103)&amp;"",""))</f>
        <v/>
      </c>
      <c r="E103" s="69">
        <f>IF($H103&lt;&gt;"",IF(INDEX(Guests!$N:$N,$H103)="","",INDEX(Guests!$N:$N,$H103)),"")</f>
        <v/>
      </c>
      <c r="F103" s="67">
        <f>IF($H103&lt;&gt;"",INDEX(Guests!$E:$E,$H103)&amp;"","")</f>
        <v/>
      </c>
      <c r="G103" s="67">
        <f>IF($H103&lt;&gt;"","Guest list",IF($I103&lt;&gt;"","RSVP form",""))</f>
        <v/>
      </c>
      <c r="H103" s="32">
        <f>IF(95&lt;=Guests!$AG$505,MATCH(95,Guests!$AH:$AH,0),"")</f>
        <v/>
      </c>
      <c r="I103" s="32">
        <f>IF(AND(95&gt;Guests!$AG$505,95&lt;=Guests!$AG$505+'Form Calc'!$AB$601),MATCH(95-Guests!$AG$505,'Form Calc'!$AC:$AC,0),"")</f>
        <v/>
      </c>
    </row>
    <row r="104">
      <c r="A104" s="66">
        <f>IF($H104&lt;&gt;"",INDEX(Guests!$A:$A,$H104)&amp;"",IF($I104&lt;&gt;"",INDEX('Form Calc'!$B:$B,$I104)&amp;"",""))</f>
        <v/>
      </c>
      <c r="B104" s="67">
        <f>IF($H104&lt;&gt;"",INDEX(Guests!$B:$B,$H104)&amp;"",IF($I104&lt;&gt;"",INDEX('Form Calc'!$G:$G,$I104)&amp;"",""))</f>
        <v/>
      </c>
      <c r="C104" s="68">
        <f>IF($H104&lt;&gt;"",IF(INDEX(Guests!$AD:$AD,$H104)&lt;&gt;"",HYPERLINK(INDEX(Guests!$AD:$AD,$H104),"💬 Remind"),"add mobile"),IF($I104&lt;&gt;"",IF(INDEX('Form Calc'!$AG:$AG,$I104)&lt;&gt;"",HYPERLINK(INDEX('Form Calc'!$AG:$AG,$I104),"💬 Remind"),"add mobile"),""))</f>
        <v/>
      </c>
      <c r="D104" s="67">
        <f>IF($H104&lt;&gt;"",INDEX(Guests!$Y:$Y,$H104)&amp;"",IF($I104&lt;&gt;"",INDEX('Form Calc'!$C:$C,$I104)&amp;"",""))</f>
        <v/>
      </c>
      <c r="E104" s="69">
        <f>IF($H104&lt;&gt;"",IF(INDEX(Guests!$N:$N,$H104)="","",INDEX(Guests!$N:$N,$H104)),"")</f>
        <v/>
      </c>
      <c r="F104" s="67">
        <f>IF($H104&lt;&gt;"",INDEX(Guests!$E:$E,$H104)&amp;"","")</f>
        <v/>
      </c>
      <c r="G104" s="67">
        <f>IF($H104&lt;&gt;"","Guest list",IF($I104&lt;&gt;"","RSVP form",""))</f>
        <v/>
      </c>
      <c r="H104" s="32">
        <f>IF(96&lt;=Guests!$AG$505,MATCH(96,Guests!$AH:$AH,0),"")</f>
        <v/>
      </c>
      <c r="I104" s="32">
        <f>IF(AND(96&gt;Guests!$AG$505,96&lt;=Guests!$AG$505+'Form Calc'!$AB$601),MATCH(96-Guests!$AG$505,'Form Calc'!$AC:$AC,0),"")</f>
        <v/>
      </c>
    </row>
    <row r="105">
      <c r="A105" s="66">
        <f>IF($H105&lt;&gt;"",INDEX(Guests!$A:$A,$H105)&amp;"",IF($I105&lt;&gt;"",INDEX('Form Calc'!$B:$B,$I105)&amp;"",""))</f>
        <v/>
      </c>
      <c r="B105" s="67">
        <f>IF($H105&lt;&gt;"",INDEX(Guests!$B:$B,$H105)&amp;"",IF($I105&lt;&gt;"",INDEX('Form Calc'!$G:$G,$I105)&amp;"",""))</f>
        <v/>
      </c>
      <c r="C105" s="68">
        <f>IF($H105&lt;&gt;"",IF(INDEX(Guests!$AD:$AD,$H105)&lt;&gt;"",HYPERLINK(INDEX(Guests!$AD:$AD,$H105),"💬 Remind"),"add mobile"),IF($I105&lt;&gt;"",IF(INDEX('Form Calc'!$AG:$AG,$I105)&lt;&gt;"",HYPERLINK(INDEX('Form Calc'!$AG:$AG,$I105),"💬 Remind"),"add mobile"),""))</f>
        <v/>
      </c>
      <c r="D105" s="67">
        <f>IF($H105&lt;&gt;"",INDEX(Guests!$Y:$Y,$H105)&amp;"",IF($I105&lt;&gt;"",INDEX('Form Calc'!$C:$C,$I105)&amp;"",""))</f>
        <v/>
      </c>
      <c r="E105" s="69">
        <f>IF($H105&lt;&gt;"",IF(INDEX(Guests!$N:$N,$H105)="","",INDEX(Guests!$N:$N,$H105)),"")</f>
        <v/>
      </c>
      <c r="F105" s="67">
        <f>IF($H105&lt;&gt;"",INDEX(Guests!$E:$E,$H105)&amp;"","")</f>
        <v/>
      </c>
      <c r="G105" s="67">
        <f>IF($H105&lt;&gt;"","Guest list",IF($I105&lt;&gt;"","RSVP form",""))</f>
        <v/>
      </c>
      <c r="H105" s="32">
        <f>IF(97&lt;=Guests!$AG$505,MATCH(97,Guests!$AH:$AH,0),"")</f>
        <v/>
      </c>
      <c r="I105" s="32">
        <f>IF(AND(97&gt;Guests!$AG$505,97&lt;=Guests!$AG$505+'Form Calc'!$AB$601),MATCH(97-Guests!$AG$505,'Form Calc'!$AC:$AC,0),"")</f>
        <v/>
      </c>
    </row>
    <row r="106">
      <c r="A106" s="66">
        <f>IF($H106&lt;&gt;"",INDEX(Guests!$A:$A,$H106)&amp;"",IF($I106&lt;&gt;"",INDEX('Form Calc'!$B:$B,$I106)&amp;"",""))</f>
        <v/>
      </c>
      <c r="B106" s="67">
        <f>IF($H106&lt;&gt;"",INDEX(Guests!$B:$B,$H106)&amp;"",IF($I106&lt;&gt;"",INDEX('Form Calc'!$G:$G,$I106)&amp;"",""))</f>
        <v/>
      </c>
      <c r="C106" s="68">
        <f>IF($H106&lt;&gt;"",IF(INDEX(Guests!$AD:$AD,$H106)&lt;&gt;"",HYPERLINK(INDEX(Guests!$AD:$AD,$H106),"💬 Remind"),"add mobile"),IF($I106&lt;&gt;"",IF(INDEX('Form Calc'!$AG:$AG,$I106)&lt;&gt;"",HYPERLINK(INDEX('Form Calc'!$AG:$AG,$I106),"💬 Remind"),"add mobile"),""))</f>
        <v/>
      </c>
      <c r="D106" s="67">
        <f>IF($H106&lt;&gt;"",INDEX(Guests!$Y:$Y,$H106)&amp;"",IF($I106&lt;&gt;"",INDEX('Form Calc'!$C:$C,$I106)&amp;"",""))</f>
        <v/>
      </c>
      <c r="E106" s="69">
        <f>IF($H106&lt;&gt;"",IF(INDEX(Guests!$N:$N,$H106)="","",INDEX(Guests!$N:$N,$H106)),"")</f>
        <v/>
      </c>
      <c r="F106" s="67">
        <f>IF($H106&lt;&gt;"",INDEX(Guests!$E:$E,$H106)&amp;"","")</f>
        <v/>
      </c>
      <c r="G106" s="67">
        <f>IF($H106&lt;&gt;"","Guest list",IF($I106&lt;&gt;"","RSVP form",""))</f>
        <v/>
      </c>
      <c r="H106" s="32">
        <f>IF(98&lt;=Guests!$AG$505,MATCH(98,Guests!$AH:$AH,0),"")</f>
        <v/>
      </c>
      <c r="I106" s="32">
        <f>IF(AND(98&gt;Guests!$AG$505,98&lt;=Guests!$AG$505+'Form Calc'!$AB$601),MATCH(98-Guests!$AG$505,'Form Calc'!$AC:$AC,0),"")</f>
        <v/>
      </c>
    </row>
    <row r="107">
      <c r="A107" s="66">
        <f>IF($H107&lt;&gt;"",INDEX(Guests!$A:$A,$H107)&amp;"",IF($I107&lt;&gt;"",INDEX('Form Calc'!$B:$B,$I107)&amp;"",""))</f>
        <v/>
      </c>
      <c r="B107" s="67">
        <f>IF($H107&lt;&gt;"",INDEX(Guests!$B:$B,$H107)&amp;"",IF($I107&lt;&gt;"",INDEX('Form Calc'!$G:$G,$I107)&amp;"",""))</f>
        <v/>
      </c>
      <c r="C107" s="68">
        <f>IF($H107&lt;&gt;"",IF(INDEX(Guests!$AD:$AD,$H107)&lt;&gt;"",HYPERLINK(INDEX(Guests!$AD:$AD,$H107),"💬 Remind"),"add mobile"),IF($I107&lt;&gt;"",IF(INDEX('Form Calc'!$AG:$AG,$I107)&lt;&gt;"",HYPERLINK(INDEX('Form Calc'!$AG:$AG,$I107),"💬 Remind"),"add mobile"),""))</f>
        <v/>
      </c>
      <c r="D107" s="67">
        <f>IF($H107&lt;&gt;"",INDEX(Guests!$Y:$Y,$H107)&amp;"",IF($I107&lt;&gt;"",INDEX('Form Calc'!$C:$C,$I107)&amp;"",""))</f>
        <v/>
      </c>
      <c r="E107" s="69">
        <f>IF($H107&lt;&gt;"",IF(INDEX(Guests!$N:$N,$H107)="","",INDEX(Guests!$N:$N,$H107)),"")</f>
        <v/>
      </c>
      <c r="F107" s="67">
        <f>IF($H107&lt;&gt;"",INDEX(Guests!$E:$E,$H107)&amp;"","")</f>
        <v/>
      </c>
      <c r="G107" s="67">
        <f>IF($H107&lt;&gt;"","Guest list",IF($I107&lt;&gt;"","RSVP form",""))</f>
        <v/>
      </c>
      <c r="H107" s="32">
        <f>IF(99&lt;=Guests!$AG$505,MATCH(99,Guests!$AH:$AH,0),"")</f>
        <v/>
      </c>
      <c r="I107" s="32">
        <f>IF(AND(99&gt;Guests!$AG$505,99&lt;=Guests!$AG$505+'Form Calc'!$AB$601),MATCH(99-Guests!$AG$505,'Form Calc'!$AC:$AC,0),"")</f>
        <v/>
      </c>
    </row>
    <row r="108">
      <c r="A108" s="66">
        <f>IF($H108&lt;&gt;"",INDEX(Guests!$A:$A,$H108)&amp;"",IF($I108&lt;&gt;"",INDEX('Form Calc'!$B:$B,$I108)&amp;"",""))</f>
        <v/>
      </c>
      <c r="B108" s="67">
        <f>IF($H108&lt;&gt;"",INDEX(Guests!$B:$B,$H108)&amp;"",IF($I108&lt;&gt;"",INDEX('Form Calc'!$G:$G,$I108)&amp;"",""))</f>
        <v/>
      </c>
      <c r="C108" s="68">
        <f>IF($H108&lt;&gt;"",IF(INDEX(Guests!$AD:$AD,$H108)&lt;&gt;"",HYPERLINK(INDEX(Guests!$AD:$AD,$H108),"💬 Remind"),"add mobile"),IF($I108&lt;&gt;"",IF(INDEX('Form Calc'!$AG:$AG,$I108)&lt;&gt;"",HYPERLINK(INDEX('Form Calc'!$AG:$AG,$I108),"💬 Remind"),"add mobile"),""))</f>
        <v/>
      </c>
      <c r="D108" s="67">
        <f>IF($H108&lt;&gt;"",INDEX(Guests!$Y:$Y,$H108)&amp;"",IF($I108&lt;&gt;"",INDEX('Form Calc'!$C:$C,$I108)&amp;"",""))</f>
        <v/>
      </c>
      <c r="E108" s="69">
        <f>IF($H108&lt;&gt;"",IF(INDEX(Guests!$N:$N,$H108)="","",INDEX(Guests!$N:$N,$H108)),"")</f>
        <v/>
      </c>
      <c r="F108" s="67">
        <f>IF($H108&lt;&gt;"",INDEX(Guests!$E:$E,$H108)&amp;"","")</f>
        <v/>
      </c>
      <c r="G108" s="67">
        <f>IF($H108&lt;&gt;"","Guest list",IF($I108&lt;&gt;"","RSVP form",""))</f>
        <v/>
      </c>
      <c r="H108" s="32">
        <f>IF(100&lt;=Guests!$AG$505,MATCH(100,Guests!$AH:$AH,0),"")</f>
        <v/>
      </c>
      <c r="I108" s="32">
        <f>IF(AND(100&gt;Guests!$AG$505,100&lt;=Guests!$AG$505+'Form Calc'!$AB$601),MATCH(100-Guests!$AG$505,'Form Calc'!$AC:$AC,0),"")</f>
        <v/>
      </c>
    </row>
    <row r="109">
      <c r="A109" s="66">
        <f>IF($H109&lt;&gt;"",INDEX(Guests!$A:$A,$H109)&amp;"",IF($I109&lt;&gt;"",INDEX('Form Calc'!$B:$B,$I109)&amp;"",""))</f>
        <v/>
      </c>
      <c r="B109" s="67">
        <f>IF($H109&lt;&gt;"",INDEX(Guests!$B:$B,$H109)&amp;"",IF($I109&lt;&gt;"",INDEX('Form Calc'!$G:$G,$I109)&amp;"",""))</f>
        <v/>
      </c>
      <c r="C109" s="68">
        <f>IF($H109&lt;&gt;"",IF(INDEX(Guests!$AD:$AD,$H109)&lt;&gt;"",HYPERLINK(INDEX(Guests!$AD:$AD,$H109),"💬 Remind"),"add mobile"),IF($I109&lt;&gt;"",IF(INDEX('Form Calc'!$AG:$AG,$I109)&lt;&gt;"",HYPERLINK(INDEX('Form Calc'!$AG:$AG,$I109),"💬 Remind"),"add mobile"),""))</f>
        <v/>
      </c>
      <c r="D109" s="67">
        <f>IF($H109&lt;&gt;"",INDEX(Guests!$Y:$Y,$H109)&amp;"",IF($I109&lt;&gt;"",INDEX('Form Calc'!$C:$C,$I109)&amp;"",""))</f>
        <v/>
      </c>
      <c r="E109" s="69">
        <f>IF($H109&lt;&gt;"",IF(INDEX(Guests!$N:$N,$H109)="","",INDEX(Guests!$N:$N,$H109)),"")</f>
        <v/>
      </c>
      <c r="F109" s="67">
        <f>IF($H109&lt;&gt;"",INDEX(Guests!$E:$E,$H109)&amp;"","")</f>
        <v/>
      </c>
      <c r="G109" s="67">
        <f>IF($H109&lt;&gt;"","Guest list",IF($I109&lt;&gt;"","RSVP form",""))</f>
        <v/>
      </c>
      <c r="H109" s="32">
        <f>IF(101&lt;=Guests!$AG$505,MATCH(101,Guests!$AH:$AH,0),"")</f>
        <v/>
      </c>
      <c r="I109" s="32">
        <f>IF(AND(101&gt;Guests!$AG$505,101&lt;=Guests!$AG$505+'Form Calc'!$AB$601),MATCH(101-Guests!$AG$505,'Form Calc'!$AC:$AC,0),"")</f>
        <v/>
      </c>
    </row>
    <row r="110">
      <c r="A110" s="66">
        <f>IF($H110&lt;&gt;"",INDEX(Guests!$A:$A,$H110)&amp;"",IF($I110&lt;&gt;"",INDEX('Form Calc'!$B:$B,$I110)&amp;"",""))</f>
        <v/>
      </c>
      <c r="B110" s="67">
        <f>IF($H110&lt;&gt;"",INDEX(Guests!$B:$B,$H110)&amp;"",IF($I110&lt;&gt;"",INDEX('Form Calc'!$G:$G,$I110)&amp;"",""))</f>
        <v/>
      </c>
      <c r="C110" s="68">
        <f>IF($H110&lt;&gt;"",IF(INDEX(Guests!$AD:$AD,$H110)&lt;&gt;"",HYPERLINK(INDEX(Guests!$AD:$AD,$H110),"💬 Remind"),"add mobile"),IF($I110&lt;&gt;"",IF(INDEX('Form Calc'!$AG:$AG,$I110)&lt;&gt;"",HYPERLINK(INDEX('Form Calc'!$AG:$AG,$I110),"💬 Remind"),"add mobile"),""))</f>
        <v/>
      </c>
      <c r="D110" s="67">
        <f>IF($H110&lt;&gt;"",INDEX(Guests!$Y:$Y,$H110)&amp;"",IF($I110&lt;&gt;"",INDEX('Form Calc'!$C:$C,$I110)&amp;"",""))</f>
        <v/>
      </c>
      <c r="E110" s="69">
        <f>IF($H110&lt;&gt;"",IF(INDEX(Guests!$N:$N,$H110)="","",INDEX(Guests!$N:$N,$H110)),"")</f>
        <v/>
      </c>
      <c r="F110" s="67">
        <f>IF($H110&lt;&gt;"",INDEX(Guests!$E:$E,$H110)&amp;"","")</f>
        <v/>
      </c>
      <c r="G110" s="67">
        <f>IF($H110&lt;&gt;"","Guest list",IF($I110&lt;&gt;"","RSVP form",""))</f>
        <v/>
      </c>
      <c r="H110" s="32">
        <f>IF(102&lt;=Guests!$AG$505,MATCH(102,Guests!$AH:$AH,0),"")</f>
        <v/>
      </c>
      <c r="I110" s="32">
        <f>IF(AND(102&gt;Guests!$AG$505,102&lt;=Guests!$AG$505+'Form Calc'!$AB$601),MATCH(102-Guests!$AG$505,'Form Calc'!$AC:$AC,0),"")</f>
        <v/>
      </c>
    </row>
    <row r="111">
      <c r="A111" s="66">
        <f>IF($H111&lt;&gt;"",INDEX(Guests!$A:$A,$H111)&amp;"",IF($I111&lt;&gt;"",INDEX('Form Calc'!$B:$B,$I111)&amp;"",""))</f>
        <v/>
      </c>
      <c r="B111" s="67">
        <f>IF($H111&lt;&gt;"",INDEX(Guests!$B:$B,$H111)&amp;"",IF($I111&lt;&gt;"",INDEX('Form Calc'!$G:$G,$I111)&amp;"",""))</f>
        <v/>
      </c>
      <c r="C111" s="68">
        <f>IF($H111&lt;&gt;"",IF(INDEX(Guests!$AD:$AD,$H111)&lt;&gt;"",HYPERLINK(INDEX(Guests!$AD:$AD,$H111),"💬 Remind"),"add mobile"),IF($I111&lt;&gt;"",IF(INDEX('Form Calc'!$AG:$AG,$I111)&lt;&gt;"",HYPERLINK(INDEX('Form Calc'!$AG:$AG,$I111),"💬 Remind"),"add mobile"),""))</f>
        <v/>
      </c>
      <c r="D111" s="67">
        <f>IF($H111&lt;&gt;"",INDEX(Guests!$Y:$Y,$H111)&amp;"",IF($I111&lt;&gt;"",INDEX('Form Calc'!$C:$C,$I111)&amp;"",""))</f>
        <v/>
      </c>
      <c r="E111" s="69">
        <f>IF($H111&lt;&gt;"",IF(INDEX(Guests!$N:$N,$H111)="","",INDEX(Guests!$N:$N,$H111)),"")</f>
        <v/>
      </c>
      <c r="F111" s="67">
        <f>IF($H111&lt;&gt;"",INDEX(Guests!$E:$E,$H111)&amp;"","")</f>
        <v/>
      </c>
      <c r="G111" s="67">
        <f>IF($H111&lt;&gt;"","Guest list",IF($I111&lt;&gt;"","RSVP form",""))</f>
        <v/>
      </c>
      <c r="H111" s="32">
        <f>IF(103&lt;=Guests!$AG$505,MATCH(103,Guests!$AH:$AH,0),"")</f>
        <v/>
      </c>
      <c r="I111" s="32">
        <f>IF(AND(103&gt;Guests!$AG$505,103&lt;=Guests!$AG$505+'Form Calc'!$AB$601),MATCH(103-Guests!$AG$505,'Form Calc'!$AC:$AC,0),"")</f>
        <v/>
      </c>
    </row>
    <row r="112">
      <c r="A112" s="66">
        <f>IF($H112&lt;&gt;"",INDEX(Guests!$A:$A,$H112)&amp;"",IF($I112&lt;&gt;"",INDEX('Form Calc'!$B:$B,$I112)&amp;"",""))</f>
        <v/>
      </c>
      <c r="B112" s="67">
        <f>IF($H112&lt;&gt;"",INDEX(Guests!$B:$B,$H112)&amp;"",IF($I112&lt;&gt;"",INDEX('Form Calc'!$G:$G,$I112)&amp;"",""))</f>
        <v/>
      </c>
      <c r="C112" s="68">
        <f>IF($H112&lt;&gt;"",IF(INDEX(Guests!$AD:$AD,$H112)&lt;&gt;"",HYPERLINK(INDEX(Guests!$AD:$AD,$H112),"💬 Remind"),"add mobile"),IF($I112&lt;&gt;"",IF(INDEX('Form Calc'!$AG:$AG,$I112)&lt;&gt;"",HYPERLINK(INDEX('Form Calc'!$AG:$AG,$I112),"💬 Remind"),"add mobile"),""))</f>
        <v/>
      </c>
      <c r="D112" s="67">
        <f>IF($H112&lt;&gt;"",INDEX(Guests!$Y:$Y,$H112)&amp;"",IF($I112&lt;&gt;"",INDEX('Form Calc'!$C:$C,$I112)&amp;"",""))</f>
        <v/>
      </c>
      <c r="E112" s="69">
        <f>IF($H112&lt;&gt;"",IF(INDEX(Guests!$N:$N,$H112)="","",INDEX(Guests!$N:$N,$H112)),"")</f>
        <v/>
      </c>
      <c r="F112" s="67">
        <f>IF($H112&lt;&gt;"",INDEX(Guests!$E:$E,$H112)&amp;"","")</f>
        <v/>
      </c>
      <c r="G112" s="67">
        <f>IF($H112&lt;&gt;"","Guest list",IF($I112&lt;&gt;"","RSVP form",""))</f>
        <v/>
      </c>
      <c r="H112" s="32">
        <f>IF(104&lt;=Guests!$AG$505,MATCH(104,Guests!$AH:$AH,0),"")</f>
        <v/>
      </c>
      <c r="I112" s="32">
        <f>IF(AND(104&gt;Guests!$AG$505,104&lt;=Guests!$AG$505+'Form Calc'!$AB$601),MATCH(104-Guests!$AG$505,'Form Calc'!$AC:$AC,0),"")</f>
        <v/>
      </c>
    </row>
    <row r="113">
      <c r="A113" s="66">
        <f>IF($H113&lt;&gt;"",INDEX(Guests!$A:$A,$H113)&amp;"",IF($I113&lt;&gt;"",INDEX('Form Calc'!$B:$B,$I113)&amp;"",""))</f>
        <v/>
      </c>
      <c r="B113" s="67">
        <f>IF($H113&lt;&gt;"",INDEX(Guests!$B:$B,$H113)&amp;"",IF($I113&lt;&gt;"",INDEX('Form Calc'!$G:$G,$I113)&amp;"",""))</f>
        <v/>
      </c>
      <c r="C113" s="68">
        <f>IF($H113&lt;&gt;"",IF(INDEX(Guests!$AD:$AD,$H113)&lt;&gt;"",HYPERLINK(INDEX(Guests!$AD:$AD,$H113),"💬 Remind"),"add mobile"),IF($I113&lt;&gt;"",IF(INDEX('Form Calc'!$AG:$AG,$I113)&lt;&gt;"",HYPERLINK(INDEX('Form Calc'!$AG:$AG,$I113),"💬 Remind"),"add mobile"),""))</f>
        <v/>
      </c>
      <c r="D113" s="67">
        <f>IF($H113&lt;&gt;"",INDEX(Guests!$Y:$Y,$H113)&amp;"",IF($I113&lt;&gt;"",INDEX('Form Calc'!$C:$C,$I113)&amp;"",""))</f>
        <v/>
      </c>
      <c r="E113" s="69">
        <f>IF($H113&lt;&gt;"",IF(INDEX(Guests!$N:$N,$H113)="","",INDEX(Guests!$N:$N,$H113)),"")</f>
        <v/>
      </c>
      <c r="F113" s="67">
        <f>IF($H113&lt;&gt;"",INDEX(Guests!$E:$E,$H113)&amp;"","")</f>
        <v/>
      </c>
      <c r="G113" s="67">
        <f>IF($H113&lt;&gt;"","Guest list",IF($I113&lt;&gt;"","RSVP form",""))</f>
        <v/>
      </c>
      <c r="H113" s="32">
        <f>IF(105&lt;=Guests!$AG$505,MATCH(105,Guests!$AH:$AH,0),"")</f>
        <v/>
      </c>
      <c r="I113" s="32">
        <f>IF(AND(105&gt;Guests!$AG$505,105&lt;=Guests!$AG$505+'Form Calc'!$AB$601),MATCH(105-Guests!$AG$505,'Form Calc'!$AC:$AC,0),"")</f>
        <v/>
      </c>
    </row>
    <row r="114">
      <c r="A114" s="66">
        <f>IF($H114&lt;&gt;"",INDEX(Guests!$A:$A,$H114)&amp;"",IF($I114&lt;&gt;"",INDEX('Form Calc'!$B:$B,$I114)&amp;"",""))</f>
        <v/>
      </c>
      <c r="B114" s="67">
        <f>IF($H114&lt;&gt;"",INDEX(Guests!$B:$B,$H114)&amp;"",IF($I114&lt;&gt;"",INDEX('Form Calc'!$G:$G,$I114)&amp;"",""))</f>
        <v/>
      </c>
      <c r="C114" s="68">
        <f>IF($H114&lt;&gt;"",IF(INDEX(Guests!$AD:$AD,$H114)&lt;&gt;"",HYPERLINK(INDEX(Guests!$AD:$AD,$H114),"💬 Remind"),"add mobile"),IF($I114&lt;&gt;"",IF(INDEX('Form Calc'!$AG:$AG,$I114)&lt;&gt;"",HYPERLINK(INDEX('Form Calc'!$AG:$AG,$I114),"💬 Remind"),"add mobile"),""))</f>
        <v/>
      </c>
      <c r="D114" s="67">
        <f>IF($H114&lt;&gt;"",INDEX(Guests!$Y:$Y,$H114)&amp;"",IF($I114&lt;&gt;"",INDEX('Form Calc'!$C:$C,$I114)&amp;"",""))</f>
        <v/>
      </c>
      <c r="E114" s="69">
        <f>IF($H114&lt;&gt;"",IF(INDEX(Guests!$N:$N,$H114)="","",INDEX(Guests!$N:$N,$H114)),"")</f>
        <v/>
      </c>
      <c r="F114" s="67">
        <f>IF($H114&lt;&gt;"",INDEX(Guests!$E:$E,$H114)&amp;"","")</f>
        <v/>
      </c>
      <c r="G114" s="67">
        <f>IF($H114&lt;&gt;"","Guest list",IF($I114&lt;&gt;"","RSVP form",""))</f>
        <v/>
      </c>
      <c r="H114" s="32">
        <f>IF(106&lt;=Guests!$AG$505,MATCH(106,Guests!$AH:$AH,0),"")</f>
        <v/>
      </c>
      <c r="I114" s="32">
        <f>IF(AND(106&gt;Guests!$AG$505,106&lt;=Guests!$AG$505+'Form Calc'!$AB$601),MATCH(106-Guests!$AG$505,'Form Calc'!$AC:$AC,0),"")</f>
        <v/>
      </c>
    </row>
    <row r="115">
      <c r="A115" s="66">
        <f>IF($H115&lt;&gt;"",INDEX(Guests!$A:$A,$H115)&amp;"",IF($I115&lt;&gt;"",INDEX('Form Calc'!$B:$B,$I115)&amp;"",""))</f>
        <v/>
      </c>
      <c r="B115" s="67">
        <f>IF($H115&lt;&gt;"",INDEX(Guests!$B:$B,$H115)&amp;"",IF($I115&lt;&gt;"",INDEX('Form Calc'!$G:$G,$I115)&amp;"",""))</f>
        <v/>
      </c>
      <c r="C115" s="68">
        <f>IF($H115&lt;&gt;"",IF(INDEX(Guests!$AD:$AD,$H115)&lt;&gt;"",HYPERLINK(INDEX(Guests!$AD:$AD,$H115),"💬 Remind"),"add mobile"),IF($I115&lt;&gt;"",IF(INDEX('Form Calc'!$AG:$AG,$I115)&lt;&gt;"",HYPERLINK(INDEX('Form Calc'!$AG:$AG,$I115),"💬 Remind"),"add mobile"),""))</f>
        <v/>
      </c>
      <c r="D115" s="67">
        <f>IF($H115&lt;&gt;"",INDEX(Guests!$Y:$Y,$H115)&amp;"",IF($I115&lt;&gt;"",INDEX('Form Calc'!$C:$C,$I115)&amp;"",""))</f>
        <v/>
      </c>
      <c r="E115" s="69">
        <f>IF($H115&lt;&gt;"",IF(INDEX(Guests!$N:$N,$H115)="","",INDEX(Guests!$N:$N,$H115)),"")</f>
        <v/>
      </c>
      <c r="F115" s="67">
        <f>IF($H115&lt;&gt;"",INDEX(Guests!$E:$E,$H115)&amp;"","")</f>
        <v/>
      </c>
      <c r="G115" s="67">
        <f>IF($H115&lt;&gt;"","Guest list",IF($I115&lt;&gt;"","RSVP form",""))</f>
        <v/>
      </c>
      <c r="H115" s="32">
        <f>IF(107&lt;=Guests!$AG$505,MATCH(107,Guests!$AH:$AH,0),"")</f>
        <v/>
      </c>
      <c r="I115" s="32">
        <f>IF(AND(107&gt;Guests!$AG$505,107&lt;=Guests!$AG$505+'Form Calc'!$AB$601),MATCH(107-Guests!$AG$505,'Form Calc'!$AC:$AC,0),"")</f>
        <v/>
      </c>
    </row>
    <row r="116">
      <c r="A116" s="66">
        <f>IF($H116&lt;&gt;"",INDEX(Guests!$A:$A,$H116)&amp;"",IF($I116&lt;&gt;"",INDEX('Form Calc'!$B:$B,$I116)&amp;"",""))</f>
        <v/>
      </c>
      <c r="B116" s="67">
        <f>IF($H116&lt;&gt;"",INDEX(Guests!$B:$B,$H116)&amp;"",IF($I116&lt;&gt;"",INDEX('Form Calc'!$G:$G,$I116)&amp;"",""))</f>
        <v/>
      </c>
      <c r="C116" s="68">
        <f>IF($H116&lt;&gt;"",IF(INDEX(Guests!$AD:$AD,$H116)&lt;&gt;"",HYPERLINK(INDEX(Guests!$AD:$AD,$H116),"💬 Remind"),"add mobile"),IF($I116&lt;&gt;"",IF(INDEX('Form Calc'!$AG:$AG,$I116)&lt;&gt;"",HYPERLINK(INDEX('Form Calc'!$AG:$AG,$I116),"💬 Remind"),"add mobile"),""))</f>
        <v/>
      </c>
      <c r="D116" s="67">
        <f>IF($H116&lt;&gt;"",INDEX(Guests!$Y:$Y,$H116)&amp;"",IF($I116&lt;&gt;"",INDEX('Form Calc'!$C:$C,$I116)&amp;"",""))</f>
        <v/>
      </c>
      <c r="E116" s="69">
        <f>IF($H116&lt;&gt;"",IF(INDEX(Guests!$N:$N,$H116)="","",INDEX(Guests!$N:$N,$H116)),"")</f>
        <v/>
      </c>
      <c r="F116" s="67">
        <f>IF($H116&lt;&gt;"",INDEX(Guests!$E:$E,$H116)&amp;"","")</f>
        <v/>
      </c>
      <c r="G116" s="67">
        <f>IF($H116&lt;&gt;"","Guest list",IF($I116&lt;&gt;"","RSVP form",""))</f>
        <v/>
      </c>
      <c r="H116" s="32">
        <f>IF(108&lt;=Guests!$AG$505,MATCH(108,Guests!$AH:$AH,0),"")</f>
        <v/>
      </c>
      <c r="I116" s="32">
        <f>IF(AND(108&gt;Guests!$AG$505,108&lt;=Guests!$AG$505+'Form Calc'!$AB$601),MATCH(108-Guests!$AG$505,'Form Calc'!$AC:$AC,0),"")</f>
        <v/>
      </c>
    </row>
    <row r="117">
      <c r="A117" s="66">
        <f>IF($H117&lt;&gt;"",INDEX(Guests!$A:$A,$H117)&amp;"",IF($I117&lt;&gt;"",INDEX('Form Calc'!$B:$B,$I117)&amp;"",""))</f>
        <v/>
      </c>
      <c r="B117" s="67">
        <f>IF($H117&lt;&gt;"",INDEX(Guests!$B:$B,$H117)&amp;"",IF($I117&lt;&gt;"",INDEX('Form Calc'!$G:$G,$I117)&amp;"",""))</f>
        <v/>
      </c>
      <c r="C117" s="68">
        <f>IF($H117&lt;&gt;"",IF(INDEX(Guests!$AD:$AD,$H117)&lt;&gt;"",HYPERLINK(INDEX(Guests!$AD:$AD,$H117),"💬 Remind"),"add mobile"),IF($I117&lt;&gt;"",IF(INDEX('Form Calc'!$AG:$AG,$I117)&lt;&gt;"",HYPERLINK(INDEX('Form Calc'!$AG:$AG,$I117),"💬 Remind"),"add mobile"),""))</f>
        <v/>
      </c>
      <c r="D117" s="67">
        <f>IF($H117&lt;&gt;"",INDEX(Guests!$Y:$Y,$H117)&amp;"",IF($I117&lt;&gt;"",INDEX('Form Calc'!$C:$C,$I117)&amp;"",""))</f>
        <v/>
      </c>
      <c r="E117" s="69">
        <f>IF($H117&lt;&gt;"",IF(INDEX(Guests!$N:$N,$H117)="","",INDEX(Guests!$N:$N,$H117)),"")</f>
        <v/>
      </c>
      <c r="F117" s="67">
        <f>IF($H117&lt;&gt;"",INDEX(Guests!$E:$E,$H117)&amp;"","")</f>
        <v/>
      </c>
      <c r="G117" s="67">
        <f>IF($H117&lt;&gt;"","Guest list",IF($I117&lt;&gt;"","RSVP form",""))</f>
        <v/>
      </c>
      <c r="H117" s="32">
        <f>IF(109&lt;=Guests!$AG$505,MATCH(109,Guests!$AH:$AH,0),"")</f>
        <v/>
      </c>
      <c r="I117" s="32">
        <f>IF(AND(109&gt;Guests!$AG$505,109&lt;=Guests!$AG$505+'Form Calc'!$AB$601),MATCH(109-Guests!$AG$505,'Form Calc'!$AC:$AC,0),"")</f>
        <v/>
      </c>
    </row>
    <row r="118">
      <c r="A118" s="66">
        <f>IF($H118&lt;&gt;"",INDEX(Guests!$A:$A,$H118)&amp;"",IF($I118&lt;&gt;"",INDEX('Form Calc'!$B:$B,$I118)&amp;"",""))</f>
        <v/>
      </c>
      <c r="B118" s="67">
        <f>IF($H118&lt;&gt;"",INDEX(Guests!$B:$B,$H118)&amp;"",IF($I118&lt;&gt;"",INDEX('Form Calc'!$G:$G,$I118)&amp;"",""))</f>
        <v/>
      </c>
      <c r="C118" s="68">
        <f>IF($H118&lt;&gt;"",IF(INDEX(Guests!$AD:$AD,$H118)&lt;&gt;"",HYPERLINK(INDEX(Guests!$AD:$AD,$H118),"💬 Remind"),"add mobile"),IF($I118&lt;&gt;"",IF(INDEX('Form Calc'!$AG:$AG,$I118)&lt;&gt;"",HYPERLINK(INDEX('Form Calc'!$AG:$AG,$I118),"💬 Remind"),"add mobile"),""))</f>
        <v/>
      </c>
      <c r="D118" s="67">
        <f>IF($H118&lt;&gt;"",INDEX(Guests!$Y:$Y,$H118)&amp;"",IF($I118&lt;&gt;"",INDEX('Form Calc'!$C:$C,$I118)&amp;"",""))</f>
        <v/>
      </c>
      <c r="E118" s="69">
        <f>IF($H118&lt;&gt;"",IF(INDEX(Guests!$N:$N,$H118)="","",INDEX(Guests!$N:$N,$H118)),"")</f>
        <v/>
      </c>
      <c r="F118" s="67">
        <f>IF($H118&lt;&gt;"",INDEX(Guests!$E:$E,$H118)&amp;"","")</f>
        <v/>
      </c>
      <c r="G118" s="67">
        <f>IF($H118&lt;&gt;"","Guest list",IF($I118&lt;&gt;"","RSVP form",""))</f>
        <v/>
      </c>
      <c r="H118" s="32">
        <f>IF(110&lt;=Guests!$AG$505,MATCH(110,Guests!$AH:$AH,0),"")</f>
        <v/>
      </c>
      <c r="I118" s="32">
        <f>IF(AND(110&gt;Guests!$AG$505,110&lt;=Guests!$AG$505+'Form Calc'!$AB$601),MATCH(110-Guests!$AG$505,'Form Calc'!$AC:$AC,0),"")</f>
        <v/>
      </c>
    </row>
    <row r="119">
      <c r="A119" s="66">
        <f>IF($H119&lt;&gt;"",INDEX(Guests!$A:$A,$H119)&amp;"",IF($I119&lt;&gt;"",INDEX('Form Calc'!$B:$B,$I119)&amp;"",""))</f>
        <v/>
      </c>
      <c r="B119" s="67">
        <f>IF($H119&lt;&gt;"",INDEX(Guests!$B:$B,$H119)&amp;"",IF($I119&lt;&gt;"",INDEX('Form Calc'!$G:$G,$I119)&amp;"",""))</f>
        <v/>
      </c>
      <c r="C119" s="68">
        <f>IF($H119&lt;&gt;"",IF(INDEX(Guests!$AD:$AD,$H119)&lt;&gt;"",HYPERLINK(INDEX(Guests!$AD:$AD,$H119),"💬 Remind"),"add mobile"),IF($I119&lt;&gt;"",IF(INDEX('Form Calc'!$AG:$AG,$I119)&lt;&gt;"",HYPERLINK(INDEX('Form Calc'!$AG:$AG,$I119),"💬 Remind"),"add mobile"),""))</f>
        <v/>
      </c>
      <c r="D119" s="67">
        <f>IF($H119&lt;&gt;"",INDEX(Guests!$Y:$Y,$H119)&amp;"",IF($I119&lt;&gt;"",INDEX('Form Calc'!$C:$C,$I119)&amp;"",""))</f>
        <v/>
      </c>
      <c r="E119" s="69">
        <f>IF($H119&lt;&gt;"",IF(INDEX(Guests!$N:$N,$H119)="","",INDEX(Guests!$N:$N,$H119)),"")</f>
        <v/>
      </c>
      <c r="F119" s="67">
        <f>IF($H119&lt;&gt;"",INDEX(Guests!$E:$E,$H119)&amp;"","")</f>
        <v/>
      </c>
      <c r="G119" s="67">
        <f>IF($H119&lt;&gt;"","Guest list",IF($I119&lt;&gt;"","RSVP form",""))</f>
        <v/>
      </c>
      <c r="H119" s="32">
        <f>IF(111&lt;=Guests!$AG$505,MATCH(111,Guests!$AH:$AH,0),"")</f>
        <v/>
      </c>
      <c r="I119" s="32">
        <f>IF(AND(111&gt;Guests!$AG$505,111&lt;=Guests!$AG$505+'Form Calc'!$AB$601),MATCH(111-Guests!$AG$505,'Form Calc'!$AC:$AC,0),"")</f>
        <v/>
      </c>
    </row>
    <row r="120">
      <c r="A120" s="66">
        <f>IF($H120&lt;&gt;"",INDEX(Guests!$A:$A,$H120)&amp;"",IF($I120&lt;&gt;"",INDEX('Form Calc'!$B:$B,$I120)&amp;"",""))</f>
        <v/>
      </c>
      <c r="B120" s="67">
        <f>IF($H120&lt;&gt;"",INDEX(Guests!$B:$B,$H120)&amp;"",IF($I120&lt;&gt;"",INDEX('Form Calc'!$G:$G,$I120)&amp;"",""))</f>
        <v/>
      </c>
      <c r="C120" s="68">
        <f>IF($H120&lt;&gt;"",IF(INDEX(Guests!$AD:$AD,$H120)&lt;&gt;"",HYPERLINK(INDEX(Guests!$AD:$AD,$H120),"💬 Remind"),"add mobile"),IF($I120&lt;&gt;"",IF(INDEX('Form Calc'!$AG:$AG,$I120)&lt;&gt;"",HYPERLINK(INDEX('Form Calc'!$AG:$AG,$I120),"💬 Remind"),"add mobile"),""))</f>
        <v/>
      </c>
      <c r="D120" s="67">
        <f>IF($H120&lt;&gt;"",INDEX(Guests!$Y:$Y,$H120)&amp;"",IF($I120&lt;&gt;"",INDEX('Form Calc'!$C:$C,$I120)&amp;"",""))</f>
        <v/>
      </c>
      <c r="E120" s="69">
        <f>IF($H120&lt;&gt;"",IF(INDEX(Guests!$N:$N,$H120)="","",INDEX(Guests!$N:$N,$H120)),"")</f>
        <v/>
      </c>
      <c r="F120" s="67">
        <f>IF($H120&lt;&gt;"",INDEX(Guests!$E:$E,$H120)&amp;"","")</f>
        <v/>
      </c>
      <c r="G120" s="67">
        <f>IF($H120&lt;&gt;"","Guest list",IF($I120&lt;&gt;"","RSVP form",""))</f>
        <v/>
      </c>
      <c r="H120" s="32">
        <f>IF(112&lt;=Guests!$AG$505,MATCH(112,Guests!$AH:$AH,0),"")</f>
        <v/>
      </c>
      <c r="I120" s="32">
        <f>IF(AND(112&gt;Guests!$AG$505,112&lt;=Guests!$AG$505+'Form Calc'!$AB$601),MATCH(112-Guests!$AG$505,'Form Calc'!$AC:$AC,0),"")</f>
        <v/>
      </c>
    </row>
    <row r="121">
      <c r="A121" s="66">
        <f>IF($H121&lt;&gt;"",INDEX(Guests!$A:$A,$H121)&amp;"",IF($I121&lt;&gt;"",INDEX('Form Calc'!$B:$B,$I121)&amp;"",""))</f>
        <v/>
      </c>
      <c r="B121" s="67">
        <f>IF($H121&lt;&gt;"",INDEX(Guests!$B:$B,$H121)&amp;"",IF($I121&lt;&gt;"",INDEX('Form Calc'!$G:$G,$I121)&amp;"",""))</f>
        <v/>
      </c>
      <c r="C121" s="68">
        <f>IF($H121&lt;&gt;"",IF(INDEX(Guests!$AD:$AD,$H121)&lt;&gt;"",HYPERLINK(INDEX(Guests!$AD:$AD,$H121),"💬 Remind"),"add mobile"),IF($I121&lt;&gt;"",IF(INDEX('Form Calc'!$AG:$AG,$I121)&lt;&gt;"",HYPERLINK(INDEX('Form Calc'!$AG:$AG,$I121),"💬 Remind"),"add mobile"),""))</f>
        <v/>
      </c>
      <c r="D121" s="67">
        <f>IF($H121&lt;&gt;"",INDEX(Guests!$Y:$Y,$H121)&amp;"",IF($I121&lt;&gt;"",INDEX('Form Calc'!$C:$C,$I121)&amp;"",""))</f>
        <v/>
      </c>
      <c r="E121" s="69">
        <f>IF($H121&lt;&gt;"",IF(INDEX(Guests!$N:$N,$H121)="","",INDEX(Guests!$N:$N,$H121)),"")</f>
        <v/>
      </c>
      <c r="F121" s="67">
        <f>IF($H121&lt;&gt;"",INDEX(Guests!$E:$E,$H121)&amp;"","")</f>
        <v/>
      </c>
      <c r="G121" s="67">
        <f>IF($H121&lt;&gt;"","Guest list",IF($I121&lt;&gt;"","RSVP form",""))</f>
        <v/>
      </c>
      <c r="H121" s="32">
        <f>IF(113&lt;=Guests!$AG$505,MATCH(113,Guests!$AH:$AH,0),"")</f>
        <v/>
      </c>
      <c r="I121" s="32">
        <f>IF(AND(113&gt;Guests!$AG$505,113&lt;=Guests!$AG$505+'Form Calc'!$AB$601),MATCH(113-Guests!$AG$505,'Form Calc'!$AC:$AC,0),"")</f>
        <v/>
      </c>
    </row>
    <row r="122">
      <c r="A122" s="66">
        <f>IF($H122&lt;&gt;"",INDEX(Guests!$A:$A,$H122)&amp;"",IF($I122&lt;&gt;"",INDEX('Form Calc'!$B:$B,$I122)&amp;"",""))</f>
        <v/>
      </c>
      <c r="B122" s="67">
        <f>IF($H122&lt;&gt;"",INDEX(Guests!$B:$B,$H122)&amp;"",IF($I122&lt;&gt;"",INDEX('Form Calc'!$G:$G,$I122)&amp;"",""))</f>
        <v/>
      </c>
      <c r="C122" s="68">
        <f>IF($H122&lt;&gt;"",IF(INDEX(Guests!$AD:$AD,$H122)&lt;&gt;"",HYPERLINK(INDEX(Guests!$AD:$AD,$H122),"💬 Remind"),"add mobile"),IF($I122&lt;&gt;"",IF(INDEX('Form Calc'!$AG:$AG,$I122)&lt;&gt;"",HYPERLINK(INDEX('Form Calc'!$AG:$AG,$I122),"💬 Remind"),"add mobile"),""))</f>
        <v/>
      </c>
      <c r="D122" s="67">
        <f>IF($H122&lt;&gt;"",INDEX(Guests!$Y:$Y,$H122)&amp;"",IF($I122&lt;&gt;"",INDEX('Form Calc'!$C:$C,$I122)&amp;"",""))</f>
        <v/>
      </c>
      <c r="E122" s="69">
        <f>IF($H122&lt;&gt;"",IF(INDEX(Guests!$N:$N,$H122)="","",INDEX(Guests!$N:$N,$H122)),"")</f>
        <v/>
      </c>
      <c r="F122" s="67">
        <f>IF($H122&lt;&gt;"",INDEX(Guests!$E:$E,$H122)&amp;"","")</f>
        <v/>
      </c>
      <c r="G122" s="67">
        <f>IF($H122&lt;&gt;"","Guest list",IF($I122&lt;&gt;"","RSVP form",""))</f>
        <v/>
      </c>
      <c r="H122" s="32">
        <f>IF(114&lt;=Guests!$AG$505,MATCH(114,Guests!$AH:$AH,0),"")</f>
        <v/>
      </c>
      <c r="I122" s="32">
        <f>IF(AND(114&gt;Guests!$AG$505,114&lt;=Guests!$AG$505+'Form Calc'!$AB$601),MATCH(114-Guests!$AG$505,'Form Calc'!$AC:$AC,0),"")</f>
        <v/>
      </c>
    </row>
    <row r="123">
      <c r="A123" s="66">
        <f>IF($H123&lt;&gt;"",INDEX(Guests!$A:$A,$H123)&amp;"",IF($I123&lt;&gt;"",INDEX('Form Calc'!$B:$B,$I123)&amp;"",""))</f>
        <v/>
      </c>
      <c r="B123" s="67">
        <f>IF($H123&lt;&gt;"",INDEX(Guests!$B:$B,$H123)&amp;"",IF($I123&lt;&gt;"",INDEX('Form Calc'!$G:$G,$I123)&amp;"",""))</f>
        <v/>
      </c>
      <c r="C123" s="68">
        <f>IF($H123&lt;&gt;"",IF(INDEX(Guests!$AD:$AD,$H123)&lt;&gt;"",HYPERLINK(INDEX(Guests!$AD:$AD,$H123),"💬 Remind"),"add mobile"),IF($I123&lt;&gt;"",IF(INDEX('Form Calc'!$AG:$AG,$I123)&lt;&gt;"",HYPERLINK(INDEX('Form Calc'!$AG:$AG,$I123),"💬 Remind"),"add mobile"),""))</f>
        <v/>
      </c>
      <c r="D123" s="67">
        <f>IF($H123&lt;&gt;"",INDEX(Guests!$Y:$Y,$H123)&amp;"",IF($I123&lt;&gt;"",INDEX('Form Calc'!$C:$C,$I123)&amp;"",""))</f>
        <v/>
      </c>
      <c r="E123" s="69">
        <f>IF($H123&lt;&gt;"",IF(INDEX(Guests!$N:$N,$H123)="","",INDEX(Guests!$N:$N,$H123)),"")</f>
        <v/>
      </c>
      <c r="F123" s="67">
        <f>IF($H123&lt;&gt;"",INDEX(Guests!$E:$E,$H123)&amp;"","")</f>
        <v/>
      </c>
      <c r="G123" s="67">
        <f>IF($H123&lt;&gt;"","Guest list",IF($I123&lt;&gt;"","RSVP form",""))</f>
        <v/>
      </c>
      <c r="H123" s="32">
        <f>IF(115&lt;=Guests!$AG$505,MATCH(115,Guests!$AH:$AH,0),"")</f>
        <v/>
      </c>
      <c r="I123" s="32">
        <f>IF(AND(115&gt;Guests!$AG$505,115&lt;=Guests!$AG$505+'Form Calc'!$AB$601),MATCH(115-Guests!$AG$505,'Form Calc'!$AC:$AC,0),"")</f>
        <v/>
      </c>
    </row>
    <row r="124">
      <c r="A124" s="66">
        <f>IF($H124&lt;&gt;"",INDEX(Guests!$A:$A,$H124)&amp;"",IF($I124&lt;&gt;"",INDEX('Form Calc'!$B:$B,$I124)&amp;"",""))</f>
        <v/>
      </c>
      <c r="B124" s="67">
        <f>IF($H124&lt;&gt;"",INDEX(Guests!$B:$B,$H124)&amp;"",IF($I124&lt;&gt;"",INDEX('Form Calc'!$G:$G,$I124)&amp;"",""))</f>
        <v/>
      </c>
      <c r="C124" s="68">
        <f>IF($H124&lt;&gt;"",IF(INDEX(Guests!$AD:$AD,$H124)&lt;&gt;"",HYPERLINK(INDEX(Guests!$AD:$AD,$H124),"💬 Remind"),"add mobile"),IF($I124&lt;&gt;"",IF(INDEX('Form Calc'!$AG:$AG,$I124)&lt;&gt;"",HYPERLINK(INDEX('Form Calc'!$AG:$AG,$I124),"💬 Remind"),"add mobile"),""))</f>
        <v/>
      </c>
      <c r="D124" s="67">
        <f>IF($H124&lt;&gt;"",INDEX(Guests!$Y:$Y,$H124)&amp;"",IF($I124&lt;&gt;"",INDEX('Form Calc'!$C:$C,$I124)&amp;"",""))</f>
        <v/>
      </c>
      <c r="E124" s="69">
        <f>IF($H124&lt;&gt;"",IF(INDEX(Guests!$N:$N,$H124)="","",INDEX(Guests!$N:$N,$H124)),"")</f>
        <v/>
      </c>
      <c r="F124" s="67">
        <f>IF($H124&lt;&gt;"",INDEX(Guests!$E:$E,$H124)&amp;"","")</f>
        <v/>
      </c>
      <c r="G124" s="67">
        <f>IF($H124&lt;&gt;"","Guest list",IF($I124&lt;&gt;"","RSVP form",""))</f>
        <v/>
      </c>
      <c r="H124" s="32">
        <f>IF(116&lt;=Guests!$AG$505,MATCH(116,Guests!$AH:$AH,0),"")</f>
        <v/>
      </c>
      <c r="I124" s="32">
        <f>IF(AND(116&gt;Guests!$AG$505,116&lt;=Guests!$AG$505+'Form Calc'!$AB$601),MATCH(116-Guests!$AG$505,'Form Calc'!$AC:$AC,0),"")</f>
        <v/>
      </c>
    </row>
    <row r="125">
      <c r="A125" s="66">
        <f>IF($H125&lt;&gt;"",INDEX(Guests!$A:$A,$H125)&amp;"",IF($I125&lt;&gt;"",INDEX('Form Calc'!$B:$B,$I125)&amp;"",""))</f>
        <v/>
      </c>
      <c r="B125" s="67">
        <f>IF($H125&lt;&gt;"",INDEX(Guests!$B:$B,$H125)&amp;"",IF($I125&lt;&gt;"",INDEX('Form Calc'!$G:$G,$I125)&amp;"",""))</f>
        <v/>
      </c>
      <c r="C125" s="68">
        <f>IF($H125&lt;&gt;"",IF(INDEX(Guests!$AD:$AD,$H125)&lt;&gt;"",HYPERLINK(INDEX(Guests!$AD:$AD,$H125),"💬 Remind"),"add mobile"),IF($I125&lt;&gt;"",IF(INDEX('Form Calc'!$AG:$AG,$I125)&lt;&gt;"",HYPERLINK(INDEX('Form Calc'!$AG:$AG,$I125),"💬 Remind"),"add mobile"),""))</f>
        <v/>
      </c>
      <c r="D125" s="67">
        <f>IF($H125&lt;&gt;"",INDEX(Guests!$Y:$Y,$H125)&amp;"",IF($I125&lt;&gt;"",INDEX('Form Calc'!$C:$C,$I125)&amp;"",""))</f>
        <v/>
      </c>
      <c r="E125" s="69">
        <f>IF($H125&lt;&gt;"",IF(INDEX(Guests!$N:$N,$H125)="","",INDEX(Guests!$N:$N,$H125)),"")</f>
        <v/>
      </c>
      <c r="F125" s="67">
        <f>IF($H125&lt;&gt;"",INDEX(Guests!$E:$E,$H125)&amp;"","")</f>
        <v/>
      </c>
      <c r="G125" s="67">
        <f>IF($H125&lt;&gt;"","Guest list",IF($I125&lt;&gt;"","RSVP form",""))</f>
        <v/>
      </c>
      <c r="H125" s="32">
        <f>IF(117&lt;=Guests!$AG$505,MATCH(117,Guests!$AH:$AH,0),"")</f>
        <v/>
      </c>
      <c r="I125" s="32">
        <f>IF(AND(117&gt;Guests!$AG$505,117&lt;=Guests!$AG$505+'Form Calc'!$AB$601),MATCH(117-Guests!$AG$505,'Form Calc'!$AC:$AC,0),"")</f>
        <v/>
      </c>
    </row>
    <row r="126">
      <c r="A126" s="66">
        <f>IF($H126&lt;&gt;"",INDEX(Guests!$A:$A,$H126)&amp;"",IF($I126&lt;&gt;"",INDEX('Form Calc'!$B:$B,$I126)&amp;"",""))</f>
        <v/>
      </c>
      <c r="B126" s="67">
        <f>IF($H126&lt;&gt;"",INDEX(Guests!$B:$B,$H126)&amp;"",IF($I126&lt;&gt;"",INDEX('Form Calc'!$G:$G,$I126)&amp;"",""))</f>
        <v/>
      </c>
      <c r="C126" s="68">
        <f>IF($H126&lt;&gt;"",IF(INDEX(Guests!$AD:$AD,$H126)&lt;&gt;"",HYPERLINK(INDEX(Guests!$AD:$AD,$H126),"💬 Remind"),"add mobile"),IF($I126&lt;&gt;"",IF(INDEX('Form Calc'!$AG:$AG,$I126)&lt;&gt;"",HYPERLINK(INDEX('Form Calc'!$AG:$AG,$I126),"💬 Remind"),"add mobile"),""))</f>
        <v/>
      </c>
      <c r="D126" s="67">
        <f>IF($H126&lt;&gt;"",INDEX(Guests!$Y:$Y,$H126)&amp;"",IF($I126&lt;&gt;"",INDEX('Form Calc'!$C:$C,$I126)&amp;"",""))</f>
        <v/>
      </c>
      <c r="E126" s="69">
        <f>IF($H126&lt;&gt;"",IF(INDEX(Guests!$N:$N,$H126)="","",INDEX(Guests!$N:$N,$H126)),"")</f>
        <v/>
      </c>
      <c r="F126" s="67">
        <f>IF($H126&lt;&gt;"",INDEX(Guests!$E:$E,$H126)&amp;"","")</f>
        <v/>
      </c>
      <c r="G126" s="67">
        <f>IF($H126&lt;&gt;"","Guest list",IF($I126&lt;&gt;"","RSVP form",""))</f>
        <v/>
      </c>
      <c r="H126" s="32">
        <f>IF(118&lt;=Guests!$AG$505,MATCH(118,Guests!$AH:$AH,0),"")</f>
        <v/>
      </c>
      <c r="I126" s="32">
        <f>IF(AND(118&gt;Guests!$AG$505,118&lt;=Guests!$AG$505+'Form Calc'!$AB$601),MATCH(118-Guests!$AG$505,'Form Calc'!$AC:$AC,0),"")</f>
        <v/>
      </c>
    </row>
    <row r="127">
      <c r="A127" s="66">
        <f>IF($H127&lt;&gt;"",INDEX(Guests!$A:$A,$H127)&amp;"",IF($I127&lt;&gt;"",INDEX('Form Calc'!$B:$B,$I127)&amp;"",""))</f>
        <v/>
      </c>
      <c r="B127" s="67">
        <f>IF($H127&lt;&gt;"",INDEX(Guests!$B:$B,$H127)&amp;"",IF($I127&lt;&gt;"",INDEX('Form Calc'!$G:$G,$I127)&amp;"",""))</f>
        <v/>
      </c>
      <c r="C127" s="68">
        <f>IF($H127&lt;&gt;"",IF(INDEX(Guests!$AD:$AD,$H127)&lt;&gt;"",HYPERLINK(INDEX(Guests!$AD:$AD,$H127),"💬 Remind"),"add mobile"),IF($I127&lt;&gt;"",IF(INDEX('Form Calc'!$AG:$AG,$I127)&lt;&gt;"",HYPERLINK(INDEX('Form Calc'!$AG:$AG,$I127),"💬 Remind"),"add mobile"),""))</f>
        <v/>
      </c>
      <c r="D127" s="67">
        <f>IF($H127&lt;&gt;"",INDEX(Guests!$Y:$Y,$H127)&amp;"",IF($I127&lt;&gt;"",INDEX('Form Calc'!$C:$C,$I127)&amp;"",""))</f>
        <v/>
      </c>
      <c r="E127" s="69">
        <f>IF($H127&lt;&gt;"",IF(INDEX(Guests!$N:$N,$H127)="","",INDEX(Guests!$N:$N,$H127)),"")</f>
        <v/>
      </c>
      <c r="F127" s="67">
        <f>IF($H127&lt;&gt;"",INDEX(Guests!$E:$E,$H127)&amp;"","")</f>
        <v/>
      </c>
      <c r="G127" s="67">
        <f>IF($H127&lt;&gt;"","Guest list",IF($I127&lt;&gt;"","RSVP form",""))</f>
        <v/>
      </c>
      <c r="H127" s="32">
        <f>IF(119&lt;=Guests!$AG$505,MATCH(119,Guests!$AH:$AH,0),"")</f>
        <v/>
      </c>
      <c r="I127" s="32">
        <f>IF(AND(119&gt;Guests!$AG$505,119&lt;=Guests!$AG$505+'Form Calc'!$AB$601),MATCH(119-Guests!$AG$505,'Form Calc'!$AC:$AC,0),"")</f>
        <v/>
      </c>
    </row>
    <row r="128">
      <c r="A128" s="66">
        <f>IF($H128&lt;&gt;"",INDEX(Guests!$A:$A,$H128)&amp;"",IF($I128&lt;&gt;"",INDEX('Form Calc'!$B:$B,$I128)&amp;"",""))</f>
        <v/>
      </c>
      <c r="B128" s="67">
        <f>IF($H128&lt;&gt;"",INDEX(Guests!$B:$B,$H128)&amp;"",IF($I128&lt;&gt;"",INDEX('Form Calc'!$G:$G,$I128)&amp;"",""))</f>
        <v/>
      </c>
      <c r="C128" s="68">
        <f>IF($H128&lt;&gt;"",IF(INDEX(Guests!$AD:$AD,$H128)&lt;&gt;"",HYPERLINK(INDEX(Guests!$AD:$AD,$H128),"💬 Remind"),"add mobile"),IF($I128&lt;&gt;"",IF(INDEX('Form Calc'!$AG:$AG,$I128)&lt;&gt;"",HYPERLINK(INDEX('Form Calc'!$AG:$AG,$I128),"💬 Remind"),"add mobile"),""))</f>
        <v/>
      </c>
      <c r="D128" s="67">
        <f>IF($H128&lt;&gt;"",INDEX(Guests!$Y:$Y,$H128)&amp;"",IF($I128&lt;&gt;"",INDEX('Form Calc'!$C:$C,$I128)&amp;"",""))</f>
        <v/>
      </c>
      <c r="E128" s="69">
        <f>IF($H128&lt;&gt;"",IF(INDEX(Guests!$N:$N,$H128)="","",INDEX(Guests!$N:$N,$H128)),"")</f>
        <v/>
      </c>
      <c r="F128" s="67">
        <f>IF($H128&lt;&gt;"",INDEX(Guests!$E:$E,$H128)&amp;"","")</f>
        <v/>
      </c>
      <c r="G128" s="67">
        <f>IF($H128&lt;&gt;"","Guest list",IF($I128&lt;&gt;"","RSVP form",""))</f>
        <v/>
      </c>
      <c r="H128" s="32">
        <f>IF(120&lt;=Guests!$AG$505,MATCH(120,Guests!$AH:$AH,0),"")</f>
        <v/>
      </c>
      <c r="I128" s="32">
        <f>IF(AND(120&gt;Guests!$AG$505,120&lt;=Guests!$AG$505+'Form Calc'!$AB$601),MATCH(120-Guests!$AG$505,'Form Calc'!$AC:$AC,0),"")</f>
        <v/>
      </c>
    </row>
    <row r="129">
      <c r="A129" s="66">
        <f>IF($H129&lt;&gt;"",INDEX(Guests!$A:$A,$H129)&amp;"",IF($I129&lt;&gt;"",INDEX('Form Calc'!$B:$B,$I129)&amp;"",""))</f>
        <v/>
      </c>
      <c r="B129" s="67">
        <f>IF($H129&lt;&gt;"",INDEX(Guests!$B:$B,$H129)&amp;"",IF($I129&lt;&gt;"",INDEX('Form Calc'!$G:$G,$I129)&amp;"",""))</f>
        <v/>
      </c>
      <c r="C129" s="68">
        <f>IF($H129&lt;&gt;"",IF(INDEX(Guests!$AD:$AD,$H129)&lt;&gt;"",HYPERLINK(INDEX(Guests!$AD:$AD,$H129),"💬 Remind"),"add mobile"),IF($I129&lt;&gt;"",IF(INDEX('Form Calc'!$AG:$AG,$I129)&lt;&gt;"",HYPERLINK(INDEX('Form Calc'!$AG:$AG,$I129),"💬 Remind"),"add mobile"),""))</f>
        <v/>
      </c>
      <c r="D129" s="67">
        <f>IF($H129&lt;&gt;"",INDEX(Guests!$Y:$Y,$H129)&amp;"",IF($I129&lt;&gt;"",INDEX('Form Calc'!$C:$C,$I129)&amp;"",""))</f>
        <v/>
      </c>
      <c r="E129" s="69">
        <f>IF($H129&lt;&gt;"",IF(INDEX(Guests!$N:$N,$H129)="","",INDEX(Guests!$N:$N,$H129)),"")</f>
        <v/>
      </c>
      <c r="F129" s="67">
        <f>IF($H129&lt;&gt;"",INDEX(Guests!$E:$E,$H129)&amp;"","")</f>
        <v/>
      </c>
      <c r="G129" s="67">
        <f>IF($H129&lt;&gt;"","Guest list",IF($I129&lt;&gt;"","RSVP form",""))</f>
        <v/>
      </c>
      <c r="H129" s="32">
        <f>IF(121&lt;=Guests!$AG$505,MATCH(121,Guests!$AH:$AH,0),"")</f>
        <v/>
      </c>
      <c r="I129" s="32">
        <f>IF(AND(121&gt;Guests!$AG$505,121&lt;=Guests!$AG$505+'Form Calc'!$AB$601),MATCH(121-Guests!$AG$505,'Form Calc'!$AC:$AC,0),"")</f>
        <v/>
      </c>
    </row>
    <row r="130">
      <c r="A130" s="66">
        <f>IF($H130&lt;&gt;"",INDEX(Guests!$A:$A,$H130)&amp;"",IF($I130&lt;&gt;"",INDEX('Form Calc'!$B:$B,$I130)&amp;"",""))</f>
        <v/>
      </c>
      <c r="B130" s="67">
        <f>IF($H130&lt;&gt;"",INDEX(Guests!$B:$B,$H130)&amp;"",IF($I130&lt;&gt;"",INDEX('Form Calc'!$G:$G,$I130)&amp;"",""))</f>
        <v/>
      </c>
      <c r="C130" s="68">
        <f>IF($H130&lt;&gt;"",IF(INDEX(Guests!$AD:$AD,$H130)&lt;&gt;"",HYPERLINK(INDEX(Guests!$AD:$AD,$H130),"💬 Remind"),"add mobile"),IF($I130&lt;&gt;"",IF(INDEX('Form Calc'!$AG:$AG,$I130)&lt;&gt;"",HYPERLINK(INDEX('Form Calc'!$AG:$AG,$I130),"💬 Remind"),"add mobile"),""))</f>
        <v/>
      </c>
      <c r="D130" s="67">
        <f>IF($H130&lt;&gt;"",INDEX(Guests!$Y:$Y,$H130)&amp;"",IF($I130&lt;&gt;"",INDEX('Form Calc'!$C:$C,$I130)&amp;"",""))</f>
        <v/>
      </c>
      <c r="E130" s="69">
        <f>IF($H130&lt;&gt;"",IF(INDEX(Guests!$N:$N,$H130)="","",INDEX(Guests!$N:$N,$H130)),"")</f>
        <v/>
      </c>
      <c r="F130" s="67">
        <f>IF($H130&lt;&gt;"",INDEX(Guests!$E:$E,$H130)&amp;"","")</f>
        <v/>
      </c>
      <c r="G130" s="67">
        <f>IF($H130&lt;&gt;"","Guest list",IF($I130&lt;&gt;"","RSVP form",""))</f>
        <v/>
      </c>
      <c r="H130" s="32">
        <f>IF(122&lt;=Guests!$AG$505,MATCH(122,Guests!$AH:$AH,0),"")</f>
        <v/>
      </c>
      <c r="I130" s="32">
        <f>IF(AND(122&gt;Guests!$AG$505,122&lt;=Guests!$AG$505+'Form Calc'!$AB$601),MATCH(122-Guests!$AG$505,'Form Calc'!$AC:$AC,0),"")</f>
        <v/>
      </c>
    </row>
    <row r="131">
      <c r="A131" s="66">
        <f>IF($H131&lt;&gt;"",INDEX(Guests!$A:$A,$H131)&amp;"",IF($I131&lt;&gt;"",INDEX('Form Calc'!$B:$B,$I131)&amp;"",""))</f>
        <v/>
      </c>
      <c r="B131" s="67">
        <f>IF($H131&lt;&gt;"",INDEX(Guests!$B:$B,$H131)&amp;"",IF($I131&lt;&gt;"",INDEX('Form Calc'!$G:$G,$I131)&amp;"",""))</f>
        <v/>
      </c>
      <c r="C131" s="68">
        <f>IF($H131&lt;&gt;"",IF(INDEX(Guests!$AD:$AD,$H131)&lt;&gt;"",HYPERLINK(INDEX(Guests!$AD:$AD,$H131),"💬 Remind"),"add mobile"),IF($I131&lt;&gt;"",IF(INDEX('Form Calc'!$AG:$AG,$I131)&lt;&gt;"",HYPERLINK(INDEX('Form Calc'!$AG:$AG,$I131),"💬 Remind"),"add mobile"),""))</f>
        <v/>
      </c>
      <c r="D131" s="67">
        <f>IF($H131&lt;&gt;"",INDEX(Guests!$Y:$Y,$H131)&amp;"",IF($I131&lt;&gt;"",INDEX('Form Calc'!$C:$C,$I131)&amp;"",""))</f>
        <v/>
      </c>
      <c r="E131" s="69">
        <f>IF($H131&lt;&gt;"",IF(INDEX(Guests!$N:$N,$H131)="","",INDEX(Guests!$N:$N,$H131)),"")</f>
        <v/>
      </c>
      <c r="F131" s="67">
        <f>IF($H131&lt;&gt;"",INDEX(Guests!$E:$E,$H131)&amp;"","")</f>
        <v/>
      </c>
      <c r="G131" s="67">
        <f>IF($H131&lt;&gt;"","Guest list",IF($I131&lt;&gt;"","RSVP form",""))</f>
        <v/>
      </c>
      <c r="H131" s="32">
        <f>IF(123&lt;=Guests!$AG$505,MATCH(123,Guests!$AH:$AH,0),"")</f>
        <v/>
      </c>
      <c r="I131" s="32">
        <f>IF(AND(123&gt;Guests!$AG$505,123&lt;=Guests!$AG$505+'Form Calc'!$AB$601),MATCH(123-Guests!$AG$505,'Form Calc'!$AC:$AC,0),"")</f>
        <v/>
      </c>
    </row>
    <row r="132">
      <c r="A132" s="66">
        <f>IF($H132&lt;&gt;"",INDEX(Guests!$A:$A,$H132)&amp;"",IF($I132&lt;&gt;"",INDEX('Form Calc'!$B:$B,$I132)&amp;"",""))</f>
        <v/>
      </c>
      <c r="B132" s="67">
        <f>IF($H132&lt;&gt;"",INDEX(Guests!$B:$B,$H132)&amp;"",IF($I132&lt;&gt;"",INDEX('Form Calc'!$G:$G,$I132)&amp;"",""))</f>
        <v/>
      </c>
      <c r="C132" s="68">
        <f>IF($H132&lt;&gt;"",IF(INDEX(Guests!$AD:$AD,$H132)&lt;&gt;"",HYPERLINK(INDEX(Guests!$AD:$AD,$H132),"💬 Remind"),"add mobile"),IF($I132&lt;&gt;"",IF(INDEX('Form Calc'!$AG:$AG,$I132)&lt;&gt;"",HYPERLINK(INDEX('Form Calc'!$AG:$AG,$I132),"💬 Remind"),"add mobile"),""))</f>
        <v/>
      </c>
      <c r="D132" s="67">
        <f>IF($H132&lt;&gt;"",INDEX(Guests!$Y:$Y,$H132)&amp;"",IF($I132&lt;&gt;"",INDEX('Form Calc'!$C:$C,$I132)&amp;"",""))</f>
        <v/>
      </c>
      <c r="E132" s="69">
        <f>IF($H132&lt;&gt;"",IF(INDEX(Guests!$N:$N,$H132)="","",INDEX(Guests!$N:$N,$H132)),"")</f>
        <v/>
      </c>
      <c r="F132" s="67">
        <f>IF($H132&lt;&gt;"",INDEX(Guests!$E:$E,$H132)&amp;"","")</f>
        <v/>
      </c>
      <c r="G132" s="67">
        <f>IF($H132&lt;&gt;"","Guest list",IF($I132&lt;&gt;"","RSVP form",""))</f>
        <v/>
      </c>
      <c r="H132" s="32">
        <f>IF(124&lt;=Guests!$AG$505,MATCH(124,Guests!$AH:$AH,0),"")</f>
        <v/>
      </c>
      <c r="I132" s="32">
        <f>IF(AND(124&gt;Guests!$AG$505,124&lt;=Guests!$AG$505+'Form Calc'!$AB$601),MATCH(124-Guests!$AG$505,'Form Calc'!$AC:$AC,0),"")</f>
        <v/>
      </c>
    </row>
    <row r="133">
      <c r="A133" s="66">
        <f>IF($H133&lt;&gt;"",INDEX(Guests!$A:$A,$H133)&amp;"",IF($I133&lt;&gt;"",INDEX('Form Calc'!$B:$B,$I133)&amp;"",""))</f>
        <v/>
      </c>
      <c r="B133" s="67">
        <f>IF($H133&lt;&gt;"",INDEX(Guests!$B:$B,$H133)&amp;"",IF($I133&lt;&gt;"",INDEX('Form Calc'!$G:$G,$I133)&amp;"",""))</f>
        <v/>
      </c>
      <c r="C133" s="68">
        <f>IF($H133&lt;&gt;"",IF(INDEX(Guests!$AD:$AD,$H133)&lt;&gt;"",HYPERLINK(INDEX(Guests!$AD:$AD,$H133),"💬 Remind"),"add mobile"),IF($I133&lt;&gt;"",IF(INDEX('Form Calc'!$AG:$AG,$I133)&lt;&gt;"",HYPERLINK(INDEX('Form Calc'!$AG:$AG,$I133),"💬 Remind"),"add mobile"),""))</f>
        <v/>
      </c>
      <c r="D133" s="67">
        <f>IF($H133&lt;&gt;"",INDEX(Guests!$Y:$Y,$H133)&amp;"",IF($I133&lt;&gt;"",INDEX('Form Calc'!$C:$C,$I133)&amp;"",""))</f>
        <v/>
      </c>
      <c r="E133" s="69">
        <f>IF($H133&lt;&gt;"",IF(INDEX(Guests!$N:$N,$H133)="","",INDEX(Guests!$N:$N,$H133)),"")</f>
        <v/>
      </c>
      <c r="F133" s="67">
        <f>IF($H133&lt;&gt;"",INDEX(Guests!$E:$E,$H133)&amp;"","")</f>
        <v/>
      </c>
      <c r="G133" s="67">
        <f>IF($H133&lt;&gt;"","Guest list",IF($I133&lt;&gt;"","RSVP form",""))</f>
        <v/>
      </c>
      <c r="H133" s="32">
        <f>IF(125&lt;=Guests!$AG$505,MATCH(125,Guests!$AH:$AH,0),"")</f>
        <v/>
      </c>
      <c r="I133" s="32">
        <f>IF(AND(125&gt;Guests!$AG$505,125&lt;=Guests!$AG$505+'Form Calc'!$AB$601),MATCH(125-Guests!$AG$505,'Form Calc'!$AC:$AC,0),"")</f>
        <v/>
      </c>
    </row>
    <row r="134">
      <c r="A134" s="66">
        <f>IF($H134&lt;&gt;"",INDEX(Guests!$A:$A,$H134)&amp;"",IF($I134&lt;&gt;"",INDEX('Form Calc'!$B:$B,$I134)&amp;"",""))</f>
        <v/>
      </c>
      <c r="B134" s="67">
        <f>IF($H134&lt;&gt;"",INDEX(Guests!$B:$B,$H134)&amp;"",IF($I134&lt;&gt;"",INDEX('Form Calc'!$G:$G,$I134)&amp;"",""))</f>
        <v/>
      </c>
      <c r="C134" s="68">
        <f>IF($H134&lt;&gt;"",IF(INDEX(Guests!$AD:$AD,$H134)&lt;&gt;"",HYPERLINK(INDEX(Guests!$AD:$AD,$H134),"💬 Remind"),"add mobile"),IF($I134&lt;&gt;"",IF(INDEX('Form Calc'!$AG:$AG,$I134)&lt;&gt;"",HYPERLINK(INDEX('Form Calc'!$AG:$AG,$I134),"💬 Remind"),"add mobile"),""))</f>
        <v/>
      </c>
      <c r="D134" s="67">
        <f>IF($H134&lt;&gt;"",INDEX(Guests!$Y:$Y,$H134)&amp;"",IF($I134&lt;&gt;"",INDEX('Form Calc'!$C:$C,$I134)&amp;"",""))</f>
        <v/>
      </c>
      <c r="E134" s="69">
        <f>IF($H134&lt;&gt;"",IF(INDEX(Guests!$N:$N,$H134)="","",INDEX(Guests!$N:$N,$H134)),"")</f>
        <v/>
      </c>
      <c r="F134" s="67">
        <f>IF($H134&lt;&gt;"",INDEX(Guests!$E:$E,$H134)&amp;"","")</f>
        <v/>
      </c>
      <c r="G134" s="67">
        <f>IF($H134&lt;&gt;"","Guest list",IF($I134&lt;&gt;"","RSVP form",""))</f>
        <v/>
      </c>
      <c r="H134" s="32">
        <f>IF(126&lt;=Guests!$AG$505,MATCH(126,Guests!$AH:$AH,0),"")</f>
        <v/>
      </c>
      <c r="I134" s="32">
        <f>IF(AND(126&gt;Guests!$AG$505,126&lt;=Guests!$AG$505+'Form Calc'!$AB$601),MATCH(126-Guests!$AG$505,'Form Calc'!$AC:$AC,0),"")</f>
        <v/>
      </c>
    </row>
    <row r="135">
      <c r="A135" s="66">
        <f>IF($H135&lt;&gt;"",INDEX(Guests!$A:$A,$H135)&amp;"",IF($I135&lt;&gt;"",INDEX('Form Calc'!$B:$B,$I135)&amp;"",""))</f>
        <v/>
      </c>
      <c r="B135" s="67">
        <f>IF($H135&lt;&gt;"",INDEX(Guests!$B:$B,$H135)&amp;"",IF($I135&lt;&gt;"",INDEX('Form Calc'!$G:$G,$I135)&amp;"",""))</f>
        <v/>
      </c>
      <c r="C135" s="68">
        <f>IF($H135&lt;&gt;"",IF(INDEX(Guests!$AD:$AD,$H135)&lt;&gt;"",HYPERLINK(INDEX(Guests!$AD:$AD,$H135),"💬 Remind"),"add mobile"),IF($I135&lt;&gt;"",IF(INDEX('Form Calc'!$AG:$AG,$I135)&lt;&gt;"",HYPERLINK(INDEX('Form Calc'!$AG:$AG,$I135),"💬 Remind"),"add mobile"),""))</f>
        <v/>
      </c>
      <c r="D135" s="67">
        <f>IF($H135&lt;&gt;"",INDEX(Guests!$Y:$Y,$H135)&amp;"",IF($I135&lt;&gt;"",INDEX('Form Calc'!$C:$C,$I135)&amp;"",""))</f>
        <v/>
      </c>
      <c r="E135" s="69">
        <f>IF($H135&lt;&gt;"",IF(INDEX(Guests!$N:$N,$H135)="","",INDEX(Guests!$N:$N,$H135)),"")</f>
        <v/>
      </c>
      <c r="F135" s="67">
        <f>IF($H135&lt;&gt;"",INDEX(Guests!$E:$E,$H135)&amp;"","")</f>
        <v/>
      </c>
      <c r="G135" s="67">
        <f>IF($H135&lt;&gt;"","Guest list",IF($I135&lt;&gt;"","RSVP form",""))</f>
        <v/>
      </c>
      <c r="H135" s="32">
        <f>IF(127&lt;=Guests!$AG$505,MATCH(127,Guests!$AH:$AH,0),"")</f>
        <v/>
      </c>
      <c r="I135" s="32">
        <f>IF(AND(127&gt;Guests!$AG$505,127&lt;=Guests!$AG$505+'Form Calc'!$AB$601),MATCH(127-Guests!$AG$505,'Form Calc'!$AC:$AC,0),"")</f>
        <v/>
      </c>
    </row>
    <row r="136">
      <c r="A136" s="66">
        <f>IF($H136&lt;&gt;"",INDEX(Guests!$A:$A,$H136)&amp;"",IF($I136&lt;&gt;"",INDEX('Form Calc'!$B:$B,$I136)&amp;"",""))</f>
        <v/>
      </c>
      <c r="B136" s="67">
        <f>IF($H136&lt;&gt;"",INDEX(Guests!$B:$B,$H136)&amp;"",IF($I136&lt;&gt;"",INDEX('Form Calc'!$G:$G,$I136)&amp;"",""))</f>
        <v/>
      </c>
      <c r="C136" s="68">
        <f>IF($H136&lt;&gt;"",IF(INDEX(Guests!$AD:$AD,$H136)&lt;&gt;"",HYPERLINK(INDEX(Guests!$AD:$AD,$H136),"💬 Remind"),"add mobile"),IF($I136&lt;&gt;"",IF(INDEX('Form Calc'!$AG:$AG,$I136)&lt;&gt;"",HYPERLINK(INDEX('Form Calc'!$AG:$AG,$I136),"💬 Remind"),"add mobile"),""))</f>
        <v/>
      </c>
      <c r="D136" s="67">
        <f>IF($H136&lt;&gt;"",INDEX(Guests!$Y:$Y,$H136)&amp;"",IF($I136&lt;&gt;"",INDEX('Form Calc'!$C:$C,$I136)&amp;"",""))</f>
        <v/>
      </c>
      <c r="E136" s="69">
        <f>IF($H136&lt;&gt;"",IF(INDEX(Guests!$N:$N,$H136)="","",INDEX(Guests!$N:$N,$H136)),"")</f>
        <v/>
      </c>
      <c r="F136" s="67">
        <f>IF($H136&lt;&gt;"",INDEX(Guests!$E:$E,$H136)&amp;"","")</f>
        <v/>
      </c>
      <c r="G136" s="67">
        <f>IF($H136&lt;&gt;"","Guest list",IF($I136&lt;&gt;"","RSVP form",""))</f>
        <v/>
      </c>
      <c r="H136" s="32">
        <f>IF(128&lt;=Guests!$AG$505,MATCH(128,Guests!$AH:$AH,0),"")</f>
        <v/>
      </c>
      <c r="I136" s="32">
        <f>IF(AND(128&gt;Guests!$AG$505,128&lt;=Guests!$AG$505+'Form Calc'!$AB$601),MATCH(128-Guests!$AG$505,'Form Calc'!$AC:$AC,0),"")</f>
        <v/>
      </c>
    </row>
    <row r="137">
      <c r="A137" s="66">
        <f>IF($H137&lt;&gt;"",INDEX(Guests!$A:$A,$H137)&amp;"",IF($I137&lt;&gt;"",INDEX('Form Calc'!$B:$B,$I137)&amp;"",""))</f>
        <v/>
      </c>
      <c r="B137" s="67">
        <f>IF($H137&lt;&gt;"",INDEX(Guests!$B:$B,$H137)&amp;"",IF($I137&lt;&gt;"",INDEX('Form Calc'!$G:$G,$I137)&amp;"",""))</f>
        <v/>
      </c>
      <c r="C137" s="68">
        <f>IF($H137&lt;&gt;"",IF(INDEX(Guests!$AD:$AD,$H137)&lt;&gt;"",HYPERLINK(INDEX(Guests!$AD:$AD,$H137),"💬 Remind"),"add mobile"),IF($I137&lt;&gt;"",IF(INDEX('Form Calc'!$AG:$AG,$I137)&lt;&gt;"",HYPERLINK(INDEX('Form Calc'!$AG:$AG,$I137),"💬 Remind"),"add mobile"),""))</f>
        <v/>
      </c>
      <c r="D137" s="67">
        <f>IF($H137&lt;&gt;"",INDEX(Guests!$Y:$Y,$H137)&amp;"",IF($I137&lt;&gt;"",INDEX('Form Calc'!$C:$C,$I137)&amp;"",""))</f>
        <v/>
      </c>
      <c r="E137" s="69">
        <f>IF($H137&lt;&gt;"",IF(INDEX(Guests!$N:$N,$H137)="","",INDEX(Guests!$N:$N,$H137)),"")</f>
        <v/>
      </c>
      <c r="F137" s="67">
        <f>IF($H137&lt;&gt;"",INDEX(Guests!$E:$E,$H137)&amp;"","")</f>
        <v/>
      </c>
      <c r="G137" s="67">
        <f>IF($H137&lt;&gt;"","Guest list",IF($I137&lt;&gt;"","RSVP form",""))</f>
        <v/>
      </c>
      <c r="H137" s="32">
        <f>IF(129&lt;=Guests!$AG$505,MATCH(129,Guests!$AH:$AH,0),"")</f>
        <v/>
      </c>
      <c r="I137" s="32">
        <f>IF(AND(129&gt;Guests!$AG$505,129&lt;=Guests!$AG$505+'Form Calc'!$AB$601),MATCH(129-Guests!$AG$505,'Form Calc'!$AC:$AC,0),"")</f>
        <v/>
      </c>
    </row>
    <row r="138">
      <c r="A138" s="66">
        <f>IF($H138&lt;&gt;"",INDEX(Guests!$A:$A,$H138)&amp;"",IF($I138&lt;&gt;"",INDEX('Form Calc'!$B:$B,$I138)&amp;"",""))</f>
        <v/>
      </c>
      <c r="B138" s="67">
        <f>IF($H138&lt;&gt;"",INDEX(Guests!$B:$B,$H138)&amp;"",IF($I138&lt;&gt;"",INDEX('Form Calc'!$G:$G,$I138)&amp;"",""))</f>
        <v/>
      </c>
      <c r="C138" s="68">
        <f>IF($H138&lt;&gt;"",IF(INDEX(Guests!$AD:$AD,$H138)&lt;&gt;"",HYPERLINK(INDEX(Guests!$AD:$AD,$H138),"💬 Remind"),"add mobile"),IF($I138&lt;&gt;"",IF(INDEX('Form Calc'!$AG:$AG,$I138)&lt;&gt;"",HYPERLINK(INDEX('Form Calc'!$AG:$AG,$I138),"💬 Remind"),"add mobile"),""))</f>
        <v/>
      </c>
      <c r="D138" s="67">
        <f>IF($H138&lt;&gt;"",INDEX(Guests!$Y:$Y,$H138)&amp;"",IF($I138&lt;&gt;"",INDEX('Form Calc'!$C:$C,$I138)&amp;"",""))</f>
        <v/>
      </c>
      <c r="E138" s="69">
        <f>IF($H138&lt;&gt;"",IF(INDEX(Guests!$N:$N,$H138)="","",INDEX(Guests!$N:$N,$H138)),"")</f>
        <v/>
      </c>
      <c r="F138" s="67">
        <f>IF($H138&lt;&gt;"",INDEX(Guests!$E:$E,$H138)&amp;"","")</f>
        <v/>
      </c>
      <c r="G138" s="67">
        <f>IF($H138&lt;&gt;"","Guest list",IF($I138&lt;&gt;"","RSVP form",""))</f>
        <v/>
      </c>
      <c r="H138" s="32">
        <f>IF(130&lt;=Guests!$AG$505,MATCH(130,Guests!$AH:$AH,0),"")</f>
        <v/>
      </c>
      <c r="I138" s="32">
        <f>IF(AND(130&gt;Guests!$AG$505,130&lt;=Guests!$AG$505+'Form Calc'!$AB$601),MATCH(130-Guests!$AG$505,'Form Calc'!$AC:$AC,0),"")</f>
        <v/>
      </c>
    </row>
    <row r="139">
      <c r="A139" s="66">
        <f>IF($H139&lt;&gt;"",INDEX(Guests!$A:$A,$H139)&amp;"",IF($I139&lt;&gt;"",INDEX('Form Calc'!$B:$B,$I139)&amp;"",""))</f>
        <v/>
      </c>
      <c r="B139" s="67">
        <f>IF($H139&lt;&gt;"",INDEX(Guests!$B:$B,$H139)&amp;"",IF($I139&lt;&gt;"",INDEX('Form Calc'!$G:$G,$I139)&amp;"",""))</f>
        <v/>
      </c>
      <c r="C139" s="68">
        <f>IF($H139&lt;&gt;"",IF(INDEX(Guests!$AD:$AD,$H139)&lt;&gt;"",HYPERLINK(INDEX(Guests!$AD:$AD,$H139),"💬 Remind"),"add mobile"),IF($I139&lt;&gt;"",IF(INDEX('Form Calc'!$AG:$AG,$I139)&lt;&gt;"",HYPERLINK(INDEX('Form Calc'!$AG:$AG,$I139),"💬 Remind"),"add mobile"),""))</f>
        <v/>
      </c>
      <c r="D139" s="67">
        <f>IF($H139&lt;&gt;"",INDEX(Guests!$Y:$Y,$H139)&amp;"",IF($I139&lt;&gt;"",INDEX('Form Calc'!$C:$C,$I139)&amp;"",""))</f>
        <v/>
      </c>
      <c r="E139" s="69">
        <f>IF($H139&lt;&gt;"",IF(INDEX(Guests!$N:$N,$H139)="","",INDEX(Guests!$N:$N,$H139)),"")</f>
        <v/>
      </c>
      <c r="F139" s="67">
        <f>IF($H139&lt;&gt;"",INDEX(Guests!$E:$E,$H139)&amp;"","")</f>
        <v/>
      </c>
      <c r="G139" s="67">
        <f>IF($H139&lt;&gt;"","Guest list",IF($I139&lt;&gt;"","RSVP form",""))</f>
        <v/>
      </c>
      <c r="H139" s="32">
        <f>IF(131&lt;=Guests!$AG$505,MATCH(131,Guests!$AH:$AH,0),"")</f>
        <v/>
      </c>
      <c r="I139" s="32">
        <f>IF(AND(131&gt;Guests!$AG$505,131&lt;=Guests!$AG$505+'Form Calc'!$AB$601),MATCH(131-Guests!$AG$505,'Form Calc'!$AC:$AC,0),"")</f>
        <v/>
      </c>
    </row>
    <row r="140">
      <c r="A140" s="66">
        <f>IF($H140&lt;&gt;"",INDEX(Guests!$A:$A,$H140)&amp;"",IF($I140&lt;&gt;"",INDEX('Form Calc'!$B:$B,$I140)&amp;"",""))</f>
        <v/>
      </c>
      <c r="B140" s="67">
        <f>IF($H140&lt;&gt;"",INDEX(Guests!$B:$B,$H140)&amp;"",IF($I140&lt;&gt;"",INDEX('Form Calc'!$G:$G,$I140)&amp;"",""))</f>
        <v/>
      </c>
      <c r="C140" s="68">
        <f>IF($H140&lt;&gt;"",IF(INDEX(Guests!$AD:$AD,$H140)&lt;&gt;"",HYPERLINK(INDEX(Guests!$AD:$AD,$H140),"💬 Remind"),"add mobile"),IF($I140&lt;&gt;"",IF(INDEX('Form Calc'!$AG:$AG,$I140)&lt;&gt;"",HYPERLINK(INDEX('Form Calc'!$AG:$AG,$I140),"💬 Remind"),"add mobile"),""))</f>
        <v/>
      </c>
      <c r="D140" s="67">
        <f>IF($H140&lt;&gt;"",INDEX(Guests!$Y:$Y,$H140)&amp;"",IF($I140&lt;&gt;"",INDEX('Form Calc'!$C:$C,$I140)&amp;"",""))</f>
        <v/>
      </c>
      <c r="E140" s="69">
        <f>IF($H140&lt;&gt;"",IF(INDEX(Guests!$N:$N,$H140)="","",INDEX(Guests!$N:$N,$H140)),"")</f>
        <v/>
      </c>
      <c r="F140" s="67">
        <f>IF($H140&lt;&gt;"",INDEX(Guests!$E:$E,$H140)&amp;"","")</f>
        <v/>
      </c>
      <c r="G140" s="67">
        <f>IF($H140&lt;&gt;"","Guest list",IF($I140&lt;&gt;"","RSVP form",""))</f>
        <v/>
      </c>
      <c r="H140" s="32">
        <f>IF(132&lt;=Guests!$AG$505,MATCH(132,Guests!$AH:$AH,0),"")</f>
        <v/>
      </c>
      <c r="I140" s="32">
        <f>IF(AND(132&gt;Guests!$AG$505,132&lt;=Guests!$AG$505+'Form Calc'!$AB$601),MATCH(132-Guests!$AG$505,'Form Calc'!$AC:$AC,0),"")</f>
        <v/>
      </c>
    </row>
    <row r="141">
      <c r="A141" s="66">
        <f>IF($H141&lt;&gt;"",INDEX(Guests!$A:$A,$H141)&amp;"",IF($I141&lt;&gt;"",INDEX('Form Calc'!$B:$B,$I141)&amp;"",""))</f>
        <v/>
      </c>
      <c r="B141" s="67">
        <f>IF($H141&lt;&gt;"",INDEX(Guests!$B:$B,$H141)&amp;"",IF($I141&lt;&gt;"",INDEX('Form Calc'!$G:$G,$I141)&amp;"",""))</f>
        <v/>
      </c>
      <c r="C141" s="68">
        <f>IF($H141&lt;&gt;"",IF(INDEX(Guests!$AD:$AD,$H141)&lt;&gt;"",HYPERLINK(INDEX(Guests!$AD:$AD,$H141),"💬 Remind"),"add mobile"),IF($I141&lt;&gt;"",IF(INDEX('Form Calc'!$AG:$AG,$I141)&lt;&gt;"",HYPERLINK(INDEX('Form Calc'!$AG:$AG,$I141),"💬 Remind"),"add mobile"),""))</f>
        <v/>
      </c>
      <c r="D141" s="67">
        <f>IF($H141&lt;&gt;"",INDEX(Guests!$Y:$Y,$H141)&amp;"",IF($I141&lt;&gt;"",INDEX('Form Calc'!$C:$C,$I141)&amp;"",""))</f>
        <v/>
      </c>
      <c r="E141" s="69">
        <f>IF($H141&lt;&gt;"",IF(INDEX(Guests!$N:$N,$H141)="","",INDEX(Guests!$N:$N,$H141)),"")</f>
        <v/>
      </c>
      <c r="F141" s="67">
        <f>IF($H141&lt;&gt;"",INDEX(Guests!$E:$E,$H141)&amp;"","")</f>
        <v/>
      </c>
      <c r="G141" s="67">
        <f>IF($H141&lt;&gt;"","Guest list",IF($I141&lt;&gt;"","RSVP form",""))</f>
        <v/>
      </c>
      <c r="H141" s="32">
        <f>IF(133&lt;=Guests!$AG$505,MATCH(133,Guests!$AH:$AH,0),"")</f>
        <v/>
      </c>
      <c r="I141" s="32">
        <f>IF(AND(133&gt;Guests!$AG$505,133&lt;=Guests!$AG$505+'Form Calc'!$AB$601),MATCH(133-Guests!$AG$505,'Form Calc'!$AC:$AC,0),"")</f>
        <v/>
      </c>
    </row>
    <row r="142">
      <c r="A142" s="66">
        <f>IF($H142&lt;&gt;"",INDEX(Guests!$A:$A,$H142)&amp;"",IF($I142&lt;&gt;"",INDEX('Form Calc'!$B:$B,$I142)&amp;"",""))</f>
        <v/>
      </c>
      <c r="B142" s="67">
        <f>IF($H142&lt;&gt;"",INDEX(Guests!$B:$B,$H142)&amp;"",IF($I142&lt;&gt;"",INDEX('Form Calc'!$G:$G,$I142)&amp;"",""))</f>
        <v/>
      </c>
      <c r="C142" s="68">
        <f>IF($H142&lt;&gt;"",IF(INDEX(Guests!$AD:$AD,$H142)&lt;&gt;"",HYPERLINK(INDEX(Guests!$AD:$AD,$H142),"💬 Remind"),"add mobile"),IF($I142&lt;&gt;"",IF(INDEX('Form Calc'!$AG:$AG,$I142)&lt;&gt;"",HYPERLINK(INDEX('Form Calc'!$AG:$AG,$I142),"💬 Remind"),"add mobile"),""))</f>
        <v/>
      </c>
      <c r="D142" s="67">
        <f>IF($H142&lt;&gt;"",INDEX(Guests!$Y:$Y,$H142)&amp;"",IF($I142&lt;&gt;"",INDEX('Form Calc'!$C:$C,$I142)&amp;"",""))</f>
        <v/>
      </c>
      <c r="E142" s="69">
        <f>IF($H142&lt;&gt;"",IF(INDEX(Guests!$N:$N,$H142)="","",INDEX(Guests!$N:$N,$H142)),"")</f>
        <v/>
      </c>
      <c r="F142" s="67">
        <f>IF($H142&lt;&gt;"",INDEX(Guests!$E:$E,$H142)&amp;"","")</f>
        <v/>
      </c>
      <c r="G142" s="67">
        <f>IF($H142&lt;&gt;"","Guest list",IF($I142&lt;&gt;"","RSVP form",""))</f>
        <v/>
      </c>
      <c r="H142" s="32">
        <f>IF(134&lt;=Guests!$AG$505,MATCH(134,Guests!$AH:$AH,0),"")</f>
        <v/>
      </c>
      <c r="I142" s="32">
        <f>IF(AND(134&gt;Guests!$AG$505,134&lt;=Guests!$AG$505+'Form Calc'!$AB$601),MATCH(134-Guests!$AG$505,'Form Calc'!$AC:$AC,0),"")</f>
        <v/>
      </c>
    </row>
    <row r="143">
      <c r="A143" s="66">
        <f>IF($H143&lt;&gt;"",INDEX(Guests!$A:$A,$H143)&amp;"",IF($I143&lt;&gt;"",INDEX('Form Calc'!$B:$B,$I143)&amp;"",""))</f>
        <v/>
      </c>
      <c r="B143" s="67">
        <f>IF($H143&lt;&gt;"",INDEX(Guests!$B:$B,$H143)&amp;"",IF($I143&lt;&gt;"",INDEX('Form Calc'!$G:$G,$I143)&amp;"",""))</f>
        <v/>
      </c>
      <c r="C143" s="68">
        <f>IF($H143&lt;&gt;"",IF(INDEX(Guests!$AD:$AD,$H143)&lt;&gt;"",HYPERLINK(INDEX(Guests!$AD:$AD,$H143),"💬 Remind"),"add mobile"),IF($I143&lt;&gt;"",IF(INDEX('Form Calc'!$AG:$AG,$I143)&lt;&gt;"",HYPERLINK(INDEX('Form Calc'!$AG:$AG,$I143),"💬 Remind"),"add mobile"),""))</f>
        <v/>
      </c>
      <c r="D143" s="67">
        <f>IF($H143&lt;&gt;"",INDEX(Guests!$Y:$Y,$H143)&amp;"",IF($I143&lt;&gt;"",INDEX('Form Calc'!$C:$C,$I143)&amp;"",""))</f>
        <v/>
      </c>
      <c r="E143" s="69">
        <f>IF($H143&lt;&gt;"",IF(INDEX(Guests!$N:$N,$H143)="","",INDEX(Guests!$N:$N,$H143)),"")</f>
        <v/>
      </c>
      <c r="F143" s="67">
        <f>IF($H143&lt;&gt;"",INDEX(Guests!$E:$E,$H143)&amp;"","")</f>
        <v/>
      </c>
      <c r="G143" s="67">
        <f>IF($H143&lt;&gt;"","Guest list",IF($I143&lt;&gt;"","RSVP form",""))</f>
        <v/>
      </c>
      <c r="H143" s="32">
        <f>IF(135&lt;=Guests!$AG$505,MATCH(135,Guests!$AH:$AH,0),"")</f>
        <v/>
      </c>
      <c r="I143" s="32">
        <f>IF(AND(135&gt;Guests!$AG$505,135&lt;=Guests!$AG$505+'Form Calc'!$AB$601),MATCH(135-Guests!$AG$505,'Form Calc'!$AC:$AC,0),"")</f>
        <v/>
      </c>
    </row>
    <row r="144">
      <c r="A144" s="66">
        <f>IF($H144&lt;&gt;"",INDEX(Guests!$A:$A,$H144)&amp;"",IF($I144&lt;&gt;"",INDEX('Form Calc'!$B:$B,$I144)&amp;"",""))</f>
        <v/>
      </c>
      <c r="B144" s="67">
        <f>IF($H144&lt;&gt;"",INDEX(Guests!$B:$B,$H144)&amp;"",IF($I144&lt;&gt;"",INDEX('Form Calc'!$G:$G,$I144)&amp;"",""))</f>
        <v/>
      </c>
      <c r="C144" s="68">
        <f>IF($H144&lt;&gt;"",IF(INDEX(Guests!$AD:$AD,$H144)&lt;&gt;"",HYPERLINK(INDEX(Guests!$AD:$AD,$H144),"💬 Remind"),"add mobile"),IF($I144&lt;&gt;"",IF(INDEX('Form Calc'!$AG:$AG,$I144)&lt;&gt;"",HYPERLINK(INDEX('Form Calc'!$AG:$AG,$I144),"💬 Remind"),"add mobile"),""))</f>
        <v/>
      </c>
      <c r="D144" s="67">
        <f>IF($H144&lt;&gt;"",INDEX(Guests!$Y:$Y,$H144)&amp;"",IF($I144&lt;&gt;"",INDEX('Form Calc'!$C:$C,$I144)&amp;"",""))</f>
        <v/>
      </c>
      <c r="E144" s="69">
        <f>IF($H144&lt;&gt;"",IF(INDEX(Guests!$N:$N,$H144)="","",INDEX(Guests!$N:$N,$H144)),"")</f>
        <v/>
      </c>
      <c r="F144" s="67">
        <f>IF($H144&lt;&gt;"",INDEX(Guests!$E:$E,$H144)&amp;"","")</f>
        <v/>
      </c>
      <c r="G144" s="67">
        <f>IF($H144&lt;&gt;"","Guest list",IF($I144&lt;&gt;"","RSVP form",""))</f>
        <v/>
      </c>
      <c r="H144" s="32">
        <f>IF(136&lt;=Guests!$AG$505,MATCH(136,Guests!$AH:$AH,0),"")</f>
        <v/>
      </c>
      <c r="I144" s="32">
        <f>IF(AND(136&gt;Guests!$AG$505,136&lt;=Guests!$AG$505+'Form Calc'!$AB$601),MATCH(136-Guests!$AG$505,'Form Calc'!$AC:$AC,0),"")</f>
        <v/>
      </c>
    </row>
    <row r="145">
      <c r="A145" s="66">
        <f>IF($H145&lt;&gt;"",INDEX(Guests!$A:$A,$H145)&amp;"",IF($I145&lt;&gt;"",INDEX('Form Calc'!$B:$B,$I145)&amp;"",""))</f>
        <v/>
      </c>
      <c r="B145" s="67">
        <f>IF($H145&lt;&gt;"",INDEX(Guests!$B:$B,$H145)&amp;"",IF($I145&lt;&gt;"",INDEX('Form Calc'!$G:$G,$I145)&amp;"",""))</f>
        <v/>
      </c>
      <c r="C145" s="68">
        <f>IF($H145&lt;&gt;"",IF(INDEX(Guests!$AD:$AD,$H145)&lt;&gt;"",HYPERLINK(INDEX(Guests!$AD:$AD,$H145),"💬 Remind"),"add mobile"),IF($I145&lt;&gt;"",IF(INDEX('Form Calc'!$AG:$AG,$I145)&lt;&gt;"",HYPERLINK(INDEX('Form Calc'!$AG:$AG,$I145),"💬 Remind"),"add mobile"),""))</f>
        <v/>
      </c>
      <c r="D145" s="67">
        <f>IF($H145&lt;&gt;"",INDEX(Guests!$Y:$Y,$H145)&amp;"",IF($I145&lt;&gt;"",INDEX('Form Calc'!$C:$C,$I145)&amp;"",""))</f>
        <v/>
      </c>
      <c r="E145" s="69">
        <f>IF($H145&lt;&gt;"",IF(INDEX(Guests!$N:$N,$H145)="","",INDEX(Guests!$N:$N,$H145)),"")</f>
        <v/>
      </c>
      <c r="F145" s="67">
        <f>IF($H145&lt;&gt;"",INDEX(Guests!$E:$E,$H145)&amp;"","")</f>
        <v/>
      </c>
      <c r="G145" s="67">
        <f>IF($H145&lt;&gt;"","Guest list",IF($I145&lt;&gt;"","RSVP form",""))</f>
        <v/>
      </c>
      <c r="H145" s="32">
        <f>IF(137&lt;=Guests!$AG$505,MATCH(137,Guests!$AH:$AH,0),"")</f>
        <v/>
      </c>
      <c r="I145" s="32">
        <f>IF(AND(137&gt;Guests!$AG$505,137&lt;=Guests!$AG$505+'Form Calc'!$AB$601),MATCH(137-Guests!$AG$505,'Form Calc'!$AC:$AC,0),"")</f>
        <v/>
      </c>
    </row>
    <row r="146">
      <c r="A146" s="66">
        <f>IF($H146&lt;&gt;"",INDEX(Guests!$A:$A,$H146)&amp;"",IF($I146&lt;&gt;"",INDEX('Form Calc'!$B:$B,$I146)&amp;"",""))</f>
        <v/>
      </c>
      <c r="B146" s="67">
        <f>IF($H146&lt;&gt;"",INDEX(Guests!$B:$B,$H146)&amp;"",IF($I146&lt;&gt;"",INDEX('Form Calc'!$G:$G,$I146)&amp;"",""))</f>
        <v/>
      </c>
      <c r="C146" s="68">
        <f>IF($H146&lt;&gt;"",IF(INDEX(Guests!$AD:$AD,$H146)&lt;&gt;"",HYPERLINK(INDEX(Guests!$AD:$AD,$H146),"💬 Remind"),"add mobile"),IF($I146&lt;&gt;"",IF(INDEX('Form Calc'!$AG:$AG,$I146)&lt;&gt;"",HYPERLINK(INDEX('Form Calc'!$AG:$AG,$I146),"💬 Remind"),"add mobile"),""))</f>
        <v/>
      </c>
      <c r="D146" s="67">
        <f>IF($H146&lt;&gt;"",INDEX(Guests!$Y:$Y,$H146)&amp;"",IF($I146&lt;&gt;"",INDEX('Form Calc'!$C:$C,$I146)&amp;"",""))</f>
        <v/>
      </c>
      <c r="E146" s="69">
        <f>IF($H146&lt;&gt;"",IF(INDEX(Guests!$N:$N,$H146)="","",INDEX(Guests!$N:$N,$H146)),"")</f>
        <v/>
      </c>
      <c r="F146" s="67">
        <f>IF($H146&lt;&gt;"",INDEX(Guests!$E:$E,$H146)&amp;"","")</f>
        <v/>
      </c>
      <c r="G146" s="67">
        <f>IF($H146&lt;&gt;"","Guest list",IF($I146&lt;&gt;"","RSVP form",""))</f>
        <v/>
      </c>
      <c r="H146" s="32">
        <f>IF(138&lt;=Guests!$AG$505,MATCH(138,Guests!$AH:$AH,0),"")</f>
        <v/>
      </c>
      <c r="I146" s="32">
        <f>IF(AND(138&gt;Guests!$AG$505,138&lt;=Guests!$AG$505+'Form Calc'!$AB$601),MATCH(138-Guests!$AG$505,'Form Calc'!$AC:$AC,0),"")</f>
        <v/>
      </c>
    </row>
    <row r="147">
      <c r="A147" s="66">
        <f>IF($H147&lt;&gt;"",INDEX(Guests!$A:$A,$H147)&amp;"",IF($I147&lt;&gt;"",INDEX('Form Calc'!$B:$B,$I147)&amp;"",""))</f>
        <v/>
      </c>
      <c r="B147" s="67">
        <f>IF($H147&lt;&gt;"",INDEX(Guests!$B:$B,$H147)&amp;"",IF($I147&lt;&gt;"",INDEX('Form Calc'!$G:$G,$I147)&amp;"",""))</f>
        <v/>
      </c>
      <c r="C147" s="68">
        <f>IF($H147&lt;&gt;"",IF(INDEX(Guests!$AD:$AD,$H147)&lt;&gt;"",HYPERLINK(INDEX(Guests!$AD:$AD,$H147),"💬 Remind"),"add mobile"),IF($I147&lt;&gt;"",IF(INDEX('Form Calc'!$AG:$AG,$I147)&lt;&gt;"",HYPERLINK(INDEX('Form Calc'!$AG:$AG,$I147),"💬 Remind"),"add mobile"),""))</f>
        <v/>
      </c>
      <c r="D147" s="67">
        <f>IF($H147&lt;&gt;"",INDEX(Guests!$Y:$Y,$H147)&amp;"",IF($I147&lt;&gt;"",INDEX('Form Calc'!$C:$C,$I147)&amp;"",""))</f>
        <v/>
      </c>
      <c r="E147" s="69">
        <f>IF($H147&lt;&gt;"",IF(INDEX(Guests!$N:$N,$H147)="","",INDEX(Guests!$N:$N,$H147)),"")</f>
        <v/>
      </c>
      <c r="F147" s="67">
        <f>IF($H147&lt;&gt;"",INDEX(Guests!$E:$E,$H147)&amp;"","")</f>
        <v/>
      </c>
      <c r="G147" s="67">
        <f>IF($H147&lt;&gt;"","Guest list",IF($I147&lt;&gt;"","RSVP form",""))</f>
        <v/>
      </c>
      <c r="H147" s="32">
        <f>IF(139&lt;=Guests!$AG$505,MATCH(139,Guests!$AH:$AH,0),"")</f>
        <v/>
      </c>
      <c r="I147" s="32">
        <f>IF(AND(139&gt;Guests!$AG$505,139&lt;=Guests!$AG$505+'Form Calc'!$AB$601),MATCH(139-Guests!$AG$505,'Form Calc'!$AC:$AC,0),"")</f>
        <v/>
      </c>
    </row>
    <row r="148">
      <c r="A148" s="66">
        <f>IF($H148&lt;&gt;"",INDEX(Guests!$A:$A,$H148)&amp;"",IF($I148&lt;&gt;"",INDEX('Form Calc'!$B:$B,$I148)&amp;"",""))</f>
        <v/>
      </c>
      <c r="B148" s="67">
        <f>IF($H148&lt;&gt;"",INDEX(Guests!$B:$B,$H148)&amp;"",IF($I148&lt;&gt;"",INDEX('Form Calc'!$G:$G,$I148)&amp;"",""))</f>
        <v/>
      </c>
      <c r="C148" s="68">
        <f>IF($H148&lt;&gt;"",IF(INDEX(Guests!$AD:$AD,$H148)&lt;&gt;"",HYPERLINK(INDEX(Guests!$AD:$AD,$H148),"💬 Remind"),"add mobile"),IF($I148&lt;&gt;"",IF(INDEX('Form Calc'!$AG:$AG,$I148)&lt;&gt;"",HYPERLINK(INDEX('Form Calc'!$AG:$AG,$I148),"💬 Remind"),"add mobile"),""))</f>
        <v/>
      </c>
      <c r="D148" s="67">
        <f>IF($H148&lt;&gt;"",INDEX(Guests!$Y:$Y,$H148)&amp;"",IF($I148&lt;&gt;"",INDEX('Form Calc'!$C:$C,$I148)&amp;"",""))</f>
        <v/>
      </c>
      <c r="E148" s="69">
        <f>IF($H148&lt;&gt;"",IF(INDEX(Guests!$N:$N,$H148)="","",INDEX(Guests!$N:$N,$H148)),"")</f>
        <v/>
      </c>
      <c r="F148" s="67">
        <f>IF($H148&lt;&gt;"",INDEX(Guests!$E:$E,$H148)&amp;"","")</f>
        <v/>
      </c>
      <c r="G148" s="67">
        <f>IF($H148&lt;&gt;"","Guest list",IF($I148&lt;&gt;"","RSVP form",""))</f>
        <v/>
      </c>
      <c r="H148" s="32">
        <f>IF(140&lt;=Guests!$AG$505,MATCH(140,Guests!$AH:$AH,0),"")</f>
        <v/>
      </c>
      <c r="I148" s="32">
        <f>IF(AND(140&gt;Guests!$AG$505,140&lt;=Guests!$AG$505+'Form Calc'!$AB$601),MATCH(140-Guests!$AG$505,'Form Calc'!$AC:$AC,0),"")</f>
        <v/>
      </c>
    </row>
    <row r="149">
      <c r="A149" s="66">
        <f>IF($H149&lt;&gt;"",INDEX(Guests!$A:$A,$H149)&amp;"",IF($I149&lt;&gt;"",INDEX('Form Calc'!$B:$B,$I149)&amp;"",""))</f>
        <v/>
      </c>
      <c r="B149" s="67">
        <f>IF($H149&lt;&gt;"",INDEX(Guests!$B:$B,$H149)&amp;"",IF($I149&lt;&gt;"",INDEX('Form Calc'!$G:$G,$I149)&amp;"",""))</f>
        <v/>
      </c>
      <c r="C149" s="68">
        <f>IF($H149&lt;&gt;"",IF(INDEX(Guests!$AD:$AD,$H149)&lt;&gt;"",HYPERLINK(INDEX(Guests!$AD:$AD,$H149),"💬 Remind"),"add mobile"),IF($I149&lt;&gt;"",IF(INDEX('Form Calc'!$AG:$AG,$I149)&lt;&gt;"",HYPERLINK(INDEX('Form Calc'!$AG:$AG,$I149),"💬 Remind"),"add mobile"),""))</f>
        <v/>
      </c>
      <c r="D149" s="67">
        <f>IF($H149&lt;&gt;"",INDEX(Guests!$Y:$Y,$H149)&amp;"",IF($I149&lt;&gt;"",INDEX('Form Calc'!$C:$C,$I149)&amp;"",""))</f>
        <v/>
      </c>
      <c r="E149" s="69">
        <f>IF($H149&lt;&gt;"",IF(INDEX(Guests!$N:$N,$H149)="","",INDEX(Guests!$N:$N,$H149)),"")</f>
        <v/>
      </c>
      <c r="F149" s="67">
        <f>IF($H149&lt;&gt;"",INDEX(Guests!$E:$E,$H149)&amp;"","")</f>
        <v/>
      </c>
      <c r="G149" s="67">
        <f>IF($H149&lt;&gt;"","Guest list",IF($I149&lt;&gt;"","RSVP form",""))</f>
        <v/>
      </c>
      <c r="H149" s="32">
        <f>IF(141&lt;=Guests!$AG$505,MATCH(141,Guests!$AH:$AH,0),"")</f>
        <v/>
      </c>
      <c r="I149" s="32">
        <f>IF(AND(141&gt;Guests!$AG$505,141&lt;=Guests!$AG$505+'Form Calc'!$AB$601),MATCH(141-Guests!$AG$505,'Form Calc'!$AC:$AC,0),"")</f>
        <v/>
      </c>
    </row>
    <row r="150">
      <c r="A150" s="66">
        <f>IF($H150&lt;&gt;"",INDEX(Guests!$A:$A,$H150)&amp;"",IF($I150&lt;&gt;"",INDEX('Form Calc'!$B:$B,$I150)&amp;"",""))</f>
        <v/>
      </c>
      <c r="B150" s="67">
        <f>IF($H150&lt;&gt;"",INDEX(Guests!$B:$B,$H150)&amp;"",IF($I150&lt;&gt;"",INDEX('Form Calc'!$G:$G,$I150)&amp;"",""))</f>
        <v/>
      </c>
      <c r="C150" s="68">
        <f>IF($H150&lt;&gt;"",IF(INDEX(Guests!$AD:$AD,$H150)&lt;&gt;"",HYPERLINK(INDEX(Guests!$AD:$AD,$H150),"💬 Remind"),"add mobile"),IF($I150&lt;&gt;"",IF(INDEX('Form Calc'!$AG:$AG,$I150)&lt;&gt;"",HYPERLINK(INDEX('Form Calc'!$AG:$AG,$I150),"💬 Remind"),"add mobile"),""))</f>
        <v/>
      </c>
      <c r="D150" s="67">
        <f>IF($H150&lt;&gt;"",INDEX(Guests!$Y:$Y,$H150)&amp;"",IF($I150&lt;&gt;"",INDEX('Form Calc'!$C:$C,$I150)&amp;"",""))</f>
        <v/>
      </c>
      <c r="E150" s="69">
        <f>IF($H150&lt;&gt;"",IF(INDEX(Guests!$N:$N,$H150)="","",INDEX(Guests!$N:$N,$H150)),"")</f>
        <v/>
      </c>
      <c r="F150" s="67">
        <f>IF($H150&lt;&gt;"",INDEX(Guests!$E:$E,$H150)&amp;"","")</f>
        <v/>
      </c>
      <c r="G150" s="67">
        <f>IF($H150&lt;&gt;"","Guest list",IF($I150&lt;&gt;"","RSVP form",""))</f>
        <v/>
      </c>
      <c r="H150" s="32">
        <f>IF(142&lt;=Guests!$AG$505,MATCH(142,Guests!$AH:$AH,0),"")</f>
        <v/>
      </c>
      <c r="I150" s="32">
        <f>IF(AND(142&gt;Guests!$AG$505,142&lt;=Guests!$AG$505+'Form Calc'!$AB$601),MATCH(142-Guests!$AG$505,'Form Calc'!$AC:$AC,0),"")</f>
        <v/>
      </c>
    </row>
    <row r="151">
      <c r="A151" s="66">
        <f>IF($H151&lt;&gt;"",INDEX(Guests!$A:$A,$H151)&amp;"",IF($I151&lt;&gt;"",INDEX('Form Calc'!$B:$B,$I151)&amp;"",""))</f>
        <v/>
      </c>
      <c r="B151" s="67">
        <f>IF($H151&lt;&gt;"",INDEX(Guests!$B:$B,$H151)&amp;"",IF($I151&lt;&gt;"",INDEX('Form Calc'!$G:$G,$I151)&amp;"",""))</f>
        <v/>
      </c>
      <c r="C151" s="68">
        <f>IF($H151&lt;&gt;"",IF(INDEX(Guests!$AD:$AD,$H151)&lt;&gt;"",HYPERLINK(INDEX(Guests!$AD:$AD,$H151),"💬 Remind"),"add mobile"),IF($I151&lt;&gt;"",IF(INDEX('Form Calc'!$AG:$AG,$I151)&lt;&gt;"",HYPERLINK(INDEX('Form Calc'!$AG:$AG,$I151),"💬 Remind"),"add mobile"),""))</f>
        <v/>
      </c>
      <c r="D151" s="67">
        <f>IF($H151&lt;&gt;"",INDEX(Guests!$Y:$Y,$H151)&amp;"",IF($I151&lt;&gt;"",INDEX('Form Calc'!$C:$C,$I151)&amp;"",""))</f>
        <v/>
      </c>
      <c r="E151" s="69">
        <f>IF($H151&lt;&gt;"",IF(INDEX(Guests!$N:$N,$H151)="","",INDEX(Guests!$N:$N,$H151)),"")</f>
        <v/>
      </c>
      <c r="F151" s="67">
        <f>IF($H151&lt;&gt;"",INDEX(Guests!$E:$E,$H151)&amp;"","")</f>
        <v/>
      </c>
      <c r="G151" s="67">
        <f>IF($H151&lt;&gt;"","Guest list",IF($I151&lt;&gt;"","RSVP form",""))</f>
        <v/>
      </c>
      <c r="H151" s="32">
        <f>IF(143&lt;=Guests!$AG$505,MATCH(143,Guests!$AH:$AH,0),"")</f>
        <v/>
      </c>
      <c r="I151" s="32">
        <f>IF(AND(143&gt;Guests!$AG$505,143&lt;=Guests!$AG$505+'Form Calc'!$AB$601),MATCH(143-Guests!$AG$505,'Form Calc'!$AC:$AC,0),"")</f>
        <v/>
      </c>
    </row>
    <row r="152">
      <c r="A152" s="66">
        <f>IF($H152&lt;&gt;"",INDEX(Guests!$A:$A,$H152)&amp;"",IF($I152&lt;&gt;"",INDEX('Form Calc'!$B:$B,$I152)&amp;"",""))</f>
        <v/>
      </c>
      <c r="B152" s="67">
        <f>IF($H152&lt;&gt;"",INDEX(Guests!$B:$B,$H152)&amp;"",IF($I152&lt;&gt;"",INDEX('Form Calc'!$G:$G,$I152)&amp;"",""))</f>
        <v/>
      </c>
      <c r="C152" s="68">
        <f>IF($H152&lt;&gt;"",IF(INDEX(Guests!$AD:$AD,$H152)&lt;&gt;"",HYPERLINK(INDEX(Guests!$AD:$AD,$H152),"💬 Remind"),"add mobile"),IF($I152&lt;&gt;"",IF(INDEX('Form Calc'!$AG:$AG,$I152)&lt;&gt;"",HYPERLINK(INDEX('Form Calc'!$AG:$AG,$I152),"💬 Remind"),"add mobile"),""))</f>
        <v/>
      </c>
      <c r="D152" s="67">
        <f>IF($H152&lt;&gt;"",INDEX(Guests!$Y:$Y,$H152)&amp;"",IF($I152&lt;&gt;"",INDEX('Form Calc'!$C:$C,$I152)&amp;"",""))</f>
        <v/>
      </c>
      <c r="E152" s="69">
        <f>IF($H152&lt;&gt;"",IF(INDEX(Guests!$N:$N,$H152)="","",INDEX(Guests!$N:$N,$H152)),"")</f>
        <v/>
      </c>
      <c r="F152" s="67">
        <f>IF($H152&lt;&gt;"",INDEX(Guests!$E:$E,$H152)&amp;"","")</f>
        <v/>
      </c>
      <c r="G152" s="67">
        <f>IF($H152&lt;&gt;"","Guest list",IF($I152&lt;&gt;"","RSVP form",""))</f>
        <v/>
      </c>
      <c r="H152" s="32">
        <f>IF(144&lt;=Guests!$AG$505,MATCH(144,Guests!$AH:$AH,0),"")</f>
        <v/>
      </c>
      <c r="I152" s="32">
        <f>IF(AND(144&gt;Guests!$AG$505,144&lt;=Guests!$AG$505+'Form Calc'!$AB$601),MATCH(144-Guests!$AG$505,'Form Calc'!$AC:$AC,0),"")</f>
        <v/>
      </c>
    </row>
    <row r="153">
      <c r="A153" s="66">
        <f>IF($H153&lt;&gt;"",INDEX(Guests!$A:$A,$H153)&amp;"",IF($I153&lt;&gt;"",INDEX('Form Calc'!$B:$B,$I153)&amp;"",""))</f>
        <v/>
      </c>
      <c r="B153" s="67">
        <f>IF($H153&lt;&gt;"",INDEX(Guests!$B:$B,$H153)&amp;"",IF($I153&lt;&gt;"",INDEX('Form Calc'!$G:$G,$I153)&amp;"",""))</f>
        <v/>
      </c>
      <c r="C153" s="68">
        <f>IF($H153&lt;&gt;"",IF(INDEX(Guests!$AD:$AD,$H153)&lt;&gt;"",HYPERLINK(INDEX(Guests!$AD:$AD,$H153),"💬 Remind"),"add mobile"),IF($I153&lt;&gt;"",IF(INDEX('Form Calc'!$AG:$AG,$I153)&lt;&gt;"",HYPERLINK(INDEX('Form Calc'!$AG:$AG,$I153),"💬 Remind"),"add mobile"),""))</f>
        <v/>
      </c>
      <c r="D153" s="67">
        <f>IF($H153&lt;&gt;"",INDEX(Guests!$Y:$Y,$H153)&amp;"",IF($I153&lt;&gt;"",INDEX('Form Calc'!$C:$C,$I153)&amp;"",""))</f>
        <v/>
      </c>
      <c r="E153" s="69">
        <f>IF($H153&lt;&gt;"",IF(INDEX(Guests!$N:$N,$H153)="","",INDEX(Guests!$N:$N,$H153)),"")</f>
        <v/>
      </c>
      <c r="F153" s="67">
        <f>IF($H153&lt;&gt;"",INDEX(Guests!$E:$E,$H153)&amp;"","")</f>
        <v/>
      </c>
      <c r="G153" s="67">
        <f>IF($H153&lt;&gt;"","Guest list",IF($I153&lt;&gt;"","RSVP form",""))</f>
        <v/>
      </c>
      <c r="H153" s="32">
        <f>IF(145&lt;=Guests!$AG$505,MATCH(145,Guests!$AH:$AH,0),"")</f>
        <v/>
      </c>
      <c r="I153" s="32">
        <f>IF(AND(145&gt;Guests!$AG$505,145&lt;=Guests!$AG$505+'Form Calc'!$AB$601),MATCH(145-Guests!$AG$505,'Form Calc'!$AC:$AC,0),"")</f>
        <v/>
      </c>
    </row>
    <row r="154">
      <c r="A154" s="66">
        <f>IF($H154&lt;&gt;"",INDEX(Guests!$A:$A,$H154)&amp;"",IF($I154&lt;&gt;"",INDEX('Form Calc'!$B:$B,$I154)&amp;"",""))</f>
        <v/>
      </c>
      <c r="B154" s="67">
        <f>IF($H154&lt;&gt;"",INDEX(Guests!$B:$B,$H154)&amp;"",IF($I154&lt;&gt;"",INDEX('Form Calc'!$G:$G,$I154)&amp;"",""))</f>
        <v/>
      </c>
      <c r="C154" s="68">
        <f>IF($H154&lt;&gt;"",IF(INDEX(Guests!$AD:$AD,$H154)&lt;&gt;"",HYPERLINK(INDEX(Guests!$AD:$AD,$H154),"💬 Remind"),"add mobile"),IF($I154&lt;&gt;"",IF(INDEX('Form Calc'!$AG:$AG,$I154)&lt;&gt;"",HYPERLINK(INDEX('Form Calc'!$AG:$AG,$I154),"💬 Remind"),"add mobile"),""))</f>
        <v/>
      </c>
      <c r="D154" s="67">
        <f>IF($H154&lt;&gt;"",INDEX(Guests!$Y:$Y,$H154)&amp;"",IF($I154&lt;&gt;"",INDEX('Form Calc'!$C:$C,$I154)&amp;"",""))</f>
        <v/>
      </c>
      <c r="E154" s="69">
        <f>IF($H154&lt;&gt;"",IF(INDEX(Guests!$N:$N,$H154)="","",INDEX(Guests!$N:$N,$H154)),"")</f>
        <v/>
      </c>
      <c r="F154" s="67">
        <f>IF($H154&lt;&gt;"",INDEX(Guests!$E:$E,$H154)&amp;"","")</f>
        <v/>
      </c>
      <c r="G154" s="67">
        <f>IF($H154&lt;&gt;"","Guest list",IF($I154&lt;&gt;"","RSVP form",""))</f>
        <v/>
      </c>
      <c r="H154" s="32">
        <f>IF(146&lt;=Guests!$AG$505,MATCH(146,Guests!$AH:$AH,0),"")</f>
        <v/>
      </c>
      <c r="I154" s="32">
        <f>IF(AND(146&gt;Guests!$AG$505,146&lt;=Guests!$AG$505+'Form Calc'!$AB$601),MATCH(146-Guests!$AG$505,'Form Calc'!$AC:$AC,0),"")</f>
        <v/>
      </c>
    </row>
    <row r="155">
      <c r="A155" s="66">
        <f>IF($H155&lt;&gt;"",INDEX(Guests!$A:$A,$H155)&amp;"",IF($I155&lt;&gt;"",INDEX('Form Calc'!$B:$B,$I155)&amp;"",""))</f>
        <v/>
      </c>
      <c r="B155" s="67">
        <f>IF($H155&lt;&gt;"",INDEX(Guests!$B:$B,$H155)&amp;"",IF($I155&lt;&gt;"",INDEX('Form Calc'!$G:$G,$I155)&amp;"",""))</f>
        <v/>
      </c>
      <c r="C155" s="68">
        <f>IF($H155&lt;&gt;"",IF(INDEX(Guests!$AD:$AD,$H155)&lt;&gt;"",HYPERLINK(INDEX(Guests!$AD:$AD,$H155),"💬 Remind"),"add mobile"),IF($I155&lt;&gt;"",IF(INDEX('Form Calc'!$AG:$AG,$I155)&lt;&gt;"",HYPERLINK(INDEX('Form Calc'!$AG:$AG,$I155),"💬 Remind"),"add mobile"),""))</f>
        <v/>
      </c>
      <c r="D155" s="67">
        <f>IF($H155&lt;&gt;"",INDEX(Guests!$Y:$Y,$H155)&amp;"",IF($I155&lt;&gt;"",INDEX('Form Calc'!$C:$C,$I155)&amp;"",""))</f>
        <v/>
      </c>
      <c r="E155" s="69">
        <f>IF($H155&lt;&gt;"",IF(INDEX(Guests!$N:$N,$H155)="","",INDEX(Guests!$N:$N,$H155)),"")</f>
        <v/>
      </c>
      <c r="F155" s="67">
        <f>IF($H155&lt;&gt;"",INDEX(Guests!$E:$E,$H155)&amp;"","")</f>
        <v/>
      </c>
      <c r="G155" s="67">
        <f>IF($H155&lt;&gt;"","Guest list",IF($I155&lt;&gt;"","RSVP form",""))</f>
        <v/>
      </c>
      <c r="H155" s="32">
        <f>IF(147&lt;=Guests!$AG$505,MATCH(147,Guests!$AH:$AH,0),"")</f>
        <v/>
      </c>
      <c r="I155" s="32">
        <f>IF(AND(147&gt;Guests!$AG$505,147&lt;=Guests!$AG$505+'Form Calc'!$AB$601),MATCH(147-Guests!$AG$505,'Form Calc'!$AC:$AC,0),"")</f>
        <v/>
      </c>
    </row>
    <row r="156">
      <c r="A156" s="66">
        <f>IF($H156&lt;&gt;"",INDEX(Guests!$A:$A,$H156)&amp;"",IF($I156&lt;&gt;"",INDEX('Form Calc'!$B:$B,$I156)&amp;"",""))</f>
        <v/>
      </c>
      <c r="B156" s="67">
        <f>IF($H156&lt;&gt;"",INDEX(Guests!$B:$B,$H156)&amp;"",IF($I156&lt;&gt;"",INDEX('Form Calc'!$G:$G,$I156)&amp;"",""))</f>
        <v/>
      </c>
      <c r="C156" s="68">
        <f>IF($H156&lt;&gt;"",IF(INDEX(Guests!$AD:$AD,$H156)&lt;&gt;"",HYPERLINK(INDEX(Guests!$AD:$AD,$H156),"💬 Remind"),"add mobile"),IF($I156&lt;&gt;"",IF(INDEX('Form Calc'!$AG:$AG,$I156)&lt;&gt;"",HYPERLINK(INDEX('Form Calc'!$AG:$AG,$I156),"💬 Remind"),"add mobile"),""))</f>
        <v/>
      </c>
      <c r="D156" s="67">
        <f>IF($H156&lt;&gt;"",INDEX(Guests!$Y:$Y,$H156)&amp;"",IF($I156&lt;&gt;"",INDEX('Form Calc'!$C:$C,$I156)&amp;"",""))</f>
        <v/>
      </c>
      <c r="E156" s="69">
        <f>IF($H156&lt;&gt;"",IF(INDEX(Guests!$N:$N,$H156)="","",INDEX(Guests!$N:$N,$H156)),"")</f>
        <v/>
      </c>
      <c r="F156" s="67">
        <f>IF($H156&lt;&gt;"",INDEX(Guests!$E:$E,$H156)&amp;"","")</f>
        <v/>
      </c>
      <c r="G156" s="67">
        <f>IF($H156&lt;&gt;"","Guest list",IF($I156&lt;&gt;"","RSVP form",""))</f>
        <v/>
      </c>
      <c r="H156" s="32">
        <f>IF(148&lt;=Guests!$AG$505,MATCH(148,Guests!$AH:$AH,0),"")</f>
        <v/>
      </c>
      <c r="I156" s="32">
        <f>IF(AND(148&gt;Guests!$AG$505,148&lt;=Guests!$AG$505+'Form Calc'!$AB$601),MATCH(148-Guests!$AG$505,'Form Calc'!$AC:$AC,0),"")</f>
        <v/>
      </c>
    </row>
    <row r="157">
      <c r="A157" s="66">
        <f>IF($H157&lt;&gt;"",INDEX(Guests!$A:$A,$H157)&amp;"",IF($I157&lt;&gt;"",INDEX('Form Calc'!$B:$B,$I157)&amp;"",""))</f>
        <v/>
      </c>
      <c r="B157" s="67">
        <f>IF($H157&lt;&gt;"",INDEX(Guests!$B:$B,$H157)&amp;"",IF($I157&lt;&gt;"",INDEX('Form Calc'!$G:$G,$I157)&amp;"",""))</f>
        <v/>
      </c>
      <c r="C157" s="68">
        <f>IF($H157&lt;&gt;"",IF(INDEX(Guests!$AD:$AD,$H157)&lt;&gt;"",HYPERLINK(INDEX(Guests!$AD:$AD,$H157),"💬 Remind"),"add mobile"),IF($I157&lt;&gt;"",IF(INDEX('Form Calc'!$AG:$AG,$I157)&lt;&gt;"",HYPERLINK(INDEX('Form Calc'!$AG:$AG,$I157),"💬 Remind"),"add mobile"),""))</f>
        <v/>
      </c>
      <c r="D157" s="67">
        <f>IF($H157&lt;&gt;"",INDEX(Guests!$Y:$Y,$H157)&amp;"",IF($I157&lt;&gt;"",INDEX('Form Calc'!$C:$C,$I157)&amp;"",""))</f>
        <v/>
      </c>
      <c r="E157" s="69">
        <f>IF($H157&lt;&gt;"",IF(INDEX(Guests!$N:$N,$H157)="","",INDEX(Guests!$N:$N,$H157)),"")</f>
        <v/>
      </c>
      <c r="F157" s="67">
        <f>IF($H157&lt;&gt;"",INDEX(Guests!$E:$E,$H157)&amp;"","")</f>
        <v/>
      </c>
      <c r="G157" s="67">
        <f>IF($H157&lt;&gt;"","Guest list",IF($I157&lt;&gt;"","RSVP form",""))</f>
        <v/>
      </c>
      <c r="H157" s="32">
        <f>IF(149&lt;=Guests!$AG$505,MATCH(149,Guests!$AH:$AH,0),"")</f>
        <v/>
      </c>
      <c r="I157" s="32">
        <f>IF(AND(149&gt;Guests!$AG$505,149&lt;=Guests!$AG$505+'Form Calc'!$AB$601),MATCH(149-Guests!$AG$505,'Form Calc'!$AC:$AC,0),"")</f>
        <v/>
      </c>
    </row>
    <row r="158">
      <c r="A158" s="66">
        <f>IF($H158&lt;&gt;"",INDEX(Guests!$A:$A,$H158)&amp;"",IF($I158&lt;&gt;"",INDEX('Form Calc'!$B:$B,$I158)&amp;"",""))</f>
        <v/>
      </c>
      <c r="B158" s="67">
        <f>IF($H158&lt;&gt;"",INDEX(Guests!$B:$B,$H158)&amp;"",IF($I158&lt;&gt;"",INDEX('Form Calc'!$G:$G,$I158)&amp;"",""))</f>
        <v/>
      </c>
      <c r="C158" s="68">
        <f>IF($H158&lt;&gt;"",IF(INDEX(Guests!$AD:$AD,$H158)&lt;&gt;"",HYPERLINK(INDEX(Guests!$AD:$AD,$H158),"💬 Remind"),"add mobile"),IF($I158&lt;&gt;"",IF(INDEX('Form Calc'!$AG:$AG,$I158)&lt;&gt;"",HYPERLINK(INDEX('Form Calc'!$AG:$AG,$I158),"💬 Remind"),"add mobile"),""))</f>
        <v/>
      </c>
      <c r="D158" s="67">
        <f>IF($H158&lt;&gt;"",INDEX(Guests!$Y:$Y,$H158)&amp;"",IF($I158&lt;&gt;"",INDEX('Form Calc'!$C:$C,$I158)&amp;"",""))</f>
        <v/>
      </c>
      <c r="E158" s="69">
        <f>IF($H158&lt;&gt;"",IF(INDEX(Guests!$N:$N,$H158)="","",INDEX(Guests!$N:$N,$H158)),"")</f>
        <v/>
      </c>
      <c r="F158" s="67">
        <f>IF($H158&lt;&gt;"",INDEX(Guests!$E:$E,$H158)&amp;"","")</f>
        <v/>
      </c>
      <c r="G158" s="67">
        <f>IF($H158&lt;&gt;"","Guest list",IF($I158&lt;&gt;"","RSVP form",""))</f>
        <v/>
      </c>
      <c r="H158" s="32">
        <f>IF(150&lt;=Guests!$AG$505,MATCH(150,Guests!$AH:$AH,0),"")</f>
        <v/>
      </c>
      <c r="I158" s="32">
        <f>IF(AND(150&gt;Guests!$AG$505,150&lt;=Guests!$AG$505+'Form Calc'!$AB$601),MATCH(150-Guests!$AG$505,'Form Calc'!$AC:$AC,0),"")</f>
        <v/>
      </c>
    </row>
    <row r="159">
      <c r="A159" s="66">
        <f>IF($H159&lt;&gt;"",INDEX(Guests!$A:$A,$H159)&amp;"",IF($I159&lt;&gt;"",INDEX('Form Calc'!$B:$B,$I159)&amp;"",""))</f>
        <v/>
      </c>
      <c r="B159" s="67">
        <f>IF($H159&lt;&gt;"",INDEX(Guests!$B:$B,$H159)&amp;"",IF($I159&lt;&gt;"",INDEX('Form Calc'!$G:$G,$I159)&amp;"",""))</f>
        <v/>
      </c>
      <c r="C159" s="68">
        <f>IF($H159&lt;&gt;"",IF(INDEX(Guests!$AD:$AD,$H159)&lt;&gt;"",HYPERLINK(INDEX(Guests!$AD:$AD,$H159),"💬 Remind"),"add mobile"),IF($I159&lt;&gt;"",IF(INDEX('Form Calc'!$AG:$AG,$I159)&lt;&gt;"",HYPERLINK(INDEX('Form Calc'!$AG:$AG,$I159),"💬 Remind"),"add mobile"),""))</f>
        <v/>
      </c>
      <c r="D159" s="67">
        <f>IF($H159&lt;&gt;"",INDEX(Guests!$Y:$Y,$H159)&amp;"",IF($I159&lt;&gt;"",INDEX('Form Calc'!$C:$C,$I159)&amp;"",""))</f>
        <v/>
      </c>
      <c r="E159" s="69">
        <f>IF($H159&lt;&gt;"",IF(INDEX(Guests!$N:$N,$H159)="","",INDEX(Guests!$N:$N,$H159)),"")</f>
        <v/>
      </c>
      <c r="F159" s="67">
        <f>IF($H159&lt;&gt;"",INDEX(Guests!$E:$E,$H159)&amp;"","")</f>
        <v/>
      </c>
      <c r="G159" s="67">
        <f>IF($H159&lt;&gt;"","Guest list",IF($I159&lt;&gt;"","RSVP form",""))</f>
        <v/>
      </c>
      <c r="H159" s="32">
        <f>IF(151&lt;=Guests!$AG$505,MATCH(151,Guests!$AH:$AH,0),"")</f>
        <v/>
      </c>
      <c r="I159" s="32">
        <f>IF(AND(151&gt;Guests!$AG$505,151&lt;=Guests!$AG$505+'Form Calc'!$AB$601),MATCH(151-Guests!$AG$505,'Form Calc'!$AC:$AC,0),"")</f>
        <v/>
      </c>
    </row>
    <row r="160">
      <c r="A160" s="66">
        <f>IF($H160&lt;&gt;"",INDEX(Guests!$A:$A,$H160)&amp;"",IF($I160&lt;&gt;"",INDEX('Form Calc'!$B:$B,$I160)&amp;"",""))</f>
        <v/>
      </c>
      <c r="B160" s="67">
        <f>IF($H160&lt;&gt;"",INDEX(Guests!$B:$B,$H160)&amp;"",IF($I160&lt;&gt;"",INDEX('Form Calc'!$G:$G,$I160)&amp;"",""))</f>
        <v/>
      </c>
      <c r="C160" s="68">
        <f>IF($H160&lt;&gt;"",IF(INDEX(Guests!$AD:$AD,$H160)&lt;&gt;"",HYPERLINK(INDEX(Guests!$AD:$AD,$H160),"💬 Remind"),"add mobile"),IF($I160&lt;&gt;"",IF(INDEX('Form Calc'!$AG:$AG,$I160)&lt;&gt;"",HYPERLINK(INDEX('Form Calc'!$AG:$AG,$I160),"💬 Remind"),"add mobile"),""))</f>
        <v/>
      </c>
      <c r="D160" s="67">
        <f>IF($H160&lt;&gt;"",INDEX(Guests!$Y:$Y,$H160)&amp;"",IF($I160&lt;&gt;"",INDEX('Form Calc'!$C:$C,$I160)&amp;"",""))</f>
        <v/>
      </c>
      <c r="E160" s="69">
        <f>IF($H160&lt;&gt;"",IF(INDEX(Guests!$N:$N,$H160)="","",INDEX(Guests!$N:$N,$H160)),"")</f>
        <v/>
      </c>
      <c r="F160" s="67">
        <f>IF($H160&lt;&gt;"",INDEX(Guests!$E:$E,$H160)&amp;"","")</f>
        <v/>
      </c>
      <c r="G160" s="67">
        <f>IF($H160&lt;&gt;"","Guest list",IF($I160&lt;&gt;"","RSVP form",""))</f>
        <v/>
      </c>
      <c r="H160" s="32">
        <f>IF(152&lt;=Guests!$AG$505,MATCH(152,Guests!$AH:$AH,0),"")</f>
        <v/>
      </c>
      <c r="I160" s="32">
        <f>IF(AND(152&gt;Guests!$AG$505,152&lt;=Guests!$AG$505+'Form Calc'!$AB$601),MATCH(152-Guests!$AG$505,'Form Calc'!$AC:$AC,0),"")</f>
        <v/>
      </c>
    </row>
    <row r="161">
      <c r="A161" s="66">
        <f>IF($H161&lt;&gt;"",INDEX(Guests!$A:$A,$H161)&amp;"",IF($I161&lt;&gt;"",INDEX('Form Calc'!$B:$B,$I161)&amp;"",""))</f>
        <v/>
      </c>
      <c r="B161" s="67">
        <f>IF($H161&lt;&gt;"",INDEX(Guests!$B:$B,$H161)&amp;"",IF($I161&lt;&gt;"",INDEX('Form Calc'!$G:$G,$I161)&amp;"",""))</f>
        <v/>
      </c>
      <c r="C161" s="68">
        <f>IF($H161&lt;&gt;"",IF(INDEX(Guests!$AD:$AD,$H161)&lt;&gt;"",HYPERLINK(INDEX(Guests!$AD:$AD,$H161),"💬 Remind"),"add mobile"),IF($I161&lt;&gt;"",IF(INDEX('Form Calc'!$AG:$AG,$I161)&lt;&gt;"",HYPERLINK(INDEX('Form Calc'!$AG:$AG,$I161),"💬 Remind"),"add mobile"),""))</f>
        <v/>
      </c>
      <c r="D161" s="67">
        <f>IF($H161&lt;&gt;"",INDEX(Guests!$Y:$Y,$H161)&amp;"",IF($I161&lt;&gt;"",INDEX('Form Calc'!$C:$C,$I161)&amp;"",""))</f>
        <v/>
      </c>
      <c r="E161" s="69">
        <f>IF($H161&lt;&gt;"",IF(INDEX(Guests!$N:$N,$H161)="","",INDEX(Guests!$N:$N,$H161)),"")</f>
        <v/>
      </c>
      <c r="F161" s="67">
        <f>IF($H161&lt;&gt;"",INDEX(Guests!$E:$E,$H161)&amp;"","")</f>
        <v/>
      </c>
      <c r="G161" s="67">
        <f>IF($H161&lt;&gt;"","Guest list",IF($I161&lt;&gt;"","RSVP form",""))</f>
        <v/>
      </c>
      <c r="H161" s="32">
        <f>IF(153&lt;=Guests!$AG$505,MATCH(153,Guests!$AH:$AH,0),"")</f>
        <v/>
      </c>
      <c r="I161" s="32">
        <f>IF(AND(153&gt;Guests!$AG$505,153&lt;=Guests!$AG$505+'Form Calc'!$AB$601),MATCH(153-Guests!$AG$505,'Form Calc'!$AC:$AC,0),"")</f>
        <v/>
      </c>
    </row>
    <row r="162">
      <c r="A162" s="66">
        <f>IF($H162&lt;&gt;"",INDEX(Guests!$A:$A,$H162)&amp;"",IF($I162&lt;&gt;"",INDEX('Form Calc'!$B:$B,$I162)&amp;"",""))</f>
        <v/>
      </c>
      <c r="B162" s="67">
        <f>IF($H162&lt;&gt;"",INDEX(Guests!$B:$B,$H162)&amp;"",IF($I162&lt;&gt;"",INDEX('Form Calc'!$G:$G,$I162)&amp;"",""))</f>
        <v/>
      </c>
      <c r="C162" s="68">
        <f>IF($H162&lt;&gt;"",IF(INDEX(Guests!$AD:$AD,$H162)&lt;&gt;"",HYPERLINK(INDEX(Guests!$AD:$AD,$H162),"💬 Remind"),"add mobile"),IF($I162&lt;&gt;"",IF(INDEX('Form Calc'!$AG:$AG,$I162)&lt;&gt;"",HYPERLINK(INDEX('Form Calc'!$AG:$AG,$I162),"💬 Remind"),"add mobile"),""))</f>
        <v/>
      </c>
      <c r="D162" s="67">
        <f>IF($H162&lt;&gt;"",INDEX(Guests!$Y:$Y,$H162)&amp;"",IF($I162&lt;&gt;"",INDEX('Form Calc'!$C:$C,$I162)&amp;"",""))</f>
        <v/>
      </c>
      <c r="E162" s="69">
        <f>IF($H162&lt;&gt;"",IF(INDEX(Guests!$N:$N,$H162)="","",INDEX(Guests!$N:$N,$H162)),"")</f>
        <v/>
      </c>
      <c r="F162" s="67">
        <f>IF($H162&lt;&gt;"",INDEX(Guests!$E:$E,$H162)&amp;"","")</f>
        <v/>
      </c>
      <c r="G162" s="67">
        <f>IF($H162&lt;&gt;"","Guest list",IF($I162&lt;&gt;"","RSVP form",""))</f>
        <v/>
      </c>
      <c r="H162" s="32">
        <f>IF(154&lt;=Guests!$AG$505,MATCH(154,Guests!$AH:$AH,0),"")</f>
        <v/>
      </c>
      <c r="I162" s="32">
        <f>IF(AND(154&gt;Guests!$AG$505,154&lt;=Guests!$AG$505+'Form Calc'!$AB$601),MATCH(154-Guests!$AG$505,'Form Calc'!$AC:$AC,0),"")</f>
        <v/>
      </c>
    </row>
    <row r="163">
      <c r="A163" s="66">
        <f>IF($H163&lt;&gt;"",INDEX(Guests!$A:$A,$H163)&amp;"",IF($I163&lt;&gt;"",INDEX('Form Calc'!$B:$B,$I163)&amp;"",""))</f>
        <v/>
      </c>
      <c r="B163" s="67">
        <f>IF($H163&lt;&gt;"",INDEX(Guests!$B:$B,$H163)&amp;"",IF($I163&lt;&gt;"",INDEX('Form Calc'!$G:$G,$I163)&amp;"",""))</f>
        <v/>
      </c>
      <c r="C163" s="68">
        <f>IF($H163&lt;&gt;"",IF(INDEX(Guests!$AD:$AD,$H163)&lt;&gt;"",HYPERLINK(INDEX(Guests!$AD:$AD,$H163),"💬 Remind"),"add mobile"),IF($I163&lt;&gt;"",IF(INDEX('Form Calc'!$AG:$AG,$I163)&lt;&gt;"",HYPERLINK(INDEX('Form Calc'!$AG:$AG,$I163),"💬 Remind"),"add mobile"),""))</f>
        <v/>
      </c>
      <c r="D163" s="67">
        <f>IF($H163&lt;&gt;"",INDEX(Guests!$Y:$Y,$H163)&amp;"",IF($I163&lt;&gt;"",INDEX('Form Calc'!$C:$C,$I163)&amp;"",""))</f>
        <v/>
      </c>
      <c r="E163" s="69">
        <f>IF($H163&lt;&gt;"",IF(INDEX(Guests!$N:$N,$H163)="","",INDEX(Guests!$N:$N,$H163)),"")</f>
        <v/>
      </c>
      <c r="F163" s="67">
        <f>IF($H163&lt;&gt;"",INDEX(Guests!$E:$E,$H163)&amp;"","")</f>
        <v/>
      </c>
      <c r="G163" s="67">
        <f>IF($H163&lt;&gt;"","Guest list",IF($I163&lt;&gt;"","RSVP form",""))</f>
        <v/>
      </c>
      <c r="H163" s="32">
        <f>IF(155&lt;=Guests!$AG$505,MATCH(155,Guests!$AH:$AH,0),"")</f>
        <v/>
      </c>
      <c r="I163" s="32">
        <f>IF(AND(155&gt;Guests!$AG$505,155&lt;=Guests!$AG$505+'Form Calc'!$AB$601),MATCH(155-Guests!$AG$505,'Form Calc'!$AC:$AC,0),"")</f>
        <v/>
      </c>
    </row>
    <row r="164">
      <c r="A164" s="66">
        <f>IF($H164&lt;&gt;"",INDEX(Guests!$A:$A,$H164)&amp;"",IF($I164&lt;&gt;"",INDEX('Form Calc'!$B:$B,$I164)&amp;"",""))</f>
        <v/>
      </c>
      <c r="B164" s="67">
        <f>IF($H164&lt;&gt;"",INDEX(Guests!$B:$B,$H164)&amp;"",IF($I164&lt;&gt;"",INDEX('Form Calc'!$G:$G,$I164)&amp;"",""))</f>
        <v/>
      </c>
      <c r="C164" s="68">
        <f>IF($H164&lt;&gt;"",IF(INDEX(Guests!$AD:$AD,$H164)&lt;&gt;"",HYPERLINK(INDEX(Guests!$AD:$AD,$H164),"💬 Remind"),"add mobile"),IF($I164&lt;&gt;"",IF(INDEX('Form Calc'!$AG:$AG,$I164)&lt;&gt;"",HYPERLINK(INDEX('Form Calc'!$AG:$AG,$I164),"💬 Remind"),"add mobile"),""))</f>
        <v/>
      </c>
      <c r="D164" s="67">
        <f>IF($H164&lt;&gt;"",INDEX(Guests!$Y:$Y,$H164)&amp;"",IF($I164&lt;&gt;"",INDEX('Form Calc'!$C:$C,$I164)&amp;"",""))</f>
        <v/>
      </c>
      <c r="E164" s="69">
        <f>IF($H164&lt;&gt;"",IF(INDEX(Guests!$N:$N,$H164)="","",INDEX(Guests!$N:$N,$H164)),"")</f>
        <v/>
      </c>
      <c r="F164" s="67">
        <f>IF($H164&lt;&gt;"",INDEX(Guests!$E:$E,$H164)&amp;"","")</f>
        <v/>
      </c>
      <c r="G164" s="67">
        <f>IF($H164&lt;&gt;"","Guest list",IF($I164&lt;&gt;"","RSVP form",""))</f>
        <v/>
      </c>
      <c r="H164" s="32">
        <f>IF(156&lt;=Guests!$AG$505,MATCH(156,Guests!$AH:$AH,0),"")</f>
        <v/>
      </c>
      <c r="I164" s="32">
        <f>IF(AND(156&gt;Guests!$AG$505,156&lt;=Guests!$AG$505+'Form Calc'!$AB$601),MATCH(156-Guests!$AG$505,'Form Calc'!$AC:$AC,0),"")</f>
        <v/>
      </c>
    </row>
    <row r="165">
      <c r="A165" s="66">
        <f>IF($H165&lt;&gt;"",INDEX(Guests!$A:$A,$H165)&amp;"",IF($I165&lt;&gt;"",INDEX('Form Calc'!$B:$B,$I165)&amp;"",""))</f>
        <v/>
      </c>
      <c r="B165" s="67">
        <f>IF($H165&lt;&gt;"",INDEX(Guests!$B:$B,$H165)&amp;"",IF($I165&lt;&gt;"",INDEX('Form Calc'!$G:$G,$I165)&amp;"",""))</f>
        <v/>
      </c>
      <c r="C165" s="68">
        <f>IF($H165&lt;&gt;"",IF(INDEX(Guests!$AD:$AD,$H165)&lt;&gt;"",HYPERLINK(INDEX(Guests!$AD:$AD,$H165),"💬 Remind"),"add mobile"),IF($I165&lt;&gt;"",IF(INDEX('Form Calc'!$AG:$AG,$I165)&lt;&gt;"",HYPERLINK(INDEX('Form Calc'!$AG:$AG,$I165),"💬 Remind"),"add mobile"),""))</f>
        <v/>
      </c>
      <c r="D165" s="67">
        <f>IF($H165&lt;&gt;"",INDEX(Guests!$Y:$Y,$H165)&amp;"",IF($I165&lt;&gt;"",INDEX('Form Calc'!$C:$C,$I165)&amp;"",""))</f>
        <v/>
      </c>
      <c r="E165" s="69">
        <f>IF($H165&lt;&gt;"",IF(INDEX(Guests!$N:$N,$H165)="","",INDEX(Guests!$N:$N,$H165)),"")</f>
        <v/>
      </c>
      <c r="F165" s="67">
        <f>IF($H165&lt;&gt;"",INDEX(Guests!$E:$E,$H165)&amp;"","")</f>
        <v/>
      </c>
      <c r="G165" s="67">
        <f>IF($H165&lt;&gt;"","Guest list",IF($I165&lt;&gt;"","RSVP form",""))</f>
        <v/>
      </c>
      <c r="H165" s="32">
        <f>IF(157&lt;=Guests!$AG$505,MATCH(157,Guests!$AH:$AH,0),"")</f>
        <v/>
      </c>
      <c r="I165" s="32">
        <f>IF(AND(157&gt;Guests!$AG$505,157&lt;=Guests!$AG$505+'Form Calc'!$AB$601),MATCH(157-Guests!$AG$505,'Form Calc'!$AC:$AC,0),"")</f>
        <v/>
      </c>
    </row>
    <row r="166">
      <c r="A166" s="66">
        <f>IF($H166&lt;&gt;"",INDEX(Guests!$A:$A,$H166)&amp;"",IF($I166&lt;&gt;"",INDEX('Form Calc'!$B:$B,$I166)&amp;"",""))</f>
        <v/>
      </c>
      <c r="B166" s="67">
        <f>IF($H166&lt;&gt;"",INDEX(Guests!$B:$B,$H166)&amp;"",IF($I166&lt;&gt;"",INDEX('Form Calc'!$G:$G,$I166)&amp;"",""))</f>
        <v/>
      </c>
      <c r="C166" s="68">
        <f>IF($H166&lt;&gt;"",IF(INDEX(Guests!$AD:$AD,$H166)&lt;&gt;"",HYPERLINK(INDEX(Guests!$AD:$AD,$H166),"💬 Remind"),"add mobile"),IF($I166&lt;&gt;"",IF(INDEX('Form Calc'!$AG:$AG,$I166)&lt;&gt;"",HYPERLINK(INDEX('Form Calc'!$AG:$AG,$I166),"💬 Remind"),"add mobile"),""))</f>
        <v/>
      </c>
      <c r="D166" s="67">
        <f>IF($H166&lt;&gt;"",INDEX(Guests!$Y:$Y,$H166)&amp;"",IF($I166&lt;&gt;"",INDEX('Form Calc'!$C:$C,$I166)&amp;"",""))</f>
        <v/>
      </c>
      <c r="E166" s="69">
        <f>IF($H166&lt;&gt;"",IF(INDEX(Guests!$N:$N,$H166)="","",INDEX(Guests!$N:$N,$H166)),"")</f>
        <v/>
      </c>
      <c r="F166" s="67">
        <f>IF($H166&lt;&gt;"",INDEX(Guests!$E:$E,$H166)&amp;"","")</f>
        <v/>
      </c>
      <c r="G166" s="67">
        <f>IF($H166&lt;&gt;"","Guest list",IF($I166&lt;&gt;"","RSVP form",""))</f>
        <v/>
      </c>
      <c r="H166" s="32">
        <f>IF(158&lt;=Guests!$AG$505,MATCH(158,Guests!$AH:$AH,0),"")</f>
        <v/>
      </c>
      <c r="I166" s="32">
        <f>IF(AND(158&gt;Guests!$AG$505,158&lt;=Guests!$AG$505+'Form Calc'!$AB$601),MATCH(158-Guests!$AG$505,'Form Calc'!$AC:$AC,0),"")</f>
        <v/>
      </c>
    </row>
    <row r="167">
      <c r="A167" s="66">
        <f>IF($H167&lt;&gt;"",INDEX(Guests!$A:$A,$H167)&amp;"",IF($I167&lt;&gt;"",INDEX('Form Calc'!$B:$B,$I167)&amp;"",""))</f>
        <v/>
      </c>
      <c r="B167" s="67">
        <f>IF($H167&lt;&gt;"",INDEX(Guests!$B:$B,$H167)&amp;"",IF($I167&lt;&gt;"",INDEX('Form Calc'!$G:$G,$I167)&amp;"",""))</f>
        <v/>
      </c>
      <c r="C167" s="68">
        <f>IF($H167&lt;&gt;"",IF(INDEX(Guests!$AD:$AD,$H167)&lt;&gt;"",HYPERLINK(INDEX(Guests!$AD:$AD,$H167),"💬 Remind"),"add mobile"),IF($I167&lt;&gt;"",IF(INDEX('Form Calc'!$AG:$AG,$I167)&lt;&gt;"",HYPERLINK(INDEX('Form Calc'!$AG:$AG,$I167),"💬 Remind"),"add mobile"),""))</f>
        <v/>
      </c>
      <c r="D167" s="67">
        <f>IF($H167&lt;&gt;"",INDEX(Guests!$Y:$Y,$H167)&amp;"",IF($I167&lt;&gt;"",INDEX('Form Calc'!$C:$C,$I167)&amp;"",""))</f>
        <v/>
      </c>
      <c r="E167" s="69">
        <f>IF($H167&lt;&gt;"",IF(INDEX(Guests!$N:$N,$H167)="","",INDEX(Guests!$N:$N,$H167)),"")</f>
        <v/>
      </c>
      <c r="F167" s="67">
        <f>IF($H167&lt;&gt;"",INDEX(Guests!$E:$E,$H167)&amp;"","")</f>
        <v/>
      </c>
      <c r="G167" s="67">
        <f>IF($H167&lt;&gt;"","Guest list",IF($I167&lt;&gt;"","RSVP form",""))</f>
        <v/>
      </c>
      <c r="H167" s="32">
        <f>IF(159&lt;=Guests!$AG$505,MATCH(159,Guests!$AH:$AH,0),"")</f>
        <v/>
      </c>
      <c r="I167" s="32">
        <f>IF(AND(159&gt;Guests!$AG$505,159&lt;=Guests!$AG$505+'Form Calc'!$AB$601),MATCH(159-Guests!$AG$505,'Form Calc'!$AC:$AC,0),"")</f>
        <v/>
      </c>
    </row>
    <row r="168">
      <c r="A168" s="66">
        <f>IF($H168&lt;&gt;"",INDEX(Guests!$A:$A,$H168)&amp;"",IF($I168&lt;&gt;"",INDEX('Form Calc'!$B:$B,$I168)&amp;"",""))</f>
        <v/>
      </c>
      <c r="B168" s="67">
        <f>IF($H168&lt;&gt;"",INDEX(Guests!$B:$B,$H168)&amp;"",IF($I168&lt;&gt;"",INDEX('Form Calc'!$G:$G,$I168)&amp;"",""))</f>
        <v/>
      </c>
      <c r="C168" s="68">
        <f>IF($H168&lt;&gt;"",IF(INDEX(Guests!$AD:$AD,$H168)&lt;&gt;"",HYPERLINK(INDEX(Guests!$AD:$AD,$H168),"💬 Remind"),"add mobile"),IF($I168&lt;&gt;"",IF(INDEX('Form Calc'!$AG:$AG,$I168)&lt;&gt;"",HYPERLINK(INDEX('Form Calc'!$AG:$AG,$I168),"💬 Remind"),"add mobile"),""))</f>
        <v/>
      </c>
      <c r="D168" s="67">
        <f>IF($H168&lt;&gt;"",INDEX(Guests!$Y:$Y,$H168)&amp;"",IF($I168&lt;&gt;"",INDEX('Form Calc'!$C:$C,$I168)&amp;"",""))</f>
        <v/>
      </c>
      <c r="E168" s="69">
        <f>IF($H168&lt;&gt;"",IF(INDEX(Guests!$N:$N,$H168)="","",INDEX(Guests!$N:$N,$H168)),"")</f>
        <v/>
      </c>
      <c r="F168" s="67">
        <f>IF($H168&lt;&gt;"",INDEX(Guests!$E:$E,$H168)&amp;"","")</f>
        <v/>
      </c>
      <c r="G168" s="67">
        <f>IF($H168&lt;&gt;"","Guest list",IF($I168&lt;&gt;"","RSVP form",""))</f>
        <v/>
      </c>
      <c r="H168" s="32">
        <f>IF(160&lt;=Guests!$AG$505,MATCH(160,Guests!$AH:$AH,0),"")</f>
        <v/>
      </c>
      <c r="I168" s="32">
        <f>IF(AND(160&gt;Guests!$AG$505,160&lt;=Guests!$AG$505+'Form Calc'!$AB$601),MATCH(160-Guests!$AG$505,'Form Calc'!$AC:$AC,0),"")</f>
        <v/>
      </c>
    </row>
    <row r="169">
      <c r="A169" s="66">
        <f>IF($H169&lt;&gt;"",INDEX(Guests!$A:$A,$H169)&amp;"",IF($I169&lt;&gt;"",INDEX('Form Calc'!$B:$B,$I169)&amp;"",""))</f>
        <v/>
      </c>
      <c r="B169" s="67">
        <f>IF($H169&lt;&gt;"",INDEX(Guests!$B:$B,$H169)&amp;"",IF($I169&lt;&gt;"",INDEX('Form Calc'!$G:$G,$I169)&amp;"",""))</f>
        <v/>
      </c>
      <c r="C169" s="68">
        <f>IF($H169&lt;&gt;"",IF(INDEX(Guests!$AD:$AD,$H169)&lt;&gt;"",HYPERLINK(INDEX(Guests!$AD:$AD,$H169),"💬 Remind"),"add mobile"),IF($I169&lt;&gt;"",IF(INDEX('Form Calc'!$AG:$AG,$I169)&lt;&gt;"",HYPERLINK(INDEX('Form Calc'!$AG:$AG,$I169),"💬 Remind"),"add mobile"),""))</f>
        <v/>
      </c>
      <c r="D169" s="67">
        <f>IF($H169&lt;&gt;"",INDEX(Guests!$Y:$Y,$H169)&amp;"",IF($I169&lt;&gt;"",INDEX('Form Calc'!$C:$C,$I169)&amp;"",""))</f>
        <v/>
      </c>
      <c r="E169" s="69">
        <f>IF($H169&lt;&gt;"",IF(INDEX(Guests!$N:$N,$H169)="","",INDEX(Guests!$N:$N,$H169)),"")</f>
        <v/>
      </c>
      <c r="F169" s="67">
        <f>IF($H169&lt;&gt;"",INDEX(Guests!$E:$E,$H169)&amp;"","")</f>
        <v/>
      </c>
      <c r="G169" s="67">
        <f>IF($H169&lt;&gt;"","Guest list",IF($I169&lt;&gt;"","RSVP form",""))</f>
        <v/>
      </c>
      <c r="H169" s="32">
        <f>IF(161&lt;=Guests!$AG$505,MATCH(161,Guests!$AH:$AH,0),"")</f>
        <v/>
      </c>
      <c r="I169" s="32">
        <f>IF(AND(161&gt;Guests!$AG$505,161&lt;=Guests!$AG$505+'Form Calc'!$AB$601),MATCH(161-Guests!$AG$505,'Form Calc'!$AC:$AC,0),"")</f>
        <v/>
      </c>
    </row>
    <row r="170">
      <c r="A170" s="66">
        <f>IF($H170&lt;&gt;"",INDEX(Guests!$A:$A,$H170)&amp;"",IF($I170&lt;&gt;"",INDEX('Form Calc'!$B:$B,$I170)&amp;"",""))</f>
        <v/>
      </c>
      <c r="B170" s="67">
        <f>IF($H170&lt;&gt;"",INDEX(Guests!$B:$B,$H170)&amp;"",IF($I170&lt;&gt;"",INDEX('Form Calc'!$G:$G,$I170)&amp;"",""))</f>
        <v/>
      </c>
      <c r="C170" s="68">
        <f>IF($H170&lt;&gt;"",IF(INDEX(Guests!$AD:$AD,$H170)&lt;&gt;"",HYPERLINK(INDEX(Guests!$AD:$AD,$H170),"💬 Remind"),"add mobile"),IF($I170&lt;&gt;"",IF(INDEX('Form Calc'!$AG:$AG,$I170)&lt;&gt;"",HYPERLINK(INDEX('Form Calc'!$AG:$AG,$I170),"💬 Remind"),"add mobile"),""))</f>
        <v/>
      </c>
      <c r="D170" s="67">
        <f>IF($H170&lt;&gt;"",INDEX(Guests!$Y:$Y,$H170)&amp;"",IF($I170&lt;&gt;"",INDEX('Form Calc'!$C:$C,$I170)&amp;"",""))</f>
        <v/>
      </c>
      <c r="E170" s="69">
        <f>IF($H170&lt;&gt;"",IF(INDEX(Guests!$N:$N,$H170)="","",INDEX(Guests!$N:$N,$H170)),"")</f>
        <v/>
      </c>
      <c r="F170" s="67">
        <f>IF($H170&lt;&gt;"",INDEX(Guests!$E:$E,$H170)&amp;"","")</f>
        <v/>
      </c>
      <c r="G170" s="67">
        <f>IF($H170&lt;&gt;"","Guest list",IF($I170&lt;&gt;"","RSVP form",""))</f>
        <v/>
      </c>
      <c r="H170" s="32">
        <f>IF(162&lt;=Guests!$AG$505,MATCH(162,Guests!$AH:$AH,0),"")</f>
        <v/>
      </c>
      <c r="I170" s="32">
        <f>IF(AND(162&gt;Guests!$AG$505,162&lt;=Guests!$AG$505+'Form Calc'!$AB$601),MATCH(162-Guests!$AG$505,'Form Calc'!$AC:$AC,0),"")</f>
        <v/>
      </c>
    </row>
    <row r="171">
      <c r="A171" s="66">
        <f>IF($H171&lt;&gt;"",INDEX(Guests!$A:$A,$H171)&amp;"",IF($I171&lt;&gt;"",INDEX('Form Calc'!$B:$B,$I171)&amp;"",""))</f>
        <v/>
      </c>
      <c r="B171" s="67">
        <f>IF($H171&lt;&gt;"",INDEX(Guests!$B:$B,$H171)&amp;"",IF($I171&lt;&gt;"",INDEX('Form Calc'!$G:$G,$I171)&amp;"",""))</f>
        <v/>
      </c>
      <c r="C171" s="68">
        <f>IF($H171&lt;&gt;"",IF(INDEX(Guests!$AD:$AD,$H171)&lt;&gt;"",HYPERLINK(INDEX(Guests!$AD:$AD,$H171),"💬 Remind"),"add mobile"),IF($I171&lt;&gt;"",IF(INDEX('Form Calc'!$AG:$AG,$I171)&lt;&gt;"",HYPERLINK(INDEX('Form Calc'!$AG:$AG,$I171),"💬 Remind"),"add mobile"),""))</f>
        <v/>
      </c>
      <c r="D171" s="67">
        <f>IF($H171&lt;&gt;"",INDEX(Guests!$Y:$Y,$H171)&amp;"",IF($I171&lt;&gt;"",INDEX('Form Calc'!$C:$C,$I171)&amp;"",""))</f>
        <v/>
      </c>
      <c r="E171" s="69">
        <f>IF($H171&lt;&gt;"",IF(INDEX(Guests!$N:$N,$H171)="","",INDEX(Guests!$N:$N,$H171)),"")</f>
        <v/>
      </c>
      <c r="F171" s="67">
        <f>IF($H171&lt;&gt;"",INDEX(Guests!$E:$E,$H171)&amp;"","")</f>
        <v/>
      </c>
      <c r="G171" s="67">
        <f>IF($H171&lt;&gt;"","Guest list",IF($I171&lt;&gt;"","RSVP form",""))</f>
        <v/>
      </c>
      <c r="H171" s="32">
        <f>IF(163&lt;=Guests!$AG$505,MATCH(163,Guests!$AH:$AH,0),"")</f>
        <v/>
      </c>
      <c r="I171" s="32">
        <f>IF(AND(163&gt;Guests!$AG$505,163&lt;=Guests!$AG$505+'Form Calc'!$AB$601),MATCH(163-Guests!$AG$505,'Form Calc'!$AC:$AC,0),"")</f>
        <v/>
      </c>
    </row>
    <row r="172">
      <c r="A172" s="66">
        <f>IF($H172&lt;&gt;"",INDEX(Guests!$A:$A,$H172)&amp;"",IF($I172&lt;&gt;"",INDEX('Form Calc'!$B:$B,$I172)&amp;"",""))</f>
        <v/>
      </c>
      <c r="B172" s="67">
        <f>IF($H172&lt;&gt;"",INDEX(Guests!$B:$B,$H172)&amp;"",IF($I172&lt;&gt;"",INDEX('Form Calc'!$G:$G,$I172)&amp;"",""))</f>
        <v/>
      </c>
      <c r="C172" s="68">
        <f>IF($H172&lt;&gt;"",IF(INDEX(Guests!$AD:$AD,$H172)&lt;&gt;"",HYPERLINK(INDEX(Guests!$AD:$AD,$H172),"💬 Remind"),"add mobile"),IF($I172&lt;&gt;"",IF(INDEX('Form Calc'!$AG:$AG,$I172)&lt;&gt;"",HYPERLINK(INDEX('Form Calc'!$AG:$AG,$I172),"💬 Remind"),"add mobile"),""))</f>
        <v/>
      </c>
      <c r="D172" s="67">
        <f>IF($H172&lt;&gt;"",INDEX(Guests!$Y:$Y,$H172)&amp;"",IF($I172&lt;&gt;"",INDEX('Form Calc'!$C:$C,$I172)&amp;"",""))</f>
        <v/>
      </c>
      <c r="E172" s="69">
        <f>IF($H172&lt;&gt;"",IF(INDEX(Guests!$N:$N,$H172)="","",INDEX(Guests!$N:$N,$H172)),"")</f>
        <v/>
      </c>
      <c r="F172" s="67">
        <f>IF($H172&lt;&gt;"",INDEX(Guests!$E:$E,$H172)&amp;"","")</f>
        <v/>
      </c>
      <c r="G172" s="67">
        <f>IF($H172&lt;&gt;"","Guest list",IF($I172&lt;&gt;"","RSVP form",""))</f>
        <v/>
      </c>
      <c r="H172" s="32">
        <f>IF(164&lt;=Guests!$AG$505,MATCH(164,Guests!$AH:$AH,0),"")</f>
        <v/>
      </c>
      <c r="I172" s="32">
        <f>IF(AND(164&gt;Guests!$AG$505,164&lt;=Guests!$AG$505+'Form Calc'!$AB$601),MATCH(164-Guests!$AG$505,'Form Calc'!$AC:$AC,0),"")</f>
        <v/>
      </c>
    </row>
    <row r="173">
      <c r="A173" s="66">
        <f>IF($H173&lt;&gt;"",INDEX(Guests!$A:$A,$H173)&amp;"",IF($I173&lt;&gt;"",INDEX('Form Calc'!$B:$B,$I173)&amp;"",""))</f>
        <v/>
      </c>
      <c r="B173" s="67">
        <f>IF($H173&lt;&gt;"",INDEX(Guests!$B:$B,$H173)&amp;"",IF($I173&lt;&gt;"",INDEX('Form Calc'!$G:$G,$I173)&amp;"",""))</f>
        <v/>
      </c>
      <c r="C173" s="68">
        <f>IF($H173&lt;&gt;"",IF(INDEX(Guests!$AD:$AD,$H173)&lt;&gt;"",HYPERLINK(INDEX(Guests!$AD:$AD,$H173),"💬 Remind"),"add mobile"),IF($I173&lt;&gt;"",IF(INDEX('Form Calc'!$AG:$AG,$I173)&lt;&gt;"",HYPERLINK(INDEX('Form Calc'!$AG:$AG,$I173),"💬 Remind"),"add mobile"),""))</f>
        <v/>
      </c>
      <c r="D173" s="67">
        <f>IF($H173&lt;&gt;"",INDEX(Guests!$Y:$Y,$H173)&amp;"",IF($I173&lt;&gt;"",INDEX('Form Calc'!$C:$C,$I173)&amp;"",""))</f>
        <v/>
      </c>
      <c r="E173" s="69">
        <f>IF($H173&lt;&gt;"",IF(INDEX(Guests!$N:$N,$H173)="","",INDEX(Guests!$N:$N,$H173)),"")</f>
        <v/>
      </c>
      <c r="F173" s="67">
        <f>IF($H173&lt;&gt;"",INDEX(Guests!$E:$E,$H173)&amp;"","")</f>
        <v/>
      </c>
      <c r="G173" s="67">
        <f>IF($H173&lt;&gt;"","Guest list",IF($I173&lt;&gt;"","RSVP form",""))</f>
        <v/>
      </c>
      <c r="H173" s="32">
        <f>IF(165&lt;=Guests!$AG$505,MATCH(165,Guests!$AH:$AH,0),"")</f>
        <v/>
      </c>
      <c r="I173" s="32">
        <f>IF(AND(165&gt;Guests!$AG$505,165&lt;=Guests!$AG$505+'Form Calc'!$AB$601),MATCH(165-Guests!$AG$505,'Form Calc'!$AC:$AC,0),"")</f>
        <v/>
      </c>
    </row>
    <row r="174">
      <c r="A174" s="66">
        <f>IF($H174&lt;&gt;"",INDEX(Guests!$A:$A,$H174)&amp;"",IF($I174&lt;&gt;"",INDEX('Form Calc'!$B:$B,$I174)&amp;"",""))</f>
        <v/>
      </c>
      <c r="B174" s="67">
        <f>IF($H174&lt;&gt;"",INDEX(Guests!$B:$B,$H174)&amp;"",IF($I174&lt;&gt;"",INDEX('Form Calc'!$G:$G,$I174)&amp;"",""))</f>
        <v/>
      </c>
      <c r="C174" s="68">
        <f>IF($H174&lt;&gt;"",IF(INDEX(Guests!$AD:$AD,$H174)&lt;&gt;"",HYPERLINK(INDEX(Guests!$AD:$AD,$H174),"💬 Remind"),"add mobile"),IF($I174&lt;&gt;"",IF(INDEX('Form Calc'!$AG:$AG,$I174)&lt;&gt;"",HYPERLINK(INDEX('Form Calc'!$AG:$AG,$I174),"💬 Remind"),"add mobile"),""))</f>
        <v/>
      </c>
      <c r="D174" s="67">
        <f>IF($H174&lt;&gt;"",INDEX(Guests!$Y:$Y,$H174)&amp;"",IF($I174&lt;&gt;"",INDEX('Form Calc'!$C:$C,$I174)&amp;"",""))</f>
        <v/>
      </c>
      <c r="E174" s="69">
        <f>IF($H174&lt;&gt;"",IF(INDEX(Guests!$N:$N,$H174)="","",INDEX(Guests!$N:$N,$H174)),"")</f>
        <v/>
      </c>
      <c r="F174" s="67">
        <f>IF($H174&lt;&gt;"",INDEX(Guests!$E:$E,$H174)&amp;"","")</f>
        <v/>
      </c>
      <c r="G174" s="67">
        <f>IF($H174&lt;&gt;"","Guest list",IF($I174&lt;&gt;"","RSVP form",""))</f>
        <v/>
      </c>
      <c r="H174" s="32">
        <f>IF(166&lt;=Guests!$AG$505,MATCH(166,Guests!$AH:$AH,0),"")</f>
        <v/>
      </c>
      <c r="I174" s="32">
        <f>IF(AND(166&gt;Guests!$AG$505,166&lt;=Guests!$AG$505+'Form Calc'!$AB$601),MATCH(166-Guests!$AG$505,'Form Calc'!$AC:$AC,0),"")</f>
        <v/>
      </c>
    </row>
    <row r="175">
      <c r="A175" s="66">
        <f>IF($H175&lt;&gt;"",INDEX(Guests!$A:$A,$H175)&amp;"",IF($I175&lt;&gt;"",INDEX('Form Calc'!$B:$B,$I175)&amp;"",""))</f>
        <v/>
      </c>
      <c r="B175" s="67">
        <f>IF($H175&lt;&gt;"",INDEX(Guests!$B:$B,$H175)&amp;"",IF($I175&lt;&gt;"",INDEX('Form Calc'!$G:$G,$I175)&amp;"",""))</f>
        <v/>
      </c>
      <c r="C175" s="68">
        <f>IF($H175&lt;&gt;"",IF(INDEX(Guests!$AD:$AD,$H175)&lt;&gt;"",HYPERLINK(INDEX(Guests!$AD:$AD,$H175),"💬 Remind"),"add mobile"),IF($I175&lt;&gt;"",IF(INDEX('Form Calc'!$AG:$AG,$I175)&lt;&gt;"",HYPERLINK(INDEX('Form Calc'!$AG:$AG,$I175),"💬 Remind"),"add mobile"),""))</f>
        <v/>
      </c>
      <c r="D175" s="67">
        <f>IF($H175&lt;&gt;"",INDEX(Guests!$Y:$Y,$H175)&amp;"",IF($I175&lt;&gt;"",INDEX('Form Calc'!$C:$C,$I175)&amp;"",""))</f>
        <v/>
      </c>
      <c r="E175" s="69">
        <f>IF($H175&lt;&gt;"",IF(INDEX(Guests!$N:$N,$H175)="","",INDEX(Guests!$N:$N,$H175)),"")</f>
        <v/>
      </c>
      <c r="F175" s="67">
        <f>IF($H175&lt;&gt;"",INDEX(Guests!$E:$E,$H175)&amp;"","")</f>
        <v/>
      </c>
      <c r="G175" s="67">
        <f>IF($H175&lt;&gt;"","Guest list",IF($I175&lt;&gt;"","RSVP form",""))</f>
        <v/>
      </c>
      <c r="H175" s="32">
        <f>IF(167&lt;=Guests!$AG$505,MATCH(167,Guests!$AH:$AH,0),"")</f>
        <v/>
      </c>
      <c r="I175" s="32">
        <f>IF(AND(167&gt;Guests!$AG$505,167&lt;=Guests!$AG$505+'Form Calc'!$AB$601),MATCH(167-Guests!$AG$505,'Form Calc'!$AC:$AC,0),"")</f>
        <v/>
      </c>
    </row>
    <row r="176">
      <c r="A176" s="66">
        <f>IF($H176&lt;&gt;"",INDEX(Guests!$A:$A,$H176)&amp;"",IF($I176&lt;&gt;"",INDEX('Form Calc'!$B:$B,$I176)&amp;"",""))</f>
        <v/>
      </c>
      <c r="B176" s="67">
        <f>IF($H176&lt;&gt;"",INDEX(Guests!$B:$B,$H176)&amp;"",IF($I176&lt;&gt;"",INDEX('Form Calc'!$G:$G,$I176)&amp;"",""))</f>
        <v/>
      </c>
      <c r="C176" s="68">
        <f>IF($H176&lt;&gt;"",IF(INDEX(Guests!$AD:$AD,$H176)&lt;&gt;"",HYPERLINK(INDEX(Guests!$AD:$AD,$H176),"💬 Remind"),"add mobile"),IF($I176&lt;&gt;"",IF(INDEX('Form Calc'!$AG:$AG,$I176)&lt;&gt;"",HYPERLINK(INDEX('Form Calc'!$AG:$AG,$I176),"💬 Remind"),"add mobile"),""))</f>
        <v/>
      </c>
      <c r="D176" s="67">
        <f>IF($H176&lt;&gt;"",INDEX(Guests!$Y:$Y,$H176)&amp;"",IF($I176&lt;&gt;"",INDEX('Form Calc'!$C:$C,$I176)&amp;"",""))</f>
        <v/>
      </c>
      <c r="E176" s="69">
        <f>IF($H176&lt;&gt;"",IF(INDEX(Guests!$N:$N,$H176)="","",INDEX(Guests!$N:$N,$H176)),"")</f>
        <v/>
      </c>
      <c r="F176" s="67">
        <f>IF($H176&lt;&gt;"",INDEX(Guests!$E:$E,$H176)&amp;"","")</f>
        <v/>
      </c>
      <c r="G176" s="67">
        <f>IF($H176&lt;&gt;"","Guest list",IF($I176&lt;&gt;"","RSVP form",""))</f>
        <v/>
      </c>
      <c r="H176" s="32">
        <f>IF(168&lt;=Guests!$AG$505,MATCH(168,Guests!$AH:$AH,0),"")</f>
        <v/>
      </c>
      <c r="I176" s="32">
        <f>IF(AND(168&gt;Guests!$AG$505,168&lt;=Guests!$AG$505+'Form Calc'!$AB$601),MATCH(168-Guests!$AG$505,'Form Calc'!$AC:$AC,0),"")</f>
        <v/>
      </c>
    </row>
    <row r="177">
      <c r="A177" s="66">
        <f>IF($H177&lt;&gt;"",INDEX(Guests!$A:$A,$H177)&amp;"",IF($I177&lt;&gt;"",INDEX('Form Calc'!$B:$B,$I177)&amp;"",""))</f>
        <v/>
      </c>
      <c r="B177" s="67">
        <f>IF($H177&lt;&gt;"",INDEX(Guests!$B:$B,$H177)&amp;"",IF($I177&lt;&gt;"",INDEX('Form Calc'!$G:$G,$I177)&amp;"",""))</f>
        <v/>
      </c>
      <c r="C177" s="68">
        <f>IF($H177&lt;&gt;"",IF(INDEX(Guests!$AD:$AD,$H177)&lt;&gt;"",HYPERLINK(INDEX(Guests!$AD:$AD,$H177),"💬 Remind"),"add mobile"),IF($I177&lt;&gt;"",IF(INDEX('Form Calc'!$AG:$AG,$I177)&lt;&gt;"",HYPERLINK(INDEX('Form Calc'!$AG:$AG,$I177),"💬 Remind"),"add mobile"),""))</f>
        <v/>
      </c>
      <c r="D177" s="67">
        <f>IF($H177&lt;&gt;"",INDEX(Guests!$Y:$Y,$H177)&amp;"",IF($I177&lt;&gt;"",INDEX('Form Calc'!$C:$C,$I177)&amp;"",""))</f>
        <v/>
      </c>
      <c r="E177" s="69">
        <f>IF($H177&lt;&gt;"",IF(INDEX(Guests!$N:$N,$H177)="","",INDEX(Guests!$N:$N,$H177)),"")</f>
        <v/>
      </c>
      <c r="F177" s="67">
        <f>IF($H177&lt;&gt;"",INDEX(Guests!$E:$E,$H177)&amp;"","")</f>
        <v/>
      </c>
      <c r="G177" s="67">
        <f>IF($H177&lt;&gt;"","Guest list",IF($I177&lt;&gt;"","RSVP form",""))</f>
        <v/>
      </c>
      <c r="H177" s="32">
        <f>IF(169&lt;=Guests!$AG$505,MATCH(169,Guests!$AH:$AH,0),"")</f>
        <v/>
      </c>
      <c r="I177" s="32">
        <f>IF(AND(169&gt;Guests!$AG$505,169&lt;=Guests!$AG$505+'Form Calc'!$AB$601),MATCH(169-Guests!$AG$505,'Form Calc'!$AC:$AC,0),"")</f>
        <v/>
      </c>
    </row>
    <row r="178">
      <c r="A178" s="66">
        <f>IF($H178&lt;&gt;"",INDEX(Guests!$A:$A,$H178)&amp;"",IF($I178&lt;&gt;"",INDEX('Form Calc'!$B:$B,$I178)&amp;"",""))</f>
        <v/>
      </c>
      <c r="B178" s="67">
        <f>IF($H178&lt;&gt;"",INDEX(Guests!$B:$B,$H178)&amp;"",IF($I178&lt;&gt;"",INDEX('Form Calc'!$G:$G,$I178)&amp;"",""))</f>
        <v/>
      </c>
      <c r="C178" s="68">
        <f>IF($H178&lt;&gt;"",IF(INDEX(Guests!$AD:$AD,$H178)&lt;&gt;"",HYPERLINK(INDEX(Guests!$AD:$AD,$H178),"💬 Remind"),"add mobile"),IF($I178&lt;&gt;"",IF(INDEX('Form Calc'!$AG:$AG,$I178)&lt;&gt;"",HYPERLINK(INDEX('Form Calc'!$AG:$AG,$I178),"💬 Remind"),"add mobile"),""))</f>
        <v/>
      </c>
      <c r="D178" s="67">
        <f>IF($H178&lt;&gt;"",INDEX(Guests!$Y:$Y,$H178)&amp;"",IF($I178&lt;&gt;"",INDEX('Form Calc'!$C:$C,$I178)&amp;"",""))</f>
        <v/>
      </c>
      <c r="E178" s="69">
        <f>IF($H178&lt;&gt;"",IF(INDEX(Guests!$N:$N,$H178)="","",INDEX(Guests!$N:$N,$H178)),"")</f>
        <v/>
      </c>
      <c r="F178" s="67">
        <f>IF($H178&lt;&gt;"",INDEX(Guests!$E:$E,$H178)&amp;"","")</f>
        <v/>
      </c>
      <c r="G178" s="67">
        <f>IF($H178&lt;&gt;"","Guest list",IF($I178&lt;&gt;"","RSVP form",""))</f>
        <v/>
      </c>
      <c r="H178" s="32">
        <f>IF(170&lt;=Guests!$AG$505,MATCH(170,Guests!$AH:$AH,0),"")</f>
        <v/>
      </c>
      <c r="I178" s="32">
        <f>IF(AND(170&gt;Guests!$AG$505,170&lt;=Guests!$AG$505+'Form Calc'!$AB$601),MATCH(170-Guests!$AG$505,'Form Calc'!$AC:$AC,0),"")</f>
        <v/>
      </c>
    </row>
    <row r="179">
      <c r="A179" s="66">
        <f>IF($H179&lt;&gt;"",INDEX(Guests!$A:$A,$H179)&amp;"",IF($I179&lt;&gt;"",INDEX('Form Calc'!$B:$B,$I179)&amp;"",""))</f>
        <v/>
      </c>
      <c r="B179" s="67">
        <f>IF($H179&lt;&gt;"",INDEX(Guests!$B:$B,$H179)&amp;"",IF($I179&lt;&gt;"",INDEX('Form Calc'!$G:$G,$I179)&amp;"",""))</f>
        <v/>
      </c>
      <c r="C179" s="68">
        <f>IF($H179&lt;&gt;"",IF(INDEX(Guests!$AD:$AD,$H179)&lt;&gt;"",HYPERLINK(INDEX(Guests!$AD:$AD,$H179),"💬 Remind"),"add mobile"),IF($I179&lt;&gt;"",IF(INDEX('Form Calc'!$AG:$AG,$I179)&lt;&gt;"",HYPERLINK(INDEX('Form Calc'!$AG:$AG,$I179),"💬 Remind"),"add mobile"),""))</f>
        <v/>
      </c>
      <c r="D179" s="67">
        <f>IF($H179&lt;&gt;"",INDEX(Guests!$Y:$Y,$H179)&amp;"",IF($I179&lt;&gt;"",INDEX('Form Calc'!$C:$C,$I179)&amp;"",""))</f>
        <v/>
      </c>
      <c r="E179" s="69">
        <f>IF($H179&lt;&gt;"",IF(INDEX(Guests!$N:$N,$H179)="","",INDEX(Guests!$N:$N,$H179)),"")</f>
        <v/>
      </c>
      <c r="F179" s="67">
        <f>IF($H179&lt;&gt;"",INDEX(Guests!$E:$E,$H179)&amp;"","")</f>
        <v/>
      </c>
      <c r="G179" s="67">
        <f>IF($H179&lt;&gt;"","Guest list",IF($I179&lt;&gt;"","RSVP form",""))</f>
        <v/>
      </c>
      <c r="H179" s="32">
        <f>IF(171&lt;=Guests!$AG$505,MATCH(171,Guests!$AH:$AH,0),"")</f>
        <v/>
      </c>
      <c r="I179" s="32">
        <f>IF(AND(171&gt;Guests!$AG$505,171&lt;=Guests!$AG$505+'Form Calc'!$AB$601),MATCH(171-Guests!$AG$505,'Form Calc'!$AC:$AC,0),"")</f>
        <v/>
      </c>
    </row>
    <row r="180">
      <c r="A180" s="66">
        <f>IF($H180&lt;&gt;"",INDEX(Guests!$A:$A,$H180)&amp;"",IF($I180&lt;&gt;"",INDEX('Form Calc'!$B:$B,$I180)&amp;"",""))</f>
        <v/>
      </c>
      <c r="B180" s="67">
        <f>IF($H180&lt;&gt;"",INDEX(Guests!$B:$B,$H180)&amp;"",IF($I180&lt;&gt;"",INDEX('Form Calc'!$G:$G,$I180)&amp;"",""))</f>
        <v/>
      </c>
      <c r="C180" s="68">
        <f>IF($H180&lt;&gt;"",IF(INDEX(Guests!$AD:$AD,$H180)&lt;&gt;"",HYPERLINK(INDEX(Guests!$AD:$AD,$H180),"💬 Remind"),"add mobile"),IF($I180&lt;&gt;"",IF(INDEX('Form Calc'!$AG:$AG,$I180)&lt;&gt;"",HYPERLINK(INDEX('Form Calc'!$AG:$AG,$I180),"💬 Remind"),"add mobile"),""))</f>
        <v/>
      </c>
      <c r="D180" s="67">
        <f>IF($H180&lt;&gt;"",INDEX(Guests!$Y:$Y,$H180)&amp;"",IF($I180&lt;&gt;"",INDEX('Form Calc'!$C:$C,$I180)&amp;"",""))</f>
        <v/>
      </c>
      <c r="E180" s="69">
        <f>IF($H180&lt;&gt;"",IF(INDEX(Guests!$N:$N,$H180)="","",INDEX(Guests!$N:$N,$H180)),"")</f>
        <v/>
      </c>
      <c r="F180" s="67">
        <f>IF($H180&lt;&gt;"",INDEX(Guests!$E:$E,$H180)&amp;"","")</f>
        <v/>
      </c>
      <c r="G180" s="67">
        <f>IF($H180&lt;&gt;"","Guest list",IF($I180&lt;&gt;"","RSVP form",""))</f>
        <v/>
      </c>
      <c r="H180" s="32">
        <f>IF(172&lt;=Guests!$AG$505,MATCH(172,Guests!$AH:$AH,0),"")</f>
        <v/>
      </c>
      <c r="I180" s="32">
        <f>IF(AND(172&gt;Guests!$AG$505,172&lt;=Guests!$AG$505+'Form Calc'!$AB$601),MATCH(172-Guests!$AG$505,'Form Calc'!$AC:$AC,0),"")</f>
        <v/>
      </c>
    </row>
    <row r="181">
      <c r="A181" s="66">
        <f>IF($H181&lt;&gt;"",INDEX(Guests!$A:$A,$H181)&amp;"",IF($I181&lt;&gt;"",INDEX('Form Calc'!$B:$B,$I181)&amp;"",""))</f>
        <v/>
      </c>
      <c r="B181" s="67">
        <f>IF($H181&lt;&gt;"",INDEX(Guests!$B:$B,$H181)&amp;"",IF($I181&lt;&gt;"",INDEX('Form Calc'!$G:$G,$I181)&amp;"",""))</f>
        <v/>
      </c>
      <c r="C181" s="68">
        <f>IF($H181&lt;&gt;"",IF(INDEX(Guests!$AD:$AD,$H181)&lt;&gt;"",HYPERLINK(INDEX(Guests!$AD:$AD,$H181),"💬 Remind"),"add mobile"),IF($I181&lt;&gt;"",IF(INDEX('Form Calc'!$AG:$AG,$I181)&lt;&gt;"",HYPERLINK(INDEX('Form Calc'!$AG:$AG,$I181),"💬 Remind"),"add mobile"),""))</f>
        <v/>
      </c>
      <c r="D181" s="67">
        <f>IF($H181&lt;&gt;"",INDEX(Guests!$Y:$Y,$H181)&amp;"",IF($I181&lt;&gt;"",INDEX('Form Calc'!$C:$C,$I181)&amp;"",""))</f>
        <v/>
      </c>
      <c r="E181" s="69">
        <f>IF($H181&lt;&gt;"",IF(INDEX(Guests!$N:$N,$H181)="","",INDEX(Guests!$N:$N,$H181)),"")</f>
        <v/>
      </c>
      <c r="F181" s="67">
        <f>IF($H181&lt;&gt;"",INDEX(Guests!$E:$E,$H181)&amp;"","")</f>
        <v/>
      </c>
      <c r="G181" s="67">
        <f>IF($H181&lt;&gt;"","Guest list",IF($I181&lt;&gt;"","RSVP form",""))</f>
        <v/>
      </c>
      <c r="H181" s="32">
        <f>IF(173&lt;=Guests!$AG$505,MATCH(173,Guests!$AH:$AH,0),"")</f>
        <v/>
      </c>
      <c r="I181" s="32">
        <f>IF(AND(173&gt;Guests!$AG$505,173&lt;=Guests!$AG$505+'Form Calc'!$AB$601),MATCH(173-Guests!$AG$505,'Form Calc'!$AC:$AC,0),"")</f>
        <v/>
      </c>
    </row>
    <row r="182">
      <c r="A182" s="66">
        <f>IF($H182&lt;&gt;"",INDEX(Guests!$A:$A,$H182)&amp;"",IF($I182&lt;&gt;"",INDEX('Form Calc'!$B:$B,$I182)&amp;"",""))</f>
        <v/>
      </c>
      <c r="B182" s="67">
        <f>IF($H182&lt;&gt;"",INDEX(Guests!$B:$B,$H182)&amp;"",IF($I182&lt;&gt;"",INDEX('Form Calc'!$G:$G,$I182)&amp;"",""))</f>
        <v/>
      </c>
      <c r="C182" s="68">
        <f>IF($H182&lt;&gt;"",IF(INDEX(Guests!$AD:$AD,$H182)&lt;&gt;"",HYPERLINK(INDEX(Guests!$AD:$AD,$H182),"💬 Remind"),"add mobile"),IF($I182&lt;&gt;"",IF(INDEX('Form Calc'!$AG:$AG,$I182)&lt;&gt;"",HYPERLINK(INDEX('Form Calc'!$AG:$AG,$I182),"💬 Remind"),"add mobile"),""))</f>
        <v/>
      </c>
      <c r="D182" s="67">
        <f>IF($H182&lt;&gt;"",INDEX(Guests!$Y:$Y,$H182)&amp;"",IF($I182&lt;&gt;"",INDEX('Form Calc'!$C:$C,$I182)&amp;"",""))</f>
        <v/>
      </c>
      <c r="E182" s="69">
        <f>IF($H182&lt;&gt;"",IF(INDEX(Guests!$N:$N,$H182)="","",INDEX(Guests!$N:$N,$H182)),"")</f>
        <v/>
      </c>
      <c r="F182" s="67">
        <f>IF($H182&lt;&gt;"",INDEX(Guests!$E:$E,$H182)&amp;"","")</f>
        <v/>
      </c>
      <c r="G182" s="67">
        <f>IF($H182&lt;&gt;"","Guest list",IF($I182&lt;&gt;"","RSVP form",""))</f>
        <v/>
      </c>
      <c r="H182" s="32">
        <f>IF(174&lt;=Guests!$AG$505,MATCH(174,Guests!$AH:$AH,0),"")</f>
        <v/>
      </c>
      <c r="I182" s="32">
        <f>IF(AND(174&gt;Guests!$AG$505,174&lt;=Guests!$AG$505+'Form Calc'!$AB$601),MATCH(174-Guests!$AG$505,'Form Calc'!$AC:$AC,0),"")</f>
        <v/>
      </c>
    </row>
    <row r="183">
      <c r="A183" s="66">
        <f>IF($H183&lt;&gt;"",INDEX(Guests!$A:$A,$H183)&amp;"",IF($I183&lt;&gt;"",INDEX('Form Calc'!$B:$B,$I183)&amp;"",""))</f>
        <v/>
      </c>
      <c r="B183" s="67">
        <f>IF($H183&lt;&gt;"",INDEX(Guests!$B:$B,$H183)&amp;"",IF($I183&lt;&gt;"",INDEX('Form Calc'!$G:$G,$I183)&amp;"",""))</f>
        <v/>
      </c>
      <c r="C183" s="68">
        <f>IF($H183&lt;&gt;"",IF(INDEX(Guests!$AD:$AD,$H183)&lt;&gt;"",HYPERLINK(INDEX(Guests!$AD:$AD,$H183),"💬 Remind"),"add mobile"),IF($I183&lt;&gt;"",IF(INDEX('Form Calc'!$AG:$AG,$I183)&lt;&gt;"",HYPERLINK(INDEX('Form Calc'!$AG:$AG,$I183),"💬 Remind"),"add mobile"),""))</f>
        <v/>
      </c>
      <c r="D183" s="67">
        <f>IF($H183&lt;&gt;"",INDEX(Guests!$Y:$Y,$H183)&amp;"",IF($I183&lt;&gt;"",INDEX('Form Calc'!$C:$C,$I183)&amp;"",""))</f>
        <v/>
      </c>
      <c r="E183" s="69">
        <f>IF($H183&lt;&gt;"",IF(INDEX(Guests!$N:$N,$H183)="","",INDEX(Guests!$N:$N,$H183)),"")</f>
        <v/>
      </c>
      <c r="F183" s="67">
        <f>IF($H183&lt;&gt;"",INDEX(Guests!$E:$E,$H183)&amp;"","")</f>
        <v/>
      </c>
      <c r="G183" s="67">
        <f>IF($H183&lt;&gt;"","Guest list",IF($I183&lt;&gt;"","RSVP form",""))</f>
        <v/>
      </c>
      <c r="H183" s="32">
        <f>IF(175&lt;=Guests!$AG$505,MATCH(175,Guests!$AH:$AH,0),"")</f>
        <v/>
      </c>
      <c r="I183" s="32">
        <f>IF(AND(175&gt;Guests!$AG$505,175&lt;=Guests!$AG$505+'Form Calc'!$AB$601),MATCH(175-Guests!$AG$505,'Form Calc'!$AC:$AC,0),"")</f>
        <v/>
      </c>
    </row>
    <row r="184">
      <c r="A184" s="66">
        <f>IF($H184&lt;&gt;"",INDEX(Guests!$A:$A,$H184)&amp;"",IF($I184&lt;&gt;"",INDEX('Form Calc'!$B:$B,$I184)&amp;"",""))</f>
        <v/>
      </c>
      <c r="B184" s="67">
        <f>IF($H184&lt;&gt;"",INDEX(Guests!$B:$B,$H184)&amp;"",IF($I184&lt;&gt;"",INDEX('Form Calc'!$G:$G,$I184)&amp;"",""))</f>
        <v/>
      </c>
      <c r="C184" s="68">
        <f>IF($H184&lt;&gt;"",IF(INDEX(Guests!$AD:$AD,$H184)&lt;&gt;"",HYPERLINK(INDEX(Guests!$AD:$AD,$H184),"💬 Remind"),"add mobile"),IF($I184&lt;&gt;"",IF(INDEX('Form Calc'!$AG:$AG,$I184)&lt;&gt;"",HYPERLINK(INDEX('Form Calc'!$AG:$AG,$I184),"💬 Remind"),"add mobile"),""))</f>
        <v/>
      </c>
      <c r="D184" s="67">
        <f>IF($H184&lt;&gt;"",INDEX(Guests!$Y:$Y,$H184)&amp;"",IF($I184&lt;&gt;"",INDEX('Form Calc'!$C:$C,$I184)&amp;"",""))</f>
        <v/>
      </c>
      <c r="E184" s="69">
        <f>IF($H184&lt;&gt;"",IF(INDEX(Guests!$N:$N,$H184)="","",INDEX(Guests!$N:$N,$H184)),"")</f>
        <v/>
      </c>
      <c r="F184" s="67">
        <f>IF($H184&lt;&gt;"",INDEX(Guests!$E:$E,$H184)&amp;"","")</f>
        <v/>
      </c>
      <c r="G184" s="67">
        <f>IF($H184&lt;&gt;"","Guest list",IF($I184&lt;&gt;"","RSVP form",""))</f>
        <v/>
      </c>
      <c r="H184" s="32">
        <f>IF(176&lt;=Guests!$AG$505,MATCH(176,Guests!$AH:$AH,0),"")</f>
        <v/>
      </c>
      <c r="I184" s="32">
        <f>IF(AND(176&gt;Guests!$AG$505,176&lt;=Guests!$AG$505+'Form Calc'!$AB$601),MATCH(176-Guests!$AG$505,'Form Calc'!$AC:$AC,0),"")</f>
        <v/>
      </c>
    </row>
    <row r="185">
      <c r="A185" s="66">
        <f>IF($H185&lt;&gt;"",INDEX(Guests!$A:$A,$H185)&amp;"",IF($I185&lt;&gt;"",INDEX('Form Calc'!$B:$B,$I185)&amp;"",""))</f>
        <v/>
      </c>
      <c r="B185" s="67">
        <f>IF($H185&lt;&gt;"",INDEX(Guests!$B:$B,$H185)&amp;"",IF($I185&lt;&gt;"",INDEX('Form Calc'!$G:$G,$I185)&amp;"",""))</f>
        <v/>
      </c>
      <c r="C185" s="68">
        <f>IF($H185&lt;&gt;"",IF(INDEX(Guests!$AD:$AD,$H185)&lt;&gt;"",HYPERLINK(INDEX(Guests!$AD:$AD,$H185),"💬 Remind"),"add mobile"),IF($I185&lt;&gt;"",IF(INDEX('Form Calc'!$AG:$AG,$I185)&lt;&gt;"",HYPERLINK(INDEX('Form Calc'!$AG:$AG,$I185),"💬 Remind"),"add mobile"),""))</f>
        <v/>
      </c>
      <c r="D185" s="67">
        <f>IF($H185&lt;&gt;"",INDEX(Guests!$Y:$Y,$H185)&amp;"",IF($I185&lt;&gt;"",INDEX('Form Calc'!$C:$C,$I185)&amp;"",""))</f>
        <v/>
      </c>
      <c r="E185" s="69">
        <f>IF($H185&lt;&gt;"",IF(INDEX(Guests!$N:$N,$H185)="","",INDEX(Guests!$N:$N,$H185)),"")</f>
        <v/>
      </c>
      <c r="F185" s="67">
        <f>IF($H185&lt;&gt;"",INDEX(Guests!$E:$E,$H185)&amp;"","")</f>
        <v/>
      </c>
      <c r="G185" s="67">
        <f>IF($H185&lt;&gt;"","Guest list",IF($I185&lt;&gt;"","RSVP form",""))</f>
        <v/>
      </c>
      <c r="H185" s="32">
        <f>IF(177&lt;=Guests!$AG$505,MATCH(177,Guests!$AH:$AH,0),"")</f>
        <v/>
      </c>
      <c r="I185" s="32">
        <f>IF(AND(177&gt;Guests!$AG$505,177&lt;=Guests!$AG$505+'Form Calc'!$AB$601),MATCH(177-Guests!$AG$505,'Form Calc'!$AC:$AC,0),"")</f>
        <v/>
      </c>
    </row>
    <row r="186">
      <c r="A186" s="66">
        <f>IF($H186&lt;&gt;"",INDEX(Guests!$A:$A,$H186)&amp;"",IF($I186&lt;&gt;"",INDEX('Form Calc'!$B:$B,$I186)&amp;"",""))</f>
        <v/>
      </c>
      <c r="B186" s="67">
        <f>IF($H186&lt;&gt;"",INDEX(Guests!$B:$B,$H186)&amp;"",IF($I186&lt;&gt;"",INDEX('Form Calc'!$G:$G,$I186)&amp;"",""))</f>
        <v/>
      </c>
      <c r="C186" s="68">
        <f>IF($H186&lt;&gt;"",IF(INDEX(Guests!$AD:$AD,$H186)&lt;&gt;"",HYPERLINK(INDEX(Guests!$AD:$AD,$H186),"💬 Remind"),"add mobile"),IF($I186&lt;&gt;"",IF(INDEX('Form Calc'!$AG:$AG,$I186)&lt;&gt;"",HYPERLINK(INDEX('Form Calc'!$AG:$AG,$I186),"💬 Remind"),"add mobile"),""))</f>
        <v/>
      </c>
      <c r="D186" s="67">
        <f>IF($H186&lt;&gt;"",INDEX(Guests!$Y:$Y,$H186)&amp;"",IF($I186&lt;&gt;"",INDEX('Form Calc'!$C:$C,$I186)&amp;"",""))</f>
        <v/>
      </c>
      <c r="E186" s="69">
        <f>IF($H186&lt;&gt;"",IF(INDEX(Guests!$N:$N,$H186)="","",INDEX(Guests!$N:$N,$H186)),"")</f>
        <v/>
      </c>
      <c r="F186" s="67">
        <f>IF($H186&lt;&gt;"",INDEX(Guests!$E:$E,$H186)&amp;"","")</f>
        <v/>
      </c>
      <c r="G186" s="67">
        <f>IF($H186&lt;&gt;"","Guest list",IF($I186&lt;&gt;"","RSVP form",""))</f>
        <v/>
      </c>
      <c r="H186" s="32">
        <f>IF(178&lt;=Guests!$AG$505,MATCH(178,Guests!$AH:$AH,0),"")</f>
        <v/>
      </c>
      <c r="I186" s="32">
        <f>IF(AND(178&gt;Guests!$AG$505,178&lt;=Guests!$AG$505+'Form Calc'!$AB$601),MATCH(178-Guests!$AG$505,'Form Calc'!$AC:$AC,0),"")</f>
        <v/>
      </c>
    </row>
    <row r="187">
      <c r="A187" s="66">
        <f>IF($H187&lt;&gt;"",INDEX(Guests!$A:$A,$H187)&amp;"",IF($I187&lt;&gt;"",INDEX('Form Calc'!$B:$B,$I187)&amp;"",""))</f>
        <v/>
      </c>
      <c r="B187" s="67">
        <f>IF($H187&lt;&gt;"",INDEX(Guests!$B:$B,$H187)&amp;"",IF($I187&lt;&gt;"",INDEX('Form Calc'!$G:$G,$I187)&amp;"",""))</f>
        <v/>
      </c>
      <c r="C187" s="68">
        <f>IF($H187&lt;&gt;"",IF(INDEX(Guests!$AD:$AD,$H187)&lt;&gt;"",HYPERLINK(INDEX(Guests!$AD:$AD,$H187),"💬 Remind"),"add mobile"),IF($I187&lt;&gt;"",IF(INDEX('Form Calc'!$AG:$AG,$I187)&lt;&gt;"",HYPERLINK(INDEX('Form Calc'!$AG:$AG,$I187),"💬 Remind"),"add mobile"),""))</f>
        <v/>
      </c>
      <c r="D187" s="67">
        <f>IF($H187&lt;&gt;"",INDEX(Guests!$Y:$Y,$H187)&amp;"",IF($I187&lt;&gt;"",INDEX('Form Calc'!$C:$C,$I187)&amp;"",""))</f>
        <v/>
      </c>
      <c r="E187" s="69">
        <f>IF($H187&lt;&gt;"",IF(INDEX(Guests!$N:$N,$H187)="","",INDEX(Guests!$N:$N,$H187)),"")</f>
        <v/>
      </c>
      <c r="F187" s="67">
        <f>IF($H187&lt;&gt;"",INDEX(Guests!$E:$E,$H187)&amp;"","")</f>
        <v/>
      </c>
      <c r="G187" s="67">
        <f>IF($H187&lt;&gt;"","Guest list",IF($I187&lt;&gt;"","RSVP form",""))</f>
        <v/>
      </c>
      <c r="H187" s="32">
        <f>IF(179&lt;=Guests!$AG$505,MATCH(179,Guests!$AH:$AH,0),"")</f>
        <v/>
      </c>
      <c r="I187" s="32">
        <f>IF(AND(179&gt;Guests!$AG$505,179&lt;=Guests!$AG$505+'Form Calc'!$AB$601),MATCH(179-Guests!$AG$505,'Form Calc'!$AC:$AC,0),"")</f>
        <v/>
      </c>
    </row>
    <row r="188">
      <c r="A188" s="66">
        <f>IF($H188&lt;&gt;"",INDEX(Guests!$A:$A,$H188)&amp;"",IF($I188&lt;&gt;"",INDEX('Form Calc'!$B:$B,$I188)&amp;"",""))</f>
        <v/>
      </c>
      <c r="B188" s="67">
        <f>IF($H188&lt;&gt;"",INDEX(Guests!$B:$B,$H188)&amp;"",IF($I188&lt;&gt;"",INDEX('Form Calc'!$G:$G,$I188)&amp;"",""))</f>
        <v/>
      </c>
      <c r="C188" s="68">
        <f>IF($H188&lt;&gt;"",IF(INDEX(Guests!$AD:$AD,$H188)&lt;&gt;"",HYPERLINK(INDEX(Guests!$AD:$AD,$H188),"💬 Remind"),"add mobile"),IF($I188&lt;&gt;"",IF(INDEX('Form Calc'!$AG:$AG,$I188)&lt;&gt;"",HYPERLINK(INDEX('Form Calc'!$AG:$AG,$I188),"💬 Remind"),"add mobile"),""))</f>
        <v/>
      </c>
      <c r="D188" s="67">
        <f>IF($H188&lt;&gt;"",INDEX(Guests!$Y:$Y,$H188)&amp;"",IF($I188&lt;&gt;"",INDEX('Form Calc'!$C:$C,$I188)&amp;"",""))</f>
        <v/>
      </c>
      <c r="E188" s="69">
        <f>IF($H188&lt;&gt;"",IF(INDEX(Guests!$N:$N,$H188)="","",INDEX(Guests!$N:$N,$H188)),"")</f>
        <v/>
      </c>
      <c r="F188" s="67">
        <f>IF($H188&lt;&gt;"",INDEX(Guests!$E:$E,$H188)&amp;"","")</f>
        <v/>
      </c>
      <c r="G188" s="67">
        <f>IF($H188&lt;&gt;"","Guest list",IF($I188&lt;&gt;"","RSVP form",""))</f>
        <v/>
      </c>
      <c r="H188" s="32">
        <f>IF(180&lt;=Guests!$AG$505,MATCH(180,Guests!$AH:$AH,0),"")</f>
        <v/>
      </c>
      <c r="I188" s="32">
        <f>IF(AND(180&gt;Guests!$AG$505,180&lt;=Guests!$AG$505+'Form Calc'!$AB$601),MATCH(180-Guests!$AG$505,'Form Calc'!$AC:$AC,0),"")</f>
        <v/>
      </c>
    </row>
    <row r="189">
      <c r="A189" s="66">
        <f>IF($H189&lt;&gt;"",INDEX(Guests!$A:$A,$H189)&amp;"",IF($I189&lt;&gt;"",INDEX('Form Calc'!$B:$B,$I189)&amp;"",""))</f>
        <v/>
      </c>
      <c r="B189" s="67">
        <f>IF($H189&lt;&gt;"",INDEX(Guests!$B:$B,$H189)&amp;"",IF($I189&lt;&gt;"",INDEX('Form Calc'!$G:$G,$I189)&amp;"",""))</f>
        <v/>
      </c>
      <c r="C189" s="68">
        <f>IF($H189&lt;&gt;"",IF(INDEX(Guests!$AD:$AD,$H189)&lt;&gt;"",HYPERLINK(INDEX(Guests!$AD:$AD,$H189),"💬 Remind"),"add mobile"),IF($I189&lt;&gt;"",IF(INDEX('Form Calc'!$AG:$AG,$I189)&lt;&gt;"",HYPERLINK(INDEX('Form Calc'!$AG:$AG,$I189),"💬 Remind"),"add mobile"),""))</f>
        <v/>
      </c>
      <c r="D189" s="67">
        <f>IF($H189&lt;&gt;"",INDEX(Guests!$Y:$Y,$H189)&amp;"",IF($I189&lt;&gt;"",INDEX('Form Calc'!$C:$C,$I189)&amp;"",""))</f>
        <v/>
      </c>
      <c r="E189" s="69">
        <f>IF($H189&lt;&gt;"",IF(INDEX(Guests!$N:$N,$H189)="","",INDEX(Guests!$N:$N,$H189)),"")</f>
        <v/>
      </c>
      <c r="F189" s="67">
        <f>IF($H189&lt;&gt;"",INDEX(Guests!$E:$E,$H189)&amp;"","")</f>
        <v/>
      </c>
      <c r="G189" s="67">
        <f>IF($H189&lt;&gt;"","Guest list",IF($I189&lt;&gt;"","RSVP form",""))</f>
        <v/>
      </c>
      <c r="H189" s="32">
        <f>IF(181&lt;=Guests!$AG$505,MATCH(181,Guests!$AH:$AH,0),"")</f>
        <v/>
      </c>
      <c r="I189" s="32">
        <f>IF(AND(181&gt;Guests!$AG$505,181&lt;=Guests!$AG$505+'Form Calc'!$AB$601),MATCH(181-Guests!$AG$505,'Form Calc'!$AC:$AC,0),"")</f>
        <v/>
      </c>
    </row>
    <row r="190">
      <c r="A190" s="66">
        <f>IF($H190&lt;&gt;"",INDEX(Guests!$A:$A,$H190)&amp;"",IF($I190&lt;&gt;"",INDEX('Form Calc'!$B:$B,$I190)&amp;"",""))</f>
        <v/>
      </c>
      <c r="B190" s="67">
        <f>IF($H190&lt;&gt;"",INDEX(Guests!$B:$B,$H190)&amp;"",IF($I190&lt;&gt;"",INDEX('Form Calc'!$G:$G,$I190)&amp;"",""))</f>
        <v/>
      </c>
      <c r="C190" s="68">
        <f>IF($H190&lt;&gt;"",IF(INDEX(Guests!$AD:$AD,$H190)&lt;&gt;"",HYPERLINK(INDEX(Guests!$AD:$AD,$H190),"💬 Remind"),"add mobile"),IF($I190&lt;&gt;"",IF(INDEX('Form Calc'!$AG:$AG,$I190)&lt;&gt;"",HYPERLINK(INDEX('Form Calc'!$AG:$AG,$I190),"💬 Remind"),"add mobile"),""))</f>
        <v/>
      </c>
      <c r="D190" s="67">
        <f>IF($H190&lt;&gt;"",INDEX(Guests!$Y:$Y,$H190)&amp;"",IF($I190&lt;&gt;"",INDEX('Form Calc'!$C:$C,$I190)&amp;"",""))</f>
        <v/>
      </c>
      <c r="E190" s="69">
        <f>IF($H190&lt;&gt;"",IF(INDEX(Guests!$N:$N,$H190)="","",INDEX(Guests!$N:$N,$H190)),"")</f>
        <v/>
      </c>
      <c r="F190" s="67">
        <f>IF($H190&lt;&gt;"",INDEX(Guests!$E:$E,$H190)&amp;"","")</f>
        <v/>
      </c>
      <c r="G190" s="67">
        <f>IF($H190&lt;&gt;"","Guest list",IF($I190&lt;&gt;"","RSVP form",""))</f>
        <v/>
      </c>
      <c r="H190" s="32">
        <f>IF(182&lt;=Guests!$AG$505,MATCH(182,Guests!$AH:$AH,0),"")</f>
        <v/>
      </c>
      <c r="I190" s="32">
        <f>IF(AND(182&gt;Guests!$AG$505,182&lt;=Guests!$AG$505+'Form Calc'!$AB$601),MATCH(182-Guests!$AG$505,'Form Calc'!$AC:$AC,0),"")</f>
        <v/>
      </c>
    </row>
    <row r="191">
      <c r="A191" s="66">
        <f>IF($H191&lt;&gt;"",INDEX(Guests!$A:$A,$H191)&amp;"",IF($I191&lt;&gt;"",INDEX('Form Calc'!$B:$B,$I191)&amp;"",""))</f>
        <v/>
      </c>
      <c r="B191" s="67">
        <f>IF($H191&lt;&gt;"",INDEX(Guests!$B:$B,$H191)&amp;"",IF($I191&lt;&gt;"",INDEX('Form Calc'!$G:$G,$I191)&amp;"",""))</f>
        <v/>
      </c>
      <c r="C191" s="68">
        <f>IF($H191&lt;&gt;"",IF(INDEX(Guests!$AD:$AD,$H191)&lt;&gt;"",HYPERLINK(INDEX(Guests!$AD:$AD,$H191),"💬 Remind"),"add mobile"),IF($I191&lt;&gt;"",IF(INDEX('Form Calc'!$AG:$AG,$I191)&lt;&gt;"",HYPERLINK(INDEX('Form Calc'!$AG:$AG,$I191),"💬 Remind"),"add mobile"),""))</f>
        <v/>
      </c>
      <c r="D191" s="67">
        <f>IF($H191&lt;&gt;"",INDEX(Guests!$Y:$Y,$H191)&amp;"",IF($I191&lt;&gt;"",INDEX('Form Calc'!$C:$C,$I191)&amp;"",""))</f>
        <v/>
      </c>
      <c r="E191" s="69">
        <f>IF($H191&lt;&gt;"",IF(INDEX(Guests!$N:$N,$H191)="","",INDEX(Guests!$N:$N,$H191)),"")</f>
        <v/>
      </c>
      <c r="F191" s="67">
        <f>IF($H191&lt;&gt;"",INDEX(Guests!$E:$E,$H191)&amp;"","")</f>
        <v/>
      </c>
      <c r="G191" s="67">
        <f>IF($H191&lt;&gt;"","Guest list",IF($I191&lt;&gt;"","RSVP form",""))</f>
        <v/>
      </c>
      <c r="H191" s="32">
        <f>IF(183&lt;=Guests!$AG$505,MATCH(183,Guests!$AH:$AH,0),"")</f>
        <v/>
      </c>
      <c r="I191" s="32">
        <f>IF(AND(183&gt;Guests!$AG$505,183&lt;=Guests!$AG$505+'Form Calc'!$AB$601),MATCH(183-Guests!$AG$505,'Form Calc'!$AC:$AC,0),"")</f>
        <v/>
      </c>
    </row>
    <row r="192">
      <c r="A192" s="66">
        <f>IF($H192&lt;&gt;"",INDEX(Guests!$A:$A,$H192)&amp;"",IF($I192&lt;&gt;"",INDEX('Form Calc'!$B:$B,$I192)&amp;"",""))</f>
        <v/>
      </c>
      <c r="B192" s="67">
        <f>IF($H192&lt;&gt;"",INDEX(Guests!$B:$B,$H192)&amp;"",IF($I192&lt;&gt;"",INDEX('Form Calc'!$G:$G,$I192)&amp;"",""))</f>
        <v/>
      </c>
      <c r="C192" s="68">
        <f>IF($H192&lt;&gt;"",IF(INDEX(Guests!$AD:$AD,$H192)&lt;&gt;"",HYPERLINK(INDEX(Guests!$AD:$AD,$H192),"💬 Remind"),"add mobile"),IF($I192&lt;&gt;"",IF(INDEX('Form Calc'!$AG:$AG,$I192)&lt;&gt;"",HYPERLINK(INDEX('Form Calc'!$AG:$AG,$I192),"💬 Remind"),"add mobile"),""))</f>
        <v/>
      </c>
      <c r="D192" s="67">
        <f>IF($H192&lt;&gt;"",INDEX(Guests!$Y:$Y,$H192)&amp;"",IF($I192&lt;&gt;"",INDEX('Form Calc'!$C:$C,$I192)&amp;"",""))</f>
        <v/>
      </c>
      <c r="E192" s="69">
        <f>IF($H192&lt;&gt;"",IF(INDEX(Guests!$N:$N,$H192)="","",INDEX(Guests!$N:$N,$H192)),"")</f>
        <v/>
      </c>
      <c r="F192" s="67">
        <f>IF($H192&lt;&gt;"",INDEX(Guests!$E:$E,$H192)&amp;"","")</f>
        <v/>
      </c>
      <c r="G192" s="67">
        <f>IF($H192&lt;&gt;"","Guest list",IF($I192&lt;&gt;"","RSVP form",""))</f>
        <v/>
      </c>
      <c r="H192" s="32">
        <f>IF(184&lt;=Guests!$AG$505,MATCH(184,Guests!$AH:$AH,0),"")</f>
        <v/>
      </c>
      <c r="I192" s="32">
        <f>IF(AND(184&gt;Guests!$AG$505,184&lt;=Guests!$AG$505+'Form Calc'!$AB$601),MATCH(184-Guests!$AG$505,'Form Calc'!$AC:$AC,0),"")</f>
        <v/>
      </c>
    </row>
    <row r="193">
      <c r="A193" s="66">
        <f>IF($H193&lt;&gt;"",INDEX(Guests!$A:$A,$H193)&amp;"",IF($I193&lt;&gt;"",INDEX('Form Calc'!$B:$B,$I193)&amp;"",""))</f>
        <v/>
      </c>
      <c r="B193" s="67">
        <f>IF($H193&lt;&gt;"",INDEX(Guests!$B:$B,$H193)&amp;"",IF($I193&lt;&gt;"",INDEX('Form Calc'!$G:$G,$I193)&amp;"",""))</f>
        <v/>
      </c>
      <c r="C193" s="68">
        <f>IF($H193&lt;&gt;"",IF(INDEX(Guests!$AD:$AD,$H193)&lt;&gt;"",HYPERLINK(INDEX(Guests!$AD:$AD,$H193),"💬 Remind"),"add mobile"),IF($I193&lt;&gt;"",IF(INDEX('Form Calc'!$AG:$AG,$I193)&lt;&gt;"",HYPERLINK(INDEX('Form Calc'!$AG:$AG,$I193),"💬 Remind"),"add mobile"),""))</f>
        <v/>
      </c>
      <c r="D193" s="67">
        <f>IF($H193&lt;&gt;"",INDEX(Guests!$Y:$Y,$H193)&amp;"",IF($I193&lt;&gt;"",INDEX('Form Calc'!$C:$C,$I193)&amp;"",""))</f>
        <v/>
      </c>
      <c r="E193" s="69">
        <f>IF($H193&lt;&gt;"",IF(INDEX(Guests!$N:$N,$H193)="","",INDEX(Guests!$N:$N,$H193)),"")</f>
        <v/>
      </c>
      <c r="F193" s="67">
        <f>IF($H193&lt;&gt;"",INDEX(Guests!$E:$E,$H193)&amp;"","")</f>
        <v/>
      </c>
      <c r="G193" s="67">
        <f>IF($H193&lt;&gt;"","Guest list",IF($I193&lt;&gt;"","RSVP form",""))</f>
        <v/>
      </c>
      <c r="H193" s="32">
        <f>IF(185&lt;=Guests!$AG$505,MATCH(185,Guests!$AH:$AH,0),"")</f>
        <v/>
      </c>
      <c r="I193" s="32">
        <f>IF(AND(185&gt;Guests!$AG$505,185&lt;=Guests!$AG$505+'Form Calc'!$AB$601),MATCH(185-Guests!$AG$505,'Form Calc'!$AC:$AC,0),"")</f>
        <v/>
      </c>
    </row>
    <row r="194">
      <c r="A194" s="66">
        <f>IF($H194&lt;&gt;"",INDEX(Guests!$A:$A,$H194)&amp;"",IF($I194&lt;&gt;"",INDEX('Form Calc'!$B:$B,$I194)&amp;"",""))</f>
        <v/>
      </c>
      <c r="B194" s="67">
        <f>IF($H194&lt;&gt;"",INDEX(Guests!$B:$B,$H194)&amp;"",IF($I194&lt;&gt;"",INDEX('Form Calc'!$G:$G,$I194)&amp;"",""))</f>
        <v/>
      </c>
      <c r="C194" s="68">
        <f>IF($H194&lt;&gt;"",IF(INDEX(Guests!$AD:$AD,$H194)&lt;&gt;"",HYPERLINK(INDEX(Guests!$AD:$AD,$H194),"💬 Remind"),"add mobile"),IF($I194&lt;&gt;"",IF(INDEX('Form Calc'!$AG:$AG,$I194)&lt;&gt;"",HYPERLINK(INDEX('Form Calc'!$AG:$AG,$I194),"💬 Remind"),"add mobile"),""))</f>
        <v/>
      </c>
      <c r="D194" s="67">
        <f>IF($H194&lt;&gt;"",INDEX(Guests!$Y:$Y,$H194)&amp;"",IF($I194&lt;&gt;"",INDEX('Form Calc'!$C:$C,$I194)&amp;"",""))</f>
        <v/>
      </c>
      <c r="E194" s="69">
        <f>IF($H194&lt;&gt;"",IF(INDEX(Guests!$N:$N,$H194)="","",INDEX(Guests!$N:$N,$H194)),"")</f>
        <v/>
      </c>
      <c r="F194" s="67">
        <f>IF($H194&lt;&gt;"",INDEX(Guests!$E:$E,$H194)&amp;"","")</f>
        <v/>
      </c>
      <c r="G194" s="67">
        <f>IF($H194&lt;&gt;"","Guest list",IF($I194&lt;&gt;"","RSVP form",""))</f>
        <v/>
      </c>
      <c r="H194" s="32">
        <f>IF(186&lt;=Guests!$AG$505,MATCH(186,Guests!$AH:$AH,0),"")</f>
        <v/>
      </c>
      <c r="I194" s="32">
        <f>IF(AND(186&gt;Guests!$AG$505,186&lt;=Guests!$AG$505+'Form Calc'!$AB$601),MATCH(186-Guests!$AG$505,'Form Calc'!$AC:$AC,0),"")</f>
        <v/>
      </c>
    </row>
    <row r="195">
      <c r="A195" s="66">
        <f>IF($H195&lt;&gt;"",INDEX(Guests!$A:$A,$H195)&amp;"",IF($I195&lt;&gt;"",INDEX('Form Calc'!$B:$B,$I195)&amp;"",""))</f>
        <v/>
      </c>
      <c r="B195" s="67">
        <f>IF($H195&lt;&gt;"",INDEX(Guests!$B:$B,$H195)&amp;"",IF($I195&lt;&gt;"",INDEX('Form Calc'!$G:$G,$I195)&amp;"",""))</f>
        <v/>
      </c>
      <c r="C195" s="68">
        <f>IF($H195&lt;&gt;"",IF(INDEX(Guests!$AD:$AD,$H195)&lt;&gt;"",HYPERLINK(INDEX(Guests!$AD:$AD,$H195),"💬 Remind"),"add mobile"),IF($I195&lt;&gt;"",IF(INDEX('Form Calc'!$AG:$AG,$I195)&lt;&gt;"",HYPERLINK(INDEX('Form Calc'!$AG:$AG,$I195),"💬 Remind"),"add mobile"),""))</f>
        <v/>
      </c>
      <c r="D195" s="67">
        <f>IF($H195&lt;&gt;"",INDEX(Guests!$Y:$Y,$H195)&amp;"",IF($I195&lt;&gt;"",INDEX('Form Calc'!$C:$C,$I195)&amp;"",""))</f>
        <v/>
      </c>
      <c r="E195" s="69">
        <f>IF($H195&lt;&gt;"",IF(INDEX(Guests!$N:$N,$H195)="","",INDEX(Guests!$N:$N,$H195)),"")</f>
        <v/>
      </c>
      <c r="F195" s="67">
        <f>IF($H195&lt;&gt;"",INDEX(Guests!$E:$E,$H195)&amp;"","")</f>
        <v/>
      </c>
      <c r="G195" s="67">
        <f>IF($H195&lt;&gt;"","Guest list",IF($I195&lt;&gt;"","RSVP form",""))</f>
        <v/>
      </c>
      <c r="H195" s="32">
        <f>IF(187&lt;=Guests!$AG$505,MATCH(187,Guests!$AH:$AH,0),"")</f>
        <v/>
      </c>
      <c r="I195" s="32">
        <f>IF(AND(187&gt;Guests!$AG$505,187&lt;=Guests!$AG$505+'Form Calc'!$AB$601),MATCH(187-Guests!$AG$505,'Form Calc'!$AC:$AC,0),"")</f>
        <v/>
      </c>
    </row>
    <row r="196">
      <c r="A196" s="66">
        <f>IF($H196&lt;&gt;"",INDEX(Guests!$A:$A,$H196)&amp;"",IF($I196&lt;&gt;"",INDEX('Form Calc'!$B:$B,$I196)&amp;"",""))</f>
        <v/>
      </c>
      <c r="B196" s="67">
        <f>IF($H196&lt;&gt;"",INDEX(Guests!$B:$B,$H196)&amp;"",IF($I196&lt;&gt;"",INDEX('Form Calc'!$G:$G,$I196)&amp;"",""))</f>
        <v/>
      </c>
      <c r="C196" s="68">
        <f>IF($H196&lt;&gt;"",IF(INDEX(Guests!$AD:$AD,$H196)&lt;&gt;"",HYPERLINK(INDEX(Guests!$AD:$AD,$H196),"💬 Remind"),"add mobile"),IF($I196&lt;&gt;"",IF(INDEX('Form Calc'!$AG:$AG,$I196)&lt;&gt;"",HYPERLINK(INDEX('Form Calc'!$AG:$AG,$I196),"💬 Remind"),"add mobile"),""))</f>
        <v/>
      </c>
      <c r="D196" s="67">
        <f>IF($H196&lt;&gt;"",INDEX(Guests!$Y:$Y,$H196)&amp;"",IF($I196&lt;&gt;"",INDEX('Form Calc'!$C:$C,$I196)&amp;"",""))</f>
        <v/>
      </c>
      <c r="E196" s="69">
        <f>IF($H196&lt;&gt;"",IF(INDEX(Guests!$N:$N,$H196)="","",INDEX(Guests!$N:$N,$H196)),"")</f>
        <v/>
      </c>
      <c r="F196" s="67">
        <f>IF($H196&lt;&gt;"",INDEX(Guests!$E:$E,$H196)&amp;"","")</f>
        <v/>
      </c>
      <c r="G196" s="67">
        <f>IF($H196&lt;&gt;"","Guest list",IF($I196&lt;&gt;"","RSVP form",""))</f>
        <v/>
      </c>
      <c r="H196" s="32">
        <f>IF(188&lt;=Guests!$AG$505,MATCH(188,Guests!$AH:$AH,0),"")</f>
        <v/>
      </c>
      <c r="I196" s="32">
        <f>IF(AND(188&gt;Guests!$AG$505,188&lt;=Guests!$AG$505+'Form Calc'!$AB$601),MATCH(188-Guests!$AG$505,'Form Calc'!$AC:$AC,0),"")</f>
        <v/>
      </c>
    </row>
    <row r="197">
      <c r="A197" s="66">
        <f>IF($H197&lt;&gt;"",INDEX(Guests!$A:$A,$H197)&amp;"",IF($I197&lt;&gt;"",INDEX('Form Calc'!$B:$B,$I197)&amp;"",""))</f>
        <v/>
      </c>
      <c r="B197" s="67">
        <f>IF($H197&lt;&gt;"",INDEX(Guests!$B:$B,$H197)&amp;"",IF($I197&lt;&gt;"",INDEX('Form Calc'!$G:$G,$I197)&amp;"",""))</f>
        <v/>
      </c>
      <c r="C197" s="68">
        <f>IF($H197&lt;&gt;"",IF(INDEX(Guests!$AD:$AD,$H197)&lt;&gt;"",HYPERLINK(INDEX(Guests!$AD:$AD,$H197),"💬 Remind"),"add mobile"),IF($I197&lt;&gt;"",IF(INDEX('Form Calc'!$AG:$AG,$I197)&lt;&gt;"",HYPERLINK(INDEX('Form Calc'!$AG:$AG,$I197),"💬 Remind"),"add mobile"),""))</f>
        <v/>
      </c>
      <c r="D197" s="67">
        <f>IF($H197&lt;&gt;"",INDEX(Guests!$Y:$Y,$H197)&amp;"",IF($I197&lt;&gt;"",INDEX('Form Calc'!$C:$C,$I197)&amp;"",""))</f>
        <v/>
      </c>
      <c r="E197" s="69">
        <f>IF($H197&lt;&gt;"",IF(INDEX(Guests!$N:$N,$H197)="","",INDEX(Guests!$N:$N,$H197)),"")</f>
        <v/>
      </c>
      <c r="F197" s="67">
        <f>IF($H197&lt;&gt;"",INDEX(Guests!$E:$E,$H197)&amp;"","")</f>
        <v/>
      </c>
      <c r="G197" s="67">
        <f>IF($H197&lt;&gt;"","Guest list",IF($I197&lt;&gt;"","RSVP form",""))</f>
        <v/>
      </c>
      <c r="H197" s="32">
        <f>IF(189&lt;=Guests!$AG$505,MATCH(189,Guests!$AH:$AH,0),"")</f>
        <v/>
      </c>
      <c r="I197" s="32">
        <f>IF(AND(189&gt;Guests!$AG$505,189&lt;=Guests!$AG$505+'Form Calc'!$AB$601),MATCH(189-Guests!$AG$505,'Form Calc'!$AC:$AC,0),"")</f>
        <v/>
      </c>
    </row>
    <row r="198">
      <c r="A198" s="66">
        <f>IF($H198&lt;&gt;"",INDEX(Guests!$A:$A,$H198)&amp;"",IF($I198&lt;&gt;"",INDEX('Form Calc'!$B:$B,$I198)&amp;"",""))</f>
        <v/>
      </c>
      <c r="B198" s="67">
        <f>IF($H198&lt;&gt;"",INDEX(Guests!$B:$B,$H198)&amp;"",IF($I198&lt;&gt;"",INDEX('Form Calc'!$G:$G,$I198)&amp;"",""))</f>
        <v/>
      </c>
      <c r="C198" s="68">
        <f>IF($H198&lt;&gt;"",IF(INDEX(Guests!$AD:$AD,$H198)&lt;&gt;"",HYPERLINK(INDEX(Guests!$AD:$AD,$H198),"💬 Remind"),"add mobile"),IF($I198&lt;&gt;"",IF(INDEX('Form Calc'!$AG:$AG,$I198)&lt;&gt;"",HYPERLINK(INDEX('Form Calc'!$AG:$AG,$I198),"💬 Remind"),"add mobile"),""))</f>
        <v/>
      </c>
      <c r="D198" s="67">
        <f>IF($H198&lt;&gt;"",INDEX(Guests!$Y:$Y,$H198)&amp;"",IF($I198&lt;&gt;"",INDEX('Form Calc'!$C:$C,$I198)&amp;"",""))</f>
        <v/>
      </c>
      <c r="E198" s="69">
        <f>IF($H198&lt;&gt;"",IF(INDEX(Guests!$N:$N,$H198)="","",INDEX(Guests!$N:$N,$H198)),"")</f>
        <v/>
      </c>
      <c r="F198" s="67">
        <f>IF($H198&lt;&gt;"",INDEX(Guests!$E:$E,$H198)&amp;"","")</f>
        <v/>
      </c>
      <c r="G198" s="67">
        <f>IF($H198&lt;&gt;"","Guest list",IF($I198&lt;&gt;"","RSVP form",""))</f>
        <v/>
      </c>
      <c r="H198" s="32">
        <f>IF(190&lt;=Guests!$AG$505,MATCH(190,Guests!$AH:$AH,0),"")</f>
        <v/>
      </c>
      <c r="I198" s="32">
        <f>IF(AND(190&gt;Guests!$AG$505,190&lt;=Guests!$AG$505+'Form Calc'!$AB$601),MATCH(190-Guests!$AG$505,'Form Calc'!$AC:$AC,0),"")</f>
        <v/>
      </c>
    </row>
    <row r="199">
      <c r="A199" s="66">
        <f>IF($H199&lt;&gt;"",INDEX(Guests!$A:$A,$H199)&amp;"",IF($I199&lt;&gt;"",INDEX('Form Calc'!$B:$B,$I199)&amp;"",""))</f>
        <v/>
      </c>
      <c r="B199" s="67">
        <f>IF($H199&lt;&gt;"",INDEX(Guests!$B:$B,$H199)&amp;"",IF($I199&lt;&gt;"",INDEX('Form Calc'!$G:$G,$I199)&amp;"",""))</f>
        <v/>
      </c>
      <c r="C199" s="68">
        <f>IF($H199&lt;&gt;"",IF(INDEX(Guests!$AD:$AD,$H199)&lt;&gt;"",HYPERLINK(INDEX(Guests!$AD:$AD,$H199),"💬 Remind"),"add mobile"),IF($I199&lt;&gt;"",IF(INDEX('Form Calc'!$AG:$AG,$I199)&lt;&gt;"",HYPERLINK(INDEX('Form Calc'!$AG:$AG,$I199),"💬 Remind"),"add mobile"),""))</f>
        <v/>
      </c>
      <c r="D199" s="67">
        <f>IF($H199&lt;&gt;"",INDEX(Guests!$Y:$Y,$H199)&amp;"",IF($I199&lt;&gt;"",INDEX('Form Calc'!$C:$C,$I199)&amp;"",""))</f>
        <v/>
      </c>
      <c r="E199" s="69">
        <f>IF($H199&lt;&gt;"",IF(INDEX(Guests!$N:$N,$H199)="","",INDEX(Guests!$N:$N,$H199)),"")</f>
        <v/>
      </c>
      <c r="F199" s="67">
        <f>IF($H199&lt;&gt;"",INDEX(Guests!$E:$E,$H199)&amp;"","")</f>
        <v/>
      </c>
      <c r="G199" s="67">
        <f>IF($H199&lt;&gt;"","Guest list",IF($I199&lt;&gt;"","RSVP form",""))</f>
        <v/>
      </c>
      <c r="H199" s="32">
        <f>IF(191&lt;=Guests!$AG$505,MATCH(191,Guests!$AH:$AH,0),"")</f>
        <v/>
      </c>
      <c r="I199" s="32">
        <f>IF(AND(191&gt;Guests!$AG$505,191&lt;=Guests!$AG$505+'Form Calc'!$AB$601),MATCH(191-Guests!$AG$505,'Form Calc'!$AC:$AC,0),"")</f>
        <v/>
      </c>
    </row>
    <row r="200">
      <c r="A200" s="66">
        <f>IF($H200&lt;&gt;"",INDEX(Guests!$A:$A,$H200)&amp;"",IF($I200&lt;&gt;"",INDEX('Form Calc'!$B:$B,$I200)&amp;"",""))</f>
        <v/>
      </c>
      <c r="B200" s="67">
        <f>IF($H200&lt;&gt;"",INDEX(Guests!$B:$B,$H200)&amp;"",IF($I200&lt;&gt;"",INDEX('Form Calc'!$G:$G,$I200)&amp;"",""))</f>
        <v/>
      </c>
      <c r="C200" s="68">
        <f>IF($H200&lt;&gt;"",IF(INDEX(Guests!$AD:$AD,$H200)&lt;&gt;"",HYPERLINK(INDEX(Guests!$AD:$AD,$H200),"💬 Remind"),"add mobile"),IF($I200&lt;&gt;"",IF(INDEX('Form Calc'!$AG:$AG,$I200)&lt;&gt;"",HYPERLINK(INDEX('Form Calc'!$AG:$AG,$I200),"💬 Remind"),"add mobile"),""))</f>
        <v/>
      </c>
      <c r="D200" s="67">
        <f>IF($H200&lt;&gt;"",INDEX(Guests!$Y:$Y,$H200)&amp;"",IF($I200&lt;&gt;"",INDEX('Form Calc'!$C:$C,$I200)&amp;"",""))</f>
        <v/>
      </c>
      <c r="E200" s="69">
        <f>IF($H200&lt;&gt;"",IF(INDEX(Guests!$N:$N,$H200)="","",INDEX(Guests!$N:$N,$H200)),"")</f>
        <v/>
      </c>
      <c r="F200" s="67">
        <f>IF($H200&lt;&gt;"",INDEX(Guests!$E:$E,$H200)&amp;"","")</f>
        <v/>
      </c>
      <c r="G200" s="67">
        <f>IF($H200&lt;&gt;"","Guest list",IF($I200&lt;&gt;"","RSVP form",""))</f>
        <v/>
      </c>
      <c r="H200" s="32">
        <f>IF(192&lt;=Guests!$AG$505,MATCH(192,Guests!$AH:$AH,0),"")</f>
        <v/>
      </c>
      <c r="I200" s="32">
        <f>IF(AND(192&gt;Guests!$AG$505,192&lt;=Guests!$AG$505+'Form Calc'!$AB$601),MATCH(192-Guests!$AG$505,'Form Calc'!$AC:$AC,0),"")</f>
        <v/>
      </c>
    </row>
    <row r="201">
      <c r="A201" s="66">
        <f>IF($H201&lt;&gt;"",INDEX(Guests!$A:$A,$H201)&amp;"",IF($I201&lt;&gt;"",INDEX('Form Calc'!$B:$B,$I201)&amp;"",""))</f>
        <v/>
      </c>
      <c r="B201" s="67">
        <f>IF($H201&lt;&gt;"",INDEX(Guests!$B:$B,$H201)&amp;"",IF($I201&lt;&gt;"",INDEX('Form Calc'!$G:$G,$I201)&amp;"",""))</f>
        <v/>
      </c>
      <c r="C201" s="68">
        <f>IF($H201&lt;&gt;"",IF(INDEX(Guests!$AD:$AD,$H201)&lt;&gt;"",HYPERLINK(INDEX(Guests!$AD:$AD,$H201),"💬 Remind"),"add mobile"),IF($I201&lt;&gt;"",IF(INDEX('Form Calc'!$AG:$AG,$I201)&lt;&gt;"",HYPERLINK(INDEX('Form Calc'!$AG:$AG,$I201),"💬 Remind"),"add mobile"),""))</f>
        <v/>
      </c>
      <c r="D201" s="67">
        <f>IF($H201&lt;&gt;"",INDEX(Guests!$Y:$Y,$H201)&amp;"",IF($I201&lt;&gt;"",INDEX('Form Calc'!$C:$C,$I201)&amp;"",""))</f>
        <v/>
      </c>
      <c r="E201" s="69">
        <f>IF($H201&lt;&gt;"",IF(INDEX(Guests!$N:$N,$H201)="","",INDEX(Guests!$N:$N,$H201)),"")</f>
        <v/>
      </c>
      <c r="F201" s="67">
        <f>IF($H201&lt;&gt;"",INDEX(Guests!$E:$E,$H201)&amp;"","")</f>
        <v/>
      </c>
      <c r="G201" s="67">
        <f>IF($H201&lt;&gt;"","Guest list",IF($I201&lt;&gt;"","RSVP form",""))</f>
        <v/>
      </c>
      <c r="H201" s="32">
        <f>IF(193&lt;=Guests!$AG$505,MATCH(193,Guests!$AH:$AH,0),"")</f>
        <v/>
      </c>
      <c r="I201" s="32">
        <f>IF(AND(193&gt;Guests!$AG$505,193&lt;=Guests!$AG$505+'Form Calc'!$AB$601),MATCH(193-Guests!$AG$505,'Form Calc'!$AC:$AC,0),"")</f>
        <v/>
      </c>
    </row>
    <row r="202">
      <c r="A202" s="66">
        <f>IF($H202&lt;&gt;"",INDEX(Guests!$A:$A,$H202)&amp;"",IF($I202&lt;&gt;"",INDEX('Form Calc'!$B:$B,$I202)&amp;"",""))</f>
        <v/>
      </c>
      <c r="B202" s="67">
        <f>IF($H202&lt;&gt;"",INDEX(Guests!$B:$B,$H202)&amp;"",IF($I202&lt;&gt;"",INDEX('Form Calc'!$G:$G,$I202)&amp;"",""))</f>
        <v/>
      </c>
      <c r="C202" s="68">
        <f>IF($H202&lt;&gt;"",IF(INDEX(Guests!$AD:$AD,$H202)&lt;&gt;"",HYPERLINK(INDEX(Guests!$AD:$AD,$H202),"💬 Remind"),"add mobile"),IF($I202&lt;&gt;"",IF(INDEX('Form Calc'!$AG:$AG,$I202)&lt;&gt;"",HYPERLINK(INDEX('Form Calc'!$AG:$AG,$I202),"💬 Remind"),"add mobile"),""))</f>
        <v/>
      </c>
      <c r="D202" s="67">
        <f>IF($H202&lt;&gt;"",INDEX(Guests!$Y:$Y,$H202)&amp;"",IF($I202&lt;&gt;"",INDEX('Form Calc'!$C:$C,$I202)&amp;"",""))</f>
        <v/>
      </c>
      <c r="E202" s="69">
        <f>IF($H202&lt;&gt;"",IF(INDEX(Guests!$N:$N,$H202)="","",INDEX(Guests!$N:$N,$H202)),"")</f>
        <v/>
      </c>
      <c r="F202" s="67">
        <f>IF($H202&lt;&gt;"",INDEX(Guests!$E:$E,$H202)&amp;"","")</f>
        <v/>
      </c>
      <c r="G202" s="67">
        <f>IF($H202&lt;&gt;"","Guest list",IF($I202&lt;&gt;"","RSVP form",""))</f>
        <v/>
      </c>
      <c r="H202" s="32">
        <f>IF(194&lt;=Guests!$AG$505,MATCH(194,Guests!$AH:$AH,0),"")</f>
        <v/>
      </c>
      <c r="I202" s="32">
        <f>IF(AND(194&gt;Guests!$AG$505,194&lt;=Guests!$AG$505+'Form Calc'!$AB$601),MATCH(194-Guests!$AG$505,'Form Calc'!$AC:$AC,0),"")</f>
        <v/>
      </c>
    </row>
    <row r="203">
      <c r="A203" s="66">
        <f>IF($H203&lt;&gt;"",INDEX(Guests!$A:$A,$H203)&amp;"",IF($I203&lt;&gt;"",INDEX('Form Calc'!$B:$B,$I203)&amp;"",""))</f>
        <v/>
      </c>
      <c r="B203" s="67">
        <f>IF($H203&lt;&gt;"",INDEX(Guests!$B:$B,$H203)&amp;"",IF($I203&lt;&gt;"",INDEX('Form Calc'!$G:$G,$I203)&amp;"",""))</f>
        <v/>
      </c>
      <c r="C203" s="68">
        <f>IF($H203&lt;&gt;"",IF(INDEX(Guests!$AD:$AD,$H203)&lt;&gt;"",HYPERLINK(INDEX(Guests!$AD:$AD,$H203),"💬 Remind"),"add mobile"),IF($I203&lt;&gt;"",IF(INDEX('Form Calc'!$AG:$AG,$I203)&lt;&gt;"",HYPERLINK(INDEX('Form Calc'!$AG:$AG,$I203),"💬 Remind"),"add mobile"),""))</f>
        <v/>
      </c>
      <c r="D203" s="67">
        <f>IF($H203&lt;&gt;"",INDEX(Guests!$Y:$Y,$H203)&amp;"",IF($I203&lt;&gt;"",INDEX('Form Calc'!$C:$C,$I203)&amp;"",""))</f>
        <v/>
      </c>
      <c r="E203" s="69">
        <f>IF($H203&lt;&gt;"",IF(INDEX(Guests!$N:$N,$H203)="","",INDEX(Guests!$N:$N,$H203)),"")</f>
        <v/>
      </c>
      <c r="F203" s="67">
        <f>IF($H203&lt;&gt;"",INDEX(Guests!$E:$E,$H203)&amp;"","")</f>
        <v/>
      </c>
      <c r="G203" s="67">
        <f>IF($H203&lt;&gt;"","Guest list",IF($I203&lt;&gt;"","RSVP form",""))</f>
        <v/>
      </c>
      <c r="H203" s="32">
        <f>IF(195&lt;=Guests!$AG$505,MATCH(195,Guests!$AH:$AH,0),"")</f>
        <v/>
      </c>
      <c r="I203" s="32">
        <f>IF(AND(195&gt;Guests!$AG$505,195&lt;=Guests!$AG$505+'Form Calc'!$AB$601),MATCH(195-Guests!$AG$505,'Form Calc'!$AC:$AC,0),"")</f>
        <v/>
      </c>
    </row>
    <row r="204">
      <c r="A204" s="66">
        <f>IF($H204&lt;&gt;"",INDEX(Guests!$A:$A,$H204)&amp;"",IF($I204&lt;&gt;"",INDEX('Form Calc'!$B:$B,$I204)&amp;"",""))</f>
        <v/>
      </c>
      <c r="B204" s="67">
        <f>IF($H204&lt;&gt;"",INDEX(Guests!$B:$B,$H204)&amp;"",IF($I204&lt;&gt;"",INDEX('Form Calc'!$G:$G,$I204)&amp;"",""))</f>
        <v/>
      </c>
      <c r="C204" s="68">
        <f>IF($H204&lt;&gt;"",IF(INDEX(Guests!$AD:$AD,$H204)&lt;&gt;"",HYPERLINK(INDEX(Guests!$AD:$AD,$H204),"💬 Remind"),"add mobile"),IF($I204&lt;&gt;"",IF(INDEX('Form Calc'!$AG:$AG,$I204)&lt;&gt;"",HYPERLINK(INDEX('Form Calc'!$AG:$AG,$I204),"💬 Remind"),"add mobile"),""))</f>
        <v/>
      </c>
      <c r="D204" s="67">
        <f>IF($H204&lt;&gt;"",INDEX(Guests!$Y:$Y,$H204)&amp;"",IF($I204&lt;&gt;"",INDEX('Form Calc'!$C:$C,$I204)&amp;"",""))</f>
        <v/>
      </c>
      <c r="E204" s="69">
        <f>IF($H204&lt;&gt;"",IF(INDEX(Guests!$N:$N,$H204)="","",INDEX(Guests!$N:$N,$H204)),"")</f>
        <v/>
      </c>
      <c r="F204" s="67">
        <f>IF($H204&lt;&gt;"",INDEX(Guests!$E:$E,$H204)&amp;"","")</f>
        <v/>
      </c>
      <c r="G204" s="67">
        <f>IF($H204&lt;&gt;"","Guest list",IF($I204&lt;&gt;"","RSVP form",""))</f>
        <v/>
      </c>
      <c r="H204" s="32">
        <f>IF(196&lt;=Guests!$AG$505,MATCH(196,Guests!$AH:$AH,0),"")</f>
        <v/>
      </c>
      <c r="I204" s="32">
        <f>IF(AND(196&gt;Guests!$AG$505,196&lt;=Guests!$AG$505+'Form Calc'!$AB$601),MATCH(196-Guests!$AG$505,'Form Calc'!$AC:$AC,0),"")</f>
        <v/>
      </c>
    </row>
    <row r="205">
      <c r="A205" s="66">
        <f>IF($H205&lt;&gt;"",INDEX(Guests!$A:$A,$H205)&amp;"",IF($I205&lt;&gt;"",INDEX('Form Calc'!$B:$B,$I205)&amp;"",""))</f>
        <v/>
      </c>
      <c r="B205" s="67">
        <f>IF($H205&lt;&gt;"",INDEX(Guests!$B:$B,$H205)&amp;"",IF($I205&lt;&gt;"",INDEX('Form Calc'!$G:$G,$I205)&amp;"",""))</f>
        <v/>
      </c>
      <c r="C205" s="68">
        <f>IF($H205&lt;&gt;"",IF(INDEX(Guests!$AD:$AD,$H205)&lt;&gt;"",HYPERLINK(INDEX(Guests!$AD:$AD,$H205),"💬 Remind"),"add mobile"),IF($I205&lt;&gt;"",IF(INDEX('Form Calc'!$AG:$AG,$I205)&lt;&gt;"",HYPERLINK(INDEX('Form Calc'!$AG:$AG,$I205),"💬 Remind"),"add mobile"),""))</f>
        <v/>
      </c>
      <c r="D205" s="67">
        <f>IF($H205&lt;&gt;"",INDEX(Guests!$Y:$Y,$H205)&amp;"",IF($I205&lt;&gt;"",INDEX('Form Calc'!$C:$C,$I205)&amp;"",""))</f>
        <v/>
      </c>
      <c r="E205" s="69">
        <f>IF($H205&lt;&gt;"",IF(INDEX(Guests!$N:$N,$H205)="","",INDEX(Guests!$N:$N,$H205)),"")</f>
        <v/>
      </c>
      <c r="F205" s="67">
        <f>IF($H205&lt;&gt;"",INDEX(Guests!$E:$E,$H205)&amp;"","")</f>
        <v/>
      </c>
      <c r="G205" s="67">
        <f>IF($H205&lt;&gt;"","Guest list",IF($I205&lt;&gt;"","RSVP form",""))</f>
        <v/>
      </c>
      <c r="H205" s="32">
        <f>IF(197&lt;=Guests!$AG$505,MATCH(197,Guests!$AH:$AH,0),"")</f>
        <v/>
      </c>
      <c r="I205" s="32">
        <f>IF(AND(197&gt;Guests!$AG$505,197&lt;=Guests!$AG$505+'Form Calc'!$AB$601),MATCH(197-Guests!$AG$505,'Form Calc'!$AC:$AC,0),"")</f>
        <v/>
      </c>
    </row>
    <row r="206">
      <c r="A206" s="66">
        <f>IF($H206&lt;&gt;"",INDEX(Guests!$A:$A,$H206)&amp;"",IF($I206&lt;&gt;"",INDEX('Form Calc'!$B:$B,$I206)&amp;"",""))</f>
        <v/>
      </c>
      <c r="B206" s="67">
        <f>IF($H206&lt;&gt;"",INDEX(Guests!$B:$B,$H206)&amp;"",IF($I206&lt;&gt;"",INDEX('Form Calc'!$G:$G,$I206)&amp;"",""))</f>
        <v/>
      </c>
      <c r="C206" s="68">
        <f>IF($H206&lt;&gt;"",IF(INDEX(Guests!$AD:$AD,$H206)&lt;&gt;"",HYPERLINK(INDEX(Guests!$AD:$AD,$H206),"💬 Remind"),"add mobile"),IF($I206&lt;&gt;"",IF(INDEX('Form Calc'!$AG:$AG,$I206)&lt;&gt;"",HYPERLINK(INDEX('Form Calc'!$AG:$AG,$I206),"💬 Remind"),"add mobile"),""))</f>
        <v/>
      </c>
      <c r="D206" s="67">
        <f>IF($H206&lt;&gt;"",INDEX(Guests!$Y:$Y,$H206)&amp;"",IF($I206&lt;&gt;"",INDEX('Form Calc'!$C:$C,$I206)&amp;"",""))</f>
        <v/>
      </c>
      <c r="E206" s="69">
        <f>IF($H206&lt;&gt;"",IF(INDEX(Guests!$N:$N,$H206)="","",INDEX(Guests!$N:$N,$H206)),"")</f>
        <v/>
      </c>
      <c r="F206" s="67">
        <f>IF($H206&lt;&gt;"",INDEX(Guests!$E:$E,$H206)&amp;"","")</f>
        <v/>
      </c>
      <c r="G206" s="67">
        <f>IF($H206&lt;&gt;"","Guest list",IF($I206&lt;&gt;"","RSVP form",""))</f>
        <v/>
      </c>
      <c r="H206" s="32">
        <f>IF(198&lt;=Guests!$AG$505,MATCH(198,Guests!$AH:$AH,0),"")</f>
        <v/>
      </c>
      <c r="I206" s="32">
        <f>IF(AND(198&gt;Guests!$AG$505,198&lt;=Guests!$AG$505+'Form Calc'!$AB$601),MATCH(198-Guests!$AG$505,'Form Calc'!$AC:$AC,0),"")</f>
        <v/>
      </c>
    </row>
    <row r="207">
      <c r="A207" s="66">
        <f>IF($H207&lt;&gt;"",INDEX(Guests!$A:$A,$H207)&amp;"",IF($I207&lt;&gt;"",INDEX('Form Calc'!$B:$B,$I207)&amp;"",""))</f>
        <v/>
      </c>
      <c r="B207" s="67">
        <f>IF($H207&lt;&gt;"",INDEX(Guests!$B:$B,$H207)&amp;"",IF($I207&lt;&gt;"",INDEX('Form Calc'!$G:$G,$I207)&amp;"",""))</f>
        <v/>
      </c>
      <c r="C207" s="68">
        <f>IF($H207&lt;&gt;"",IF(INDEX(Guests!$AD:$AD,$H207)&lt;&gt;"",HYPERLINK(INDEX(Guests!$AD:$AD,$H207),"💬 Remind"),"add mobile"),IF($I207&lt;&gt;"",IF(INDEX('Form Calc'!$AG:$AG,$I207)&lt;&gt;"",HYPERLINK(INDEX('Form Calc'!$AG:$AG,$I207),"💬 Remind"),"add mobile"),""))</f>
        <v/>
      </c>
      <c r="D207" s="67">
        <f>IF($H207&lt;&gt;"",INDEX(Guests!$Y:$Y,$H207)&amp;"",IF($I207&lt;&gt;"",INDEX('Form Calc'!$C:$C,$I207)&amp;"",""))</f>
        <v/>
      </c>
      <c r="E207" s="69">
        <f>IF($H207&lt;&gt;"",IF(INDEX(Guests!$N:$N,$H207)="","",INDEX(Guests!$N:$N,$H207)),"")</f>
        <v/>
      </c>
      <c r="F207" s="67">
        <f>IF($H207&lt;&gt;"",INDEX(Guests!$E:$E,$H207)&amp;"","")</f>
        <v/>
      </c>
      <c r="G207" s="67">
        <f>IF($H207&lt;&gt;"","Guest list",IF($I207&lt;&gt;"","RSVP form",""))</f>
        <v/>
      </c>
      <c r="H207" s="32">
        <f>IF(199&lt;=Guests!$AG$505,MATCH(199,Guests!$AH:$AH,0),"")</f>
        <v/>
      </c>
      <c r="I207" s="32">
        <f>IF(AND(199&gt;Guests!$AG$505,199&lt;=Guests!$AG$505+'Form Calc'!$AB$601),MATCH(199-Guests!$AG$505,'Form Calc'!$AC:$AC,0),"")</f>
        <v/>
      </c>
    </row>
    <row r="208">
      <c r="A208" s="66">
        <f>IF($H208&lt;&gt;"",INDEX(Guests!$A:$A,$H208)&amp;"",IF($I208&lt;&gt;"",INDEX('Form Calc'!$B:$B,$I208)&amp;"",""))</f>
        <v/>
      </c>
      <c r="B208" s="67">
        <f>IF($H208&lt;&gt;"",INDEX(Guests!$B:$B,$H208)&amp;"",IF($I208&lt;&gt;"",INDEX('Form Calc'!$G:$G,$I208)&amp;"",""))</f>
        <v/>
      </c>
      <c r="C208" s="68">
        <f>IF($H208&lt;&gt;"",IF(INDEX(Guests!$AD:$AD,$H208)&lt;&gt;"",HYPERLINK(INDEX(Guests!$AD:$AD,$H208),"💬 Remind"),"add mobile"),IF($I208&lt;&gt;"",IF(INDEX('Form Calc'!$AG:$AG,$I208)&lt;&gt;"",HYPERLINK(INDEX('Form Calc'!$AG:$AG,$I208),"💬 Remind"),"add mobile"),""))</f>
        <v/>
      </c>
      <c r="D208" s="67">
        <f>IF($H208&lt;&gt;"",INDEX(Guests!$Y:$Y,$H208)&amp;"",IF($I208&lt;&gt;"",INDEX('Form Calc'!$C:$C,$I208)&amp;"",""))</f>
        <v/>
      </c>
      <c r="E208" s="69">
        <f>IF($H208&lt;&gt;"",IF(INDEX(Guests!$N:$N,$H208)="","",INDEX(Guests!$N:$N,$H208)),"")</f>
        <v/>
      </c>
      <c r="F208" s="67">
        <f>IF($H208&lt;&gt;"",INDEX(Guests!$E:$E,$H208)&amp;"","")</f>
        <v/>
      </c>
      <c r="G208" s="67">
        <f>IF($H208&lt;&gt;"","Guest list",IF($I208&lt;&gt;"","RSVP form",""))</f>
        <v/>
      </c>
      <c r="H208" s="32">
        <f>IF(200&lt;=Guests!$AG$505,MATCH(200,Guests!$AH:$AH,0),"")</f>
        <v/>
      </c>
      <c r="I208" s="32">
        <f>IF(AND(200&gt;Guests!$AG$505,200&lt;=Guests!$AG$505+'Form Calc'!$AB$601),MATCH(200-Guests!$AG$505,'Form Calc'!$AC:$AC,0),"")</f>
        <v/>
      </c>
    </row>
    <row r="209">
      <c r="A209" s="66">
        <f>IF($H209&lt;&gt;"",INDEX(Guests!$A:$A,$H209)&amp;"",IF($I209&lt;&gt;"",INDEX('Form Calc'!$B:$B,$I209)&amp;"",""))</f>
        <v/>
      </c>
      <c r="B209" s="67">
        <f>IF($H209&lt;&gt;"",INDEX(Guests!$B:$B,$H209)&amp;"",IF($I209&lt;&gt;"",INDEX('Form Calc'!$G:$G,$I209)&amp;"",""))</f>
        <v/>
      </c>
      <c r="C209" s="68">
        <f>IF($H209&lt;&gt;"",IF(INDEX(Guests!$AD:$AD,$H209)&lt;&gt;"",HYPERLINK(INDEX(Guests!$AD:$AD,$H209),"💬 Remind"),"add mobile"),IF($I209&lt;&gt;"",IF(INDEX('Form Calc'!$AG:$AG,$I209)&lt;&gt;"",HYPERLINK(INDEX('Form Calc'!$AG:$AG,$I209),"💬 Remind"),"add mobile"),""))</f>
        <v/>
      </c>
      <c r="D209" s="67">
        <f>IF($H209&lt;&gt;"",INDEX(Guests!$Y:$Y,$H209)&amp;"",IF($I209&lt;&gt;"",INDEX('Form Calc'!$C:$C,$I209)&amp;"",""))</f>
        <v/>
      </c>
      <c r="E209" s="69">
        <f>IF($H209&lt;&gt;"",IF(INDEX(Guests!$N:$N,$H209)="","",INDEX(Guests!$N:$N,$H209)),"")</f>
        <v/>
      </c>
      <c r="F209" s="67">
        <f>IF($H209&lt;&gt;"",INDEX(Guests!$E:$E,$H209)&amp;"","")</f>
        <v/>
      </c>
      <c r="G209" s="67">
        <f>IF($H209&lt;&gt;"","Guest list",IF($I209&lt;&gt;"","RSVP form",""))</f>
        <v/>
      </c>
      <c r="H209" s="32">
        <f>IF(201&lt;=Guests!$AG$505,MATCH(201,Guests!$AH:$AH,0),"")</f>
        <v/>
      </c>
      <c r="I209" s="32">
        <f>IF(AND(201&gt;Guests!$AG$505,201&lt;=Guests!$AG$505+'Form Calc'!$AB$601),MATCH(201-Guests!$AG$505,'Form Calc'!$AC:$AC,0),"")</f>
        <v/>
      </c>
    </row>
    <row r="210">
      <c r="A210" s="66">
        <f>IF($H210&lt;&gt;"",INDEX(Guests!$A:$A,$H210)&amp;"",IF($I210&lt;&gt;"",INDEX('Form Calc'!$B:$B,$I210)&amp;"",""))</f>
        <v/>
      </c>
      <c r="B210" s="67">
        <f>IF($H210&lt;&gt;"",INDEX(Guests!$B:$B,$H210)&amp;"",IF($I210&lt;&gt;"",INDEX('Form Calc'!$G:$G,$I210)&amp;"",""))</f>
        <v/>
      </c>
      <c r="C210" s="68">
        <f>IF($H210&lt;&gt;"",IF(INDEX(Guests!$AD:$AD,$H210)&lt;&gt;"",HYPERLINK(INDEX(Guests!$AD:$AD,$H210),"💬 Remind"),"add mobile"),IF($I210&lt;&gt;"",IF(INDEX('Form Calc'!$AG:$AG,$I210)&lt;&gt;"",HYPERLINK(INDEX('Form Calc'!$AG:$AG,$I210),"💬 Remind"),"add mobile"),""))</f>
        <v/>
      </c>
      <c r="D210" s="67">
        <f>IF($H210&lt;&gt;"",INDEX(Guests!$Y:$Y,$H210)&amp;"",IF($I210&lt;&gt;"",INDEX('Form Calc'!$C:$C,$I210)&amp;"",""))</f>
        <v/>
      </c>
      <c r="E210" s="69">
        <f>IF($H210&lt;&gt;"",IF(INDEX(Guests!$N:$N,$H210)="","",INDEX(Guests!$N:$N,$H210)),"")</f>
        <v/>
      </c>
      <c r="F210" s="67">
        <f>IF($H210&lt;&gt;"",INDEX(Guests!$E:$E,$H210)&amp;"","")</f>
        <v/>
      </c>
      <c r="G210" s="67">
        <f>IF($H210&lt;&gt;"","Guest list",IF($I210&lt;&gt;"","RSVP form",""))</f>
        <v/>
      </c>
      <c r="H210" s="32">
        <f>IF(202&lt;=Guests!$AG$505,MATCH(202,Guests!$AH:$AH,0),"")</f>
        <v/>
      </c>
      <c r="I210" s="32">
        <f>IF(AND(202&gt;Guests!$AG$505,202&lt;=Guests!$AG$505+'Form Calc'!$AB$601),MATCH(202-Guests!$AG$505,'Form Calc'!$AC:$AC,0),"")</f>
        <v/>
      </c>
    </row>
    <row r="211">
      <c r="A211" s="66">
        <f>IF($H211&lt;&gt;"",INDEX(Guests!$A:$A,$H211)&amp;"",IF($I211&lt;&gt;"",INDEX('Form Calc'!$B:$B,$I211)&amp;"",""))</f>
        <v/>
      </c>
      <c r="B211" s="67">
        <f>IF($H211&lt;&gt;"",INDEX(Guests!$B:$B,$H211)&amp;"",IF($I211&lt;&gt;"",INDEX('Form Calc'!$G:$G,$I211)&amp;"",""))</f>
        <v/>
      </c>
      <c r="C211" s="68">
        <f>IF($H211&lt;&gt;"",IF(INDEX(Guests!$AD:$AD,$H211)&lt;&gt;"",HYPERLINK(INDEX(Guests!$AD:$AD,$H211),"💬 Remind"),"add mobile"),IF($I211&lt;&gt;"",IF(INDEX('Form Calc'!$AG:$AG,$I211)&lt;&gt;"",HYPERLINK(INDEX('Form Calc'!$AG:$AG,$I211),"💬 Remind"),"add mobile"),""))</f>
        <v/>
      </c>
      <c r="D211" s="67">
        <f>IF($H211&lt;&gt;"",INDEX(Guests!$Y:$Y,$H211)&amp;"",IF($I211&lt;&gt;"",INDEX('Form Calc'!$C:$C,$I211)&amp;"",""))</f>
        <v/>
      </c>
      <c r="E211" s="69">
        <f>IF($H211&lt;&gt;"",IF(INDEX(Guests!$N:$N,$H211)="","",INDEX(Guests!$N:$N,$H211)),"")</f>
        <v/>
      </c>
      <c r="F211" s="67">
        <f>IF($H211&lt;&gt;"",INDEX(Guests!$E:$E,$H211)&amp;"","")</f>
        <v/>
      </c>
      <c r="G211" s="67">
        <f>IF($H211&lt;&gt;"","Guest list",IF($I211&lt;&gt;"","RSVP form",""))</f>
        <v/>
      </c>
      <c r="H211" s="32">
        <f>IF(203&lt;=Guests!$AG$505,MATCH(203,Guests!$AH:$AH,0),"")</f>
        <v/>
      </c>
      <c r="I211" s="32">
        <f>IF(AND(203&gt;Guests!$AG$505,203&lt;=Guests!$AG$505+'Form Calc'!$AB$601),MATCH(203-Guests!$AG$505,'Form Calc'!$AC:$AC,0),"")</f>
        <v/>
      </c>
    </row>
    <row r="212">
      <c r="A212" s="66">
        <f>IF($H212&lt;&gt;"",INDEX(Guests!$A:$A,$H212)&amp;"",IF($I212&lt;&gt;"",INDEX('Form Calc'!$B:$B,$I212)&amp;"",""))</f>
        <v/>
      </c>
      <c r="B212" s="67">
        <f>IF($H212&lt;&gt;"",INDEX(Guests!$B:$B,$H212)&amp;"",IF($I212&lt;&gt;"",INDEX('Form Calc'!$G:$G,$I212)&amp;"",""))</f>
        <v/>
      </c>
      <c r="C212" s="68">
        <f>IF($H212&lt;&gt;"",IF(INDEX(Guests!$AD:$AD,$H212)&lt;&gt;"",HYPERLINK(INDEX(Guests!$AD:$AD,$H212),"💬 Remind"),"add mobile"),IF($I212&lt;&gt;"",IF(INDEX('Form Calc'!$AG:$AG,$I212)&lt;&gt;"",HYPERLINK(INDEX('Form Calc'!$AG:$AG,$I212),"💬 Remind"),"add mobile"),""))</f>
        <v/>
      </c>
      <c r="D212" s="67">
        <f>IF($H212&lt;&gt;"",INDEX(Guests!$Y:$Y,$H212)&amp;"",IF($I212&lt;&gt;"",INDEX('Form Calc'!$C:$C,$I212)&amp;"",""))</f>
        <v/>
      </c>
      <c r="E212" s="69">
        <f>IF($H212&lt;&gt;"",IF(INDEX(Guests!$N:$N,$H212)="","",INDEX(Guests!$N:$N,$H212)),"")</f>
        <v/>
      </c>
      <c r="F212" s="67">
        <f>IF($H212&lt;&gt;"",INDEX(Guests!$E:$E,$H212)&amp;"","")</f>
        <v/>
      </c>
      <c r="G212" s="67">
        <f>IF($H212&lt;&gt;"","Guest list",IF($I212&lt;&gt;"","RSVP form",""))</f>
        <v/>
      </c>
      <c r="H212" s="32">
        <f>IF(204&lt;=Guests!$AG$505,MATCH(204,Guests!$AH:$AH,0),"")</f>
        <v/>
      </c>
      <c r="I212" s="32">
        <f>IF(AND(204&gt;Guests!$AG$505,204&lt;=Guests!$AG$505+'Form Calc'!$AB$601),MATCH(204-Guests!$AG$505,'Form Calc'!$AC:$AC,0),"")</f>
        <v/>
      </c>
    </row>
    <row r="213">
      <c r="A213" s="66">
        <f>IF($H213&lt;&gt;"",INDEX(Guests!$A:$A,$H213)&amp;"",IF($I213&lt;&gt;"",INDEX('Form Calc'!$B:$B,$I213)&amp;"",""))</f>
        <v/>
      </c>
      <c r="B213" s="67">
        <f>IF($H213&lt;&gt;"",INDEX(Guests!$B:$B,$H213)&amp;"",IF($I213&lt;&gt;"",INDEX('Form Calc'!$G:$G,$I213)&amp;"",""))</f>
        <v/>
      </c>
      <c r="C213" s="68">
        <f>IF($H213&lt;&gt;"",IF(INDEX(Guests!$AD:$AD,$H213)&lt;&gt;"",HYPERLINK(INDEX(Guests!$AD:$AD,$H213),"💬 Remind"),"add mobile"),IF($I213&lt;&gt;"",IF(INDEX('Form Calc'!$AG:$AG,$I213)&lt;&gt;"",HYPERLINK(INDEX('Form Calc'!$AG:$AG,$I213),"💬 Remind"),"add mobile"),""))</f>
        <v/>
      </c>
      <c r="D213" s="67">
        <f>IF($H213&lt;&gt;"",INDEX(Guests!$Y:$Y,$H213)&amp;"",IF($I213&lt;&gt;"",INDEX('Form Calc'!$C:$C,$I213)&amp;"",""))</f>
        <v/>
      </c>
      <c r="E213" s="69">
        <f>IF($H213&lt;&gt;"",IF(INDEX(Guests!$N:$N,$H213)="","",INDEX(Guests!$N:$N,$H213)),"")</f>
        <v/>
      </c>
      <c r="F213" s="67">
        <f>IF($H213&lt;&gt;"",INDEX(Guests!$E:$E,$H213)&amp;"","")</f>
        <v/>
      </c>
      <c r="G213" s="67">
        <f>IF($H213&lt;&gt;"","Guest list",IF($I213&lt;&gt;"","RSVP form",""))</f>
        <v/>
      </c>
      <c r="H213" s="32">
        <f>IF(205&lt;=Guests!$AG$505,MATCH(205,Guests!$AH:$AH,0),"")</f>
        <v/>
      </c>
      <c r="I213" s="32">
        <f>IF(AND(205&gt;Guests!$AG$505,205&lt;=Guests!$AG$505+'Form Calc'!$AB$601),MATCH(205-Guests!$AG$505,'Form Calc'!$AC:$AC,0),"")</f>
        <v/>
      </c>
    </row>
    <row r="214">
      <c r="A214" s="66">
        <f>IF($H214&lt;&gt;"",INDEX(Guests!$A:$A,$H214)&amp;"",IF($I214&lt;&gt;"",INDEX('Form Calc'!$B:$B,$I214)&amp;"",""))</f>
        <v/>
      </c>
      <c r="B214" s="67">
        <f>IF($H214&lt;&gt;"",INDEX(Guests!$B:$B,$H214)&amp;"",IF($I214&lt;&gt;"",INDEX('Form Calc'!$G:$G,$I214)&amp;"",""))</f>
        <v/>
      </c>
      <c r="C214" s="68">
        <f>IF($H214&lt;&gt;"",IF(INDEX(Guests!$AD:$AD,$H214)&lt;&gt;"",HYPERLINK(INDEX(Guests!$AD:$AD,$H214),"💬 Remind"),"add mobile"),IF($I214&lt;&gt;"",IF(INDEX('Form Calc'!$AG:$AG,$I214)&lt;&gt;"",HYPERLINK(INDEX('Form Calc'!$AG:$AG,$I214),"💬 Remind"),"add mobile"),""))</f>
        <v/>
      </c>
      <c r="D214" s="67">
        <f>IF($H214&lt;&gt;"",INDEX(Guests!$Y:$Y,$H214)&amp;"",IF($I214&lt;&gt;"",INDEX('Form Calc'!$C:$C,$I214)&amp;"",""))</f>
        <v/>
      </c>
      <c r="E214" s="69">
        <f>IF($H214&lt;&gt;"",IF(INDEX(Guests!$N:$N,$H214)="","",INDEX(Guests!$N:$N,$H214)),"")</f>
        <v/>
      </c>
      <c r="F214" s="67">
        <f>IF($H214&lt;&gt;"",INDEX(Guests!$E:$E,$H214)&amp;"","")</f>
        <v/>
      </c>
      <c r="G214" s="67">
        <f>IF($H214&lt;&gt;"","Guest list",IF($I214&lt;&gt;"","RSVP form",""))</f>
        <v/>
      </c>
      <c r="H214" s="32">
        <f>IF(206&lt;=Guests!$AG$505,MATCH(206,Guests!$AH:$AH,0),"")</f>
        <v/>
      </c>
      <c r="I214" s="32">
        <f>IF(AND(206&gt;Guests!$AG$505,206&lt;=Guests!$AG$505+'Form Calc'!$AB$601),MATCH(206-Guests!$AG$505,'Form Calc'!$AC:$AC,0),"")</f>
        <v/>
      </c>
    </row>
    <row r="215">
      <c r="A215" s="66">
        <f>IF($H215&lt;&gt;"",INDEX(Guests!$A:$A,$H215)&amp;"",IF($I215&lt;&gt;"",INDEX('Form Calc'!$B:$B,$I215)&amp;"",""))</f>
        <v/>
      </c>
      <c r="B215" s="67">
        <f>IF($H215&lt;&gt;"",INDEX(Guests!$B:$B,$H215)&amp;"",IF($I215&lt;&gt;"",INDEX('Form Calc'!$G:$G,$I215)&amp;"",""))</f>
        <v/>
      </c>
      <c r="C215" s="68">
        <f>IF($H215&lt;&gt;"",IF(INDEX(Guests!$AD:$AD,$H215)&lt;&gt;"",HYPERLINK(INDEX(Guests!$AD:$AD,$H215),"💬 Remind"),"add mobile"),IF($I215&lt;&gt;"",IF(INDEX('Form Calc'!$AG:$AG,$I215)&lt;&gt;"",HYPERLINK(INDEX('Form Calc'!$AG:$AG,$I215),"💬 Remind"),"add mobile"),""))</f>
        <v/>
      </c>
      <c r="D215" s="67">
        <f>IF($H215&lt;&gt;"",INDEX(Guests!$Y:$Y,$H215)&amp;"",IF($I215&lt;&gt;"",INDEX('Form Calc'!$C:$C,$I215)&amp;"",""))</f>
        <v/>
      </c>
      <c r="E215" s="69">
        <f>IF($H215&lt;&gt;"",IF(INDEX(Guests!$N:$N,$H215)="","",INDEX(Guests!$N:$N,$H215)),"")</f>
        <v/>
      </c>
      <c r="F215" s="67">
        <f>IF($H215&lt;&gt;"",INDEX(Guests!$E:$E,$H215)&amp;"","")</f>
        <v/>
      </c>
      <c r="G215" s="67">
        <f>IF($H215&lt;&gt;"","Guest list",IF($I215&lt;&gt;"","RSVP form",""))</f>
        <v/>
      </c>
      <c r="H215" s="32">
        <f>IF(207&lt;=Guests!$AG$505,MATCH(207,Guests!$AH:$AH,0),"")</f>
        <v/>
      </c>
      <c r="I215" s="32">
        <f>IF(AND(207&gt;Guests!$AG$505,207&lt;=Guests!$AG$505+'Form Calc'!$AB$601),MATCH(207-Guests!$AG$505,'Form Calc'!$AC:$AC,0),"")</f>
        <v/>
      </c>
    </row>
    <row r="216">
      <c r="A216" s="66">
        <f>IF($H216&lt;&gt;"",INDEX(Guests!$A:$A,$H216)&amp;"",IF($I216&lt;&gt;"",INDEX('Form Calc'!$B:$B,$I216)&amp;"",""))</f>
        <v/>
      </c>
      <c r="B216" s="67">
        <f>IF($H216&lt;&gt;"",INDEX(Guests!$B:$B,$H216)&amp;"",IF($I216&lt;&gt;"",INDEX('Form Calc'!$G:$G,$I216)&amp;"",""))</f>
        <v/>
      </c>
      <c r="C216" s="68">
        <f>IF($H216&lt;&gt;"",IF(INDEX(Guests!$AD:$AD,$H216)&lt;&gt;"",HYPERLINK(INDEX(Guests!$AD:$AD,$H216),"💬 Remind"),"add mobile"),IF($I216&lt;&gt;"",IF(INDEX('Form Calc'!$AG:$AG,$I216)&lt;&gt;"",HYPERLINK(INDEX('Form Calc'!$AG:$AG,$I216),"💬 Remind"),"add mobile"),""))</f>
        <v/>
      </c>
      <c r="D216" s="67">
        <f>IF($H216&lt;&gt;"",INDEX(Guests!$Y:$Y,$H216)&amp;"",IF($I216&lt;&gt;"",INDEX('Form Calc'!$C:$C,$I216)&amp;"",""))</f>
        <v/>
      </c>
      <c r="E216" s="69">
        <f>IF($H216&lt;&gt;"",IF(INDEX(Guests!$N:$N,$H216)="","",INDEX(Guests!$N:$N,$H216)),"")</f>
        <v/>
      </c>
      <c r="F216" s="67">
        <f>IF($H216&lt;&gt;"",INDEX(Guests!$E:$E,$H216)&amp;"","")</f>
        <v/>
      </c>
      <c r="G216" s="67">
        <f>IF($H216&lt;&gt;"","Guest list",IF($I216&lt;&gt;"","RSVP form",""))</f>
        <v/>
      </c>
      <c r="H216" s="32">
        <f>IF(208&lt;=Guests!$AG$505,MATCH(208,Guests!$AH:$AH,0),"")</f>
        <v/>
      </c>
      <c r="I216" s="32">
        <f>IF(AND(208&gt;Guests!$AG$505,208&lt;=Guests!$AG$505+'Form Calc'!$AB$601),MATCH(208-Guests!$AG$505,'Form Calc'!$AC:$AC,0),"")</f>
        <v/>
      </c>
    </row>
    <row r="217">
      <c r="A217" s="66">
        <f>IF($H217&lt;&gt;"",INDEX(Guests!$A:$A,$H217)&amp;"",IF($I217&lt;&gt;"",INDEX('Form Calc'!$B:$B,$I217)&amp;"",""))</f>
        <v/>
      </c>
      <c r="B217" s="67">
        <f>IF($H217&lt;&gt;"",INDEX(Guests!$B:$B,$H217)&amp;"",IF($I217&lt;&gt;"",INDEX('Form Calc'!$G:$G,$I217)&amp;"",""))</f>
        <v/>
      </c>
      <c r="C217" s="68">
        <f>IF($H217&lt;&gt;"",IF(INDEX(Guests!$AD:$AD,$H217)&lt;&gt;"",HYPERLINK(INDEX(Guests!$AD:$AD,$H217),"💬 Remind"),"add mobile"),IF($I217&lt;&gt;"",IF(INDEX('Form Calc'!$AG:$AG,$I217)&lt;&gt;"",HYPERLINK(INDEX('Form Calc'!$AG:$AG,$I217),"💬 Remind"),"add mobile"),""))</f>
        <v/>
      </c>
      <c r="D217" s="67">
        <f>IF($H217&lt;&gt;"",INDEX(Guests!$Y:$Y,$H217)&amp;"",IF($I217&lt;&gt;"",INDEX('Form Calc'!$C:$C,$I217)&amp;"",""))</f>
        <v/>
      </c>
      <c r="E217" s="69">
        <f>IF($H217&lt;&gt;"",IF(INDEX(Guests!$N:$N,$H217)="","",INDEX(Guests!$N:$N,$H217)),"")</f>
        <v/>
      </c>
      <c r="F217" s="67">
        <f>IF($H217&lt;&gt;"",INDEX(Guests!$E:$E,$H217)&amp;"","")</f>
        <v/>
      </c>
      <c r="G217" s="67">
        <f>IF($H217&lt;&gt;"","Guest list",IF($I217&lt;&gt;"","RSVP form",""))</f>
        <v/>
      </c>
      <c r="H217" s="32">
        <f>IF(209&lt;=Guests!$AG$505,MATCH(209,Guests!$AH:$AH,0),"")</f>
        <v/>
      </c>
      <c r="I217" s="32">
        <f>IF(AND(209&gt;Guests!$AG$505,209&lt;=Guests!$AG$505+'Form Calc'!$AB$601),MATCH(209-Guests!$AG$505,'Form Calc'!$AC:$AC,0),"")</f>
        <v/>
      </c>
    </row>
    <row r="218">
      <c r="A218" s="66">
        <f>IF($H218&lt;&gt;"",INDEX(Guests!$A:$A,$H218)&amp;"",IF($I218&lt;&gt;"",INDEX('Form Calc'!$B:$B,$I218)&amp;"",""))</f>
        <v/>
      </c>
      <c r="B218" s="67">
        <f>IF($H218&lt;&gt;"",INDEX(Guests!$B:$B,$H218)&amp;"",IF($I218&lt;&gt;"",INDEX('Form Calc'!$G:$G,$I218)&amp;"",""))</f>
        <v/>
      </c>
      <c r="C218" s="68">
        <f>IF($H218&lt;&gt;"",IF(INDEX(Guests!$AD:$AD,$H218)&lt;&gt;"",HYPERLINK(INDEX(Guests!$AD:$AD,$H218),"💬 Remind"),"add mobile"),IF($I218&lt;&gt;"",IF(INDEX('Form Calc'!$AG:$AG,$I218)&lt;&gt;"",HYPERLINK(INDEX('Form Calc'!$AG:$AG,$I218),"💬 Remind"),"add mobile"),""))</f>
        <v/>
      </c>
      <c r="D218" s="67">
        <f>IF($H218&lt;&gt;"",INDEX(Guests!$Y:$Y,$H218)&amp;"",IF($I218&lt;&gt;"",INDEX('Form Calc'!$C:$C,$I218)&amp;"",""))</f>
        <v/>
      </c>
      <c r="E218" s="69">
        <f>IF($H218&lt;&gt;"",IF(INDEX(Guests!$N:$N,$H218)="","",INDEX(Guests!$N:$N,$H218)),"")</f>
        <v/>
      </c>
      <c r="F218" s="67">
        <f>IF($H218&lt;&gt;"",INDEX(Guests!$E:$E,$H218)&amp;"","")</f>
        <v/>
      </c>
      <c r="G218" s="67">
        <f>IF($H218&lt;&gt;"","Guest list",IF($I218&lt;&gt;"","RSVP form",""))</f>
        <v/>
      </c>
      <c r="H218" s="32">
        <f>IF(210&lt;=Guests!$AG$505,MATCH(210,Guests!$AH:$AH,0),"")</f>
        <v/>
      </c>
      <c r="I218" s="32">
        <f>IF(AND(210&gt;Guests!$AG$505,210&lt;=Guests!$AG$505+'Form Calc'!$AB$601),MATCH(210-Guests!$AG$505,'Form Calc'!$AC:$AC,0),"")</f>
        <v/>
      </c>
    </row>
    <row r="219">
      <c r="A219" s="66">
        <f>IF($H219&lt;&gt;"",INDEX(Guests!$A:$A,$H219)&amp;"",IF($I219&lt;&gt;"",INDEX('Form Calc'!$B:$B,$I219)&amp;"",""))</f>
        <v/>
      </c>
      <c r="B219" s="67">
        <f>IF($H219&lt;&gt;"",INDEX(Guests!$B:$B,$H219)&amp;"",IF($I219&lt;&gt;"",INDEX('Form Calc'!$G:$G,$I219)&amp;"",""))</f>
        <v/>
      </c>
      <c r="C219" s="68">
        <f>IF($H219&lt;&gt;"",IF(INDEX(Guests!$AD:$AD,$H219)&lt;&gt;"",HYPERLINK(INDEX(Guests!$AD:$AD,$H219),"💬 Remind"),"add mobile"),IF($I219&lt;&gt;"",IF(INDEX('Form Calc'!$AG:$AG,$I219)&lt;&gt;"",HYPERLINK(INDEX('Form Calc'!$AG:$AG,$I219),"💬 Remind"),"add mobile"),""))</f>
        <v/>
      </c>
      <c r="D219" s="67">
        <f>IF($H219&lt;&gt;"",INDEX(Guests!$Y:$Y,$H219)&amp;"",IF($I219&lt;&gt;"",INDEX('Form Calc'!$C:$C,$I219)&amp;"",""))</f>
        <v/>
      </c>
      <c r="E219" s="69">
        <f>IF($H219&lt;&gt;"",IF(INDEX(Guests!$N:$N,$H219)="","",INDEX(Guests!$N:$N,$H219)),"")</f>
        <v/>
      </c>
      <c r="F219" s="67">
        <f>IF($H219&lt;&gt;"",INDEX(Guests!$E:$E,$H219)&amp;"","")</f>
        <v/>
      </c>
      <c r="G219" s="67">
        <f>IF($H219&lt;&gt;"","Guest list",IF($I219&lt;&gt;"","RSVP form",""))</f>
        <v/>
      </c>
      <c r="H219" s="32">
        <f>IF(211&lt;=Guests!$AG$505,MATCH(211,Guests!$AH:$AH,0),"")</f>
        <v/>
      </c>
      <c r="I219" s="32">
        <f>IF(AND(211&gt;Guests!$AG$505,211&lt;=Guests!$AG$505+'Form Calc'!$AB$601),MATCH(211-Guests!$AG$505,'Form Calc'!$AC:$AC,0),"")</f>
        <v/>
      </c>
    </row>
    <row r="220">
      <c r="A220" s="66">
        <f>IF($H220&lt;&gt;"",INDEX(Guests!$A:$A,$H220)&amp;"",IF($I220&lt;&gt;"",INDEX('Form Calc'!$B:$B,$I220)&amp;"",""))</f>
        <v/>
      </c>
      <c r="B220" s="67">
        <f>IF($H220&lt;&gt;"",INDEX(Guests!$B:$B,$H220)&amp;"",IF($I220&lt;&gt;"",INDEX('Form Calc'!$G:$G,$I220)&amp;"",""))</f>
        <v/>
      </c>
      <c r="C220" s="68">
        <f>IF($H220&lt;&gt;"",IF(INDEX(Guests!$AD:$AD,$H220)&lt;&gt;"",HYPERLINK(INDEX(Guests!$AD:$AD,$H220),"💬 Remind"),"add mobile"),IF($I220&lt;&gt;"",IF(INDEX('Form Calc'!$AG:$AG,$I220)&lt;&gt;"",HYPERLINK(INDEX('Form Calc'!$AG:$AG,$I220),"💬 Remind"),"add mobile"),""))</f>
        <v/>
      </c>
      <c r="D220" s="67">
        <f>IF($H220&lt;&gt;"",INDEX(Guests!$Y:$Y,$H220)&amp;"",IF($I220&lt;&gt;"",INDEX('Form Calc'!$C:$C,$I220)&amp;"",""))</f>
        <v/>
      </c>
      <c r="E220" s="69">
        <f>IF($H220&lt;&gt;"",IF(INDEX(Guests!$N:$N,$H220)="","",INDEX(Guests!$N:$N,$H220)),"")</f>
        <v/>
      </c>
      <c r="F220" s="67">
        <f>IF($H220&lt;&gt;"",INDEX(Guests!$E:$E,$H220)&amp;"","")</f>
        <v/>
      </c>
      <c r="G220" s="67">
        <f>IF($H220&lt;&gt;"","Guest list",IF($I220&lt;&gt;"","RSVP form",""))</f>
        <v/>
      </c>
      <c r="H220" s="32">
        <f>IF(212&lt;=Guests!$AG$505,MATCH(212,Guests!$AH:$AH,0),"")</f>
        <v/>
      </c>
      <c r="I220" s="32">
        <f>IF(AND(212&gt;Guests!$AG$505,212&lt;=Guests!$AG$505+'Form Calc'!$AB$601),MATCH(212-Guests!$AG$505,'Form Calc'!$AC:$AC,0),"")</f>
        <v/>
      </c>
    </row>
    <row r="221">
      <c r="A221" s="66">
        <f>IF($H221&lt;&gt;"",INDEX(Guests!$A:$A,$H221)&amp;"",IF($I221&lt;&gt;"",INDEX('Form Calc'!$B:$B,$I221)&amp;"",""))</f>
        <v/>
      </c>
      <c r="B221" s="67">
        <f>IF($H221&lt;&gt;"",INDEX(Guests!$B:$B,$H221)&amp;"",IF($I221&lt;&gt;"",INDEX('Form Calc'!$G:$G,$I221)&amp;"",""))</f>
        <v/>
      </c>
      <c r="C221" s="68">
        <f>IF($H221&lt;&gt;"",IF(INDEX(Guests!$AD:$AD,$H221)&lt;&gt;"",HYPERLINK(INDEX(Guests!$AD:$AD,$H221),"💬 Remind"),"add mobile"),IF($I221&lt;&gt;"",IF(INDEX('Form Calc'!$AG:$AG,$I221)&lt;&gt;"",HYPERLINK(INDEX('Form Calc'!$AG:$AG,$I221),"💬 Remind"),"add mobile"),""))</f>
        <v/>
      </c>
      <c r="D221" s="67">
        <f>IF($H221&lt;&gt;"",INDEX(Guests!$Y:$Y,$H221)&amp;"",IF($I221&lt;&gt;"",INDEX('Form Calc'!$C:$C,$I221)&amp;"",""))</f>
        <v/>
      </c>
      <c r="E221" s="69">
        <f>IF($H221&lt;&gt;"",IF(INDEX(Guests!$N:$N,$H221)="","",INDEX(Guests!$N:$N,$H221)),"")</f>
        <v/>
      </c>
      <c r="F221" s="67">
        <f>IF($H221&lt;&gt;"",INDEX(Guests!$E:$E,$H221)&amp;"","")</f>
        <v/>
      </c>
      <c r="G221" s="67">
        <f>IF($H221&lt;&gt;"","Guest list",IF($I221&lt;&gt;"","RSVP form",""))</f>
        <v/>
      </c>
      <c r="H221" s="32">
        <f>IF(213&lt;=Guests!$AG$505,MATCH(213,Guests!$AH:$AH,0),"")</f>
        <v/>
      </c>
      <c r="I221" s="32">
        <f>IF(AND(213&gt;Guests!$AG$505,213&lt;=Guests!$AG$505+'Form Calc'!$AB$601),MATCH(213-Guests!$AG$505,'Form Calc'!$AC:$AC,0),"")</f>
        <v/>
      </c>
    </row>
    <row r="222">
      <c r="A222" s="66">
        <f>IF($H222&lt;&gt;"",INDEX(Guests!$A:$A,$H222)&amp;"",IF($I222&lt;&gt;"",INDEX('Form Calc'!$B:$B,$I222)&amp;"",""))</f>
        <v/>
      </c>
      <c r="B222" s="67">
        <f>IF($H222&lt;&gt;"",INDEX(Guests!$B:$B,$H222)&amp;"",IF($I222&lt;&gt;"",INDEX('Form Calc'!$G:$G,$I222)&amp;"",""))</f>
        <v/>
      </c>
      <c r="C222" s="68">
        <f>IF($H222&lt;&gt;"",IF(INDEX(Guests!$AD:$AD,$H222)&lt;&gt;"",HYPERLINK(INDEX(Guests!$AD:$AD,$H222),"💬 Remind"),"add mobile"),IF($I222&lt;&gt;"",IF(INDEX('Form Calc'!$AG:$AG,$I222)&lt;&gt;"",HYPERLINK(INDEX('Form Calc'!$AG:$AG,$I222),"💬 Remind"),"add mobile"),""))</f>
        <v/>
      </c>
      <c r="D222" s="67">
        <f>IF($H222&lt;&gt;"",INDEX(Guests!$Y:$Y,$H222)&amp;"",IF($I222&lt;&gt;"",INDEX('Form Calc'!$C:$C,$I222)&amp;"",""))</f>
        <v/>
      </c>
      <c r="E222" s="69">
        <f>IF($H222&lt;&gt;"",IF(INDEX(Guests!$N:$N,$H222)="","",INDEX(Guests!$N:$N,$H222)),"")</f>
        <v/>
      </c>
      <c r="F222" s="67">
        <f>IF($H222&lt;&gt;"",INDEX(Guests!$E:$E,$H222)&amp;"","")</f>
        <v/>
      </c>
      <c r="G222" s="67">
        <f>IF($H222&lt;&gt;"","Guest list",IF($I222&lt;&gt;"","RSVP form",""))</f>
        <v/>
      </c>
      <c r="H222" s="32">
        <f>IF(214&lt;=Guests!$AG$505,MATCH(214,Guests!$AH:$AH,0),"")</f>
        <v/>
      </c>
      <c r="I222" s="32">
        <f>IF(AND(214&gt;Guests!$AG$505,214&lt;=Guests!$AG$505+'Form Calc'!$AB$601),MATCH(214-Guests!$AG$505,'Form Calc'!$AC:$AC,0),"")</f>
        <v/>
      </c>
    </row>
    <row r="223">
      <c r="A223" s="66">
        <f>IF($H223&lt;&gt;"",INDEX(Guests!$A:$A,$H223)&amp;"",IF($I223&lt;&gt;"",INDEX('Form Calc'!$B:$B,$I223)&amp;"",""))</f>
        <v/>
      </c>
      <c r="B223" s="67">
        <f>IF($H223&lt;&gt;"",INDEX(Guests!$B:$B,$H223)&amp;"",IF($I223&lt;&gt;"",INDEX('Form Calc'!$G:$G,$I223)&amp;"",""))</f>
        <v/>
      </c>
      <c r="C223" s="68">
        <f>IF($H223&lt;&gt;"",IF(INDEX(Guests!$AD:$AD,$H223)&lt;&gt;"",HYPERLINK(INDEX(Guests!$AD:$AD,$H223),"💬 Remind"),"add mobile"),IF($I223&lt;&gt;"",IF(INDEX('Form Calc'!$AG:$AG,$I223)&lt;&gt;"",HYPERLINK(INDEX('Form Calc'!$AG:$AG,$I223),"💬 Remind"),"add mobile"),""))</f>
        <v/>
      </c>
      <c r="D223" s="67">
        <f>IF($H223&lt;&gt;"",INDEX(Guests!$Y:$Y,$H223)&amp;"",IF($I223&lt;&gt;"",INDEX('Form Calc'!$C:$C,$I223)&amp;"",""))</f>
        <v/>
      </c>
      <c r="E223" s="69">
        <f>IF($H223&lt;&gt;"",IF(INDEX(Guests!$N:$N,$H223)="","",INDEX(Guests!$N:$N,$H223)),"")</f>
        <v/>
      </c>
      <c r="F223" s="67">
        <f>IF($H223&lt;&gt;"",INDEX(Guests!$E:$E,$H223)&amp;"","")</f>
        <v/>
      </c>
      <c r="G223" s="67">
        <f>IF($H223&lt;&gt;"","Guest list",IF($I223&lt;&gt;"","RSVP form",""))</f>
        <v/>
      </c>
      <c r="H223" s="32">
        <f>IF(215&lt;=Guests!$AG$505,MATCH(215,Guests!$AH:$AH,0),"")</f>
        <v/>
      </c>
      <c r="I223" s="32">
        <f>IF(AND(215&gt;Guests!$AG$505,215&lt;=Guests!$AG$505+'Form Calc'!$AB$601),MATCH(215-Guests!$AG$505,'Form Calc'!$AC:$AC,0),"")</f>
        <v/>
      </c>
    </row>
    <row r="224">
      <c r="A224" s="66">
        <f>IF($H224&lt;&gt;"",INDEX(Guests!$A:$A,$H224)&amp;"",IF($I224&lt;&gt;"",INDEX('Form Calc'!$B:$B,$I224)&amp;"",""))</f>
        <v/>
      </c>
      <c r="B224" s="67">
        <f>IF($H224&lt;&gt;"",INDEX(Guests!$B:$B,$H224)&amp;"",IF($I224&lt;&gt;"",INDEX('Form Calc'!$G:$G,$I224)&amp;"",""))</f>
        <v/>
      </c>
      <c r="C224" s="68">
        <f>IF($H224&lt;&gt;"",IF(INDEX(Guests!$AD:$AD,$H224)&lt;&gt;"",HYPERLINK(INDEX(Guests!$AD:$AD,$H224),"💬 Remind"),"add mobile"),IF($I224&lt;&gt;"",IF(INDEX('Form Calc'!$AG:$AG,$I224)&lt;&gt;"",HYPERLINK(INDEX('Form Calc'!$AG:$AG,$I224),"💬 Remind"),"add mobile"),""))</f>
        <v/>
      </c>
      <c r="D224" s="67">
        <f>IF($H224&lt;&gt;"",INDEX(Guests!$Y:$Y,$H224)&amp;"",IF($I224&lt;&gt;"",INDEX('Form Calc'!$C:$C,$I224)&amp;"",""))</f>
        <v/>
      </c>
      <c r="E224" s="69">
        <f>IF($H224&lt;&gt;"",IF(INDEX(Guests!$N:$N,$H224)="","",INDEX(Guests!$N:$N,$H224)),"")</f>
        <v/>
      </c>
      <c r="F224" s="67">
        <f>IF($H224&lt;&gt;"",INDEX(Guests!$E:$E,$H224)&amp;"","")</f>
        <v/>
      </c>
      <c r="G224" s="67">
        <f>IF($H224&lt;&gt;"","Guest list",IF($I224&lt;&gt;"","RSVP form",""))</f>
        <v/>
      </c>
      <c r="H224" s="32">
        <f>IF(216&lt;=Guests!$AG$505,MATCH(216,Guests!$AH:$AH,0),"")</f>
        <v/>
      </c>
      <c r="I224" s="32">
        <f>IF(AND(216&gt;Guests!$AG$505,216&lt;=Guests!$AG$505+'Form Calc'!$AB$601),MATCH(216-Guests!$AG$505,'Form Calc'!$AC:$AC,0),"")</f>
        <v/>
      </c>
    </row>
    <row r="225">
      <c r="A225" s="66">
        <f>IF($H225&lt;&gt;"",INDEX(Guests!$A:$A,$H225)&amp;"",IF($I225&lt;&gt;"",INDEX('Form Calc'!$B:$B,$I225)&amp;"",""))</f>
        <v/>
      </c>
      <c r="B225" s="67">
        <f>IF($H225&lt;&gt;"",INDEX(Guests!$B:$B,$H225)&amp;"",IF($I225&lt;&gt;"",INDEX('Form Calc'!$G:$G,$I225)&amp;"",""))</f>
        <v/>
      </c>
      <c r="C225" s="68">
        <f>IF($H225&lt;&gt;"",IF(INDEX(Guests!$AD:$AD,$H225)&lt;&gt;"",HYPERLINK(INDEX(Guests!$AD:$AD,$H225),"💬 Remind"),"add mobile"),IF($I225&lt;&gt;"",IF(INDEX('Form Calc'!$AG:$AG,$I225)&lt;&gt;"",HYPERLINK(INDEX('Form Calc'!$AG:$AG,$I225),"💬 Remind"),"add mobile"),""))</f>
        <v/>
      </c>
      <c r="D225" s="67">
        <f>IF($H225&lt;&gt;"",INDEX(Guests!$Y:$Y,$H225)&amp;"",IF($I225&lt;&gt;"",INDEX('Form Calc'!$C:$C,$I225)&amp;"",""))</f>
        <v/>
      </c>
      <c r="E225" s="69">
        <f>IF($H225&lt;&gt;"",IF(INDEX(Guests!$N:$N,$H225)="","",INDEX(Guests!$N:$N,$H225)),"")</f>
        <v/>
      </c>
      <c r="F225" s="67">
        <f>IF($H225&lt;&gt;"",INDEX(Guests!$E:$E,$H225)&amp;"","")</f>
        <v/>
      </c>
      <c r="G225" s="67">
        <f>IF($H225&lt;&gt;"","Guest list",IF($I225&lt;&gt;"","RSVP form",""))</f>
        <v/>
      </c>
      <c r="H225" s="32">
        <f>IF(217&lt;=Guests!$AG$505,MATCH(217,Guests!$AH:$AH,0),"")</f>
        <v/>
      </c>
      <c r="I225" s="32">
        <f>IF(AND(217&gt;Guests!$AG$505,217&lt;=Guests!$AG$505+'Form Calc'!$AB$601),MATCH(217-Guests!$AG$505,'Form Calc'!$AC:$AC,0),"")</f>
        <v/>
      </c>
    </row>
    <row r="226">
      <c r="A226" s="66">
        <f>IF($H226&lt;&gt;"",INDEX(Guests!$A:$A,$H226)&amp;"",IF($I226&lt;&gt;"",INDEX('Form Calc'!$B:$B,$I226)&amp;"",""))</f>
        <v/>
      </c>
      <c r="B226" s="67">
        <f>IF($H226&lt;&gt;"",INDEX(Guests!$B:$B,$H226)&amp;"",IF($I226&lt;&gt;"",INDEX('Form Calc'!$G:$G,$I226)&amp;"",""))</f>
        <v/>
      </c>
      <c r="C226" s="68">
        <f>IF($H226&lt;&gt;"",IF(INDEX(Guests!$AD:$AD,$H226)&lt;&gt;"",HYPERLINK(INDEX(Guests!$AD:$AD,$H226),"💬 Remind"),"add mobile"),IF($I226&lt;&gt;"",IF(INDEX('Form Calc'!$AG:$AG,$I226)&lt;&gt;"",HYPERLINK(INDEX('Form Calc'!$AG:$AG,$I226),"💬 Remind"),"add mobile"),""))</f>
        <v/>
      </c>
      <c r="D226" s="67">
        <f>IF($H226&lt;&gt;"",INDEX(Guests!$Y:$Y,$H226)&amp;"",IF($I226&lt;&gt;"",INDEX('Form Calc'!$C:$C,$I226)&amp;"",""))</f>
        <v/>
      </c>
      <c r="E226" s="69">
        <f>IF($H226&lt;&gt;"",IF(INDEX(Guests!$N:$N,$H226)="","",INDEX(Guests!$N:$N,$H226)),"")</f>
        <v/>
      </c>
      <c r="F226" s="67">
        <f>IF($H226&lt;&gt;"",INDEX(Guests!$E:$E,$H226)&amp;"","")</f>
        <v/>
      </c>
      <c r="G226" s="67">
        <f>IF($H226&lt;&gt;"","Guest list",IF($I226&lt;&gt;"","RSVP form",""))</f>
        <v/>
      </c>
      <c r="H226" s="32">
        <f>IF(218&lt;=Guests!$AG$505,MATCH(218,Guests!$AH:$AH,0),"")</f>
        <v/>
      </c>
      <c r="I226" s="32">
        <f>IF(AND(218&gt;Guests!$AG$505,218&lt;=Guests!$AG$505+'Form Calc'!$AB$601),MATCH(218-Guests!$AG$505,'Form Calc'!$AC:$AC,0),"")</f>
        <v/>
      </c>
    </row>
    <row r="227">
      <c r="A227" s="66">
        <f>IF($H227&lt;&gt;"",INDEX(Guests!$A:$A,$H227)&amp;"",IF($I227&lt;&gt;"",INDEX('Form Calc'!$B:$B,$I227)&amp;"",""))</f>
        <v/>
      </c>
      <c r="B227" s="67">
        <f>IF($H227&lt;&gt;"",INDEX(Guests!$B:$B,$H227)&amp;"",IF($I227&lt;&gt;"",INDEX('Form Calc'!$G:$G,$I227)&amp;"",""))</f>
        <v/>
      </c>
      <c r="C227" s="68">
        <f>IF($H227&lt;&gt;"",IF(INDEX(Guests!$AD:$AD,$H227)&lt;&gt;"",HYPERLINK(INDEX(Guests!$AD:$AD,$H227),"💬 Remind"),"add mobile"),IF($I227&lt;&gt;"",IF(INDEX('Form Calc'!$AG:$AG,$I227)&lt;&gt;"",HYPERLINK(INDEX('Form Calc'!$AG:$AG,$I227),"💬 Remind"),"add mobile"),""))</f>
        <v/>
      </c>
      <c r="D227" s="67">
        <f>IF($H227&lt;&gt;"",INDEX(Guests!$Y:$Y,$H227)&amp;"",IF($I227&lt;&gt;"",INDEX('Form Calc'!$C:$C,$I227)&amp;"",""))</f>
        <v/>
      </c>
      <c r="E227" s="69">
        <f>IF($H227&lt;&gt;"",IF(INDEX(Guests!$N:$N,$H227)="","",INDEX(Guests!$N:$N,$H227)),"")</f>
        <v/>
      </c>
      <c r="F227" s="67">
        <f>IF($H227&lt;&gt;"",INDEX(Guests!$E:$E,$H227)&amp;"","")</f>
        <v/>
      </c>
      <c r="G227" s="67">
        <f>IF($H227&lt;&gt;"","Guest list",IF($I227&lt;&gt;"","RSVP form",""))</f>
        <v/>
      </c>
      <c r="H227" s="32">
        <f>IF(219&lt;=Guests!$AG$505,MATCH(219,Guests!$AH:$AH,0),"")</f>
        <v/>
      </c>
      <c r="I227" s="32">
        <f>IF(AND(219&gt;Guests!$AG$505,219&lt;=Guests!$AG$505+'Form Calc'!$AB$601),MATCH(219-Guests!$AG$505,'Form Calc'!$AC:$AC,0),"")</f>
        <v/>
      </c>
    </row>
    <row r="228">
      <c r="A228" s="66">
        <f>IF($H228&lt;&gt;"",INDEX(Guests!$A:$A,$H228)&amp;"",IF($I228&lt;&gt;"",INDEX('Form Calc'!$B:$B,$I228)&amp;"",""))</f>
        <v/>
      </c>
      <c r="B228" s="67">
        <f>IF($H228&lt;&gt;"",INDEX(Guests!$B:$B,$H228)&amp;"",IF($I228&lt;&gt;"",INDEX('Form Calc'!$G:$G,$I228)&amp;"",""))</f>
        <v/>
      </c>
      <c r="C228" s="68">
        <f>IF($H228&lt;&gt;"",IF(INDEX(Guests!$AD:$AD,$H228)&lt;&gt;"",HYPERLINK(INDEX(Guests!$AD:$AD,$H228),"💬 Remind"),"add mobile"),IF($I228&lt;&gt;"",IF(INDEX('Form Calc'!$AG:$AG,$I228)&lt;&gt;"",HYPERLINK(INDEX('Form Calc'!$AG:$AG,$I228),"💬 Remind"),"add mobile"),""))</f>
        <v/>
      </c>
      <c r="D228" s="67">
        <f>IF($H228&lt;&gt;"",INDEX(Guests!$Y:$Y,$H228)&amp;"",IF($I228&lt;&gt;"",INDEX('Form Calc'!$C:$C,$I228)&amp;"",""))</f>
        <v/>
      </c>
      <c r="E228" s="69">
        <f>IF($H228&lt;&gt;"",IF(INDEX(Guests!$N:$N,$H228)="","",INDEX(Guests!$N:$N,$H228)),"")</f>
        <v/>
      </c>
      <c r="F228" s="67">
        <f>IF($H228&lt;&gt;"",INDEX(Guests!$E:$E,$H228)&amp;"","")</f>
        <v/>
      </c>
      <c r="G228" s="67">
        <f>IF($H228&lt;&gt;"","Guest list",IF($I228&lt;&gt;"","RSVP form",""))</f>
        <v/>
      </c>
      <c r="H228" s="32">
        <f>IF(220&lt;=Guests!$AG$505,MATCH(220,Guests!$AH:$AH,0),"")</f>
        <v/>
      </c>
      <c r="I228" s="32">
        <f>IF(AND(220&gt;Guests!$AG$505,220&lt;=Guests!$AG$505+'Form Calc'!$AB$601),MATCH(220-Guests!$AG$505,'Form Calc'!$AC:$AC,0),"")</f>
        <v/>
      </c>
    </row>
    <row r="229">
      <c r="A229" s="66">
        <f>IF($H229&lt;&gt;"",INDEX(Guests!$A:$A,$H229)&amp;"",IF($I229&lt;&gt;"",INDEX('Form Calc'!$B:$B,$I229)&amp;"",""))</f>
        <v/>
      </c>
      <c r="B229" s="67">
        <f>IF($H229&lt;&gt;"",INDEX(Guests!$B:$B,$H229)&amp;"",IF($I229&lt;&gt;"",INDEX('Form Calc'!$G:$G,$I229)&amp;"",""))</f>
        <v/>
      </c>
      <c r="C229" s="68">
        <f>IF($H229&lt;&gt;"",IF(INDEX(Guests!$AD:$AD,$H229)&lt;&gt;"",HYPERLINK(INDEX(Guests!$AD:$AD,$H229),"💬 Remind"),"add mobile"),IF($I229&lt;&gt;"",IF(INDEX('Form Calc'!$AG:$AG,$I229)&lt;&gt;"",HYPERLINK(INDEX('Form Calc'!$AG:$AG,$I229),"💬 Remind"),"add mobile"),""))</f>
        <v/>
      </c>
      <c r="D229" s="67">
        <f>IF($H229&lt;&gt;"",INDEX(Guests!$Y:$Y,$H229)&amp;"",IF($I229&lt;&gt;"",INDEX('Form Calc'!$C:$C,$I229)&amp;"",""))</f>
        <v/>
      </c>
      <c r="E229" s="69">
        <f>IF($H229&lt;&gt;"",IF(INDEX(Guests!$N:$N,$H229)="","",INDEX(Guests!$N:$N,$H229)),"")</f>
        <v/>
      </c>
      <c r="F229" s="67">
        <f>IF($H229&lt;&gt;"",INDEX(Guests!$E:$E,$H229)&amp;"","")</f>
        <v/>
      </c>
      <c r="G229" s="67">
        <f>IF($H229&lt;&gt;"","Guest list",IF($I229&lt;&gt;"","RSVP form",""))</f>
        <v/>
      </c>
      <c r="H229" s="32">
        <f>IF(221&lt;=Guests!$AG$505,MATCH(221,Guests!$AH:$AH,0),"")</f>
        <v/>
      </c>
      <c r="I229" s="32">
        <f>IF(AND(221&gt;Guests!$AG$505,221&lt;=Guests!$AG$505+'Form Calc'!$AB$601),MATCH(221-Guests!$AG$505,'Form Calc'!$AC:$AC,0),"")</f>
        <v/>
      </c>
    </row>
    <row r="230">
      <c r="A230" s="66">
        <f>IF($H230&lt;&gt;"",INDEX(Guests!$A:$A,$H230)&amp;"",IF($I230&lt;&gt;"",INDEX('Form Calc'!$B:$B,$I230)&amp;"",""))</f>
        <v/>
      </c>
      <c r="B230" s="67">
        <f>IF($H230&lt;&gt;"",INDEX(Guests!$B:$B,$H230)&amp;"",IF($I230&lt;&gt;"",INDEX('Form Calc'!$G:$G,$I230)&amp;"",""))</f>
        <v/>
      </c>
      <c r="C230" s="68">
        <f>IF($H230&lt;&gt;"",IF(INDEX(Guests!$AD:$AD,$H230)&lt;&gt;"",HYPERLINK(INDEX(Guests!$AD:$AD,$H230),"💬 Remind"),"add mobile"),IF($I230&lt;&gt;"",IF(INDEX('Form Calc'!$AG:$AG,$I230)&lt;&gt;"",HYPERLINK(INDEX('Form Calc'!$AG:$AG,$I230),"💬 Remind"),"add mobile"),""))</f>
        <v/>
      </c>
      <c r="D230" s="67">
        <f>IF($H230&lt;&gt;"",INDEX(Guests!$Y:$Y,$H230)&amp;"",IF($I230&lt;&gt;"",INDEX('Form Calc'!$C:$C,$I230)&amp;"",""))</f>
        <v/>
      </c>
      <c r="E230" s="69">
        <f>IF($H230&lt;&gt;"",IF(INDEX(Guests!$N:$N,$H230)="","",INDEX(Guests!$N:$N,$H230)),"")</f>
        <v/>
      </c>
      <c r="F230" s="67">
        <f>IF($H230&lt;&gt;"",INDEX(Guests!$E:$E,$H230)&amp;"","")</f>
        <v/>
      </c>
      <c r="G230" s="67">
        <f>IF($H230&lt;&gt;"","Guest list",IF($I230&lt;&gt;"","RSVP form",""))</f>
        <v/>
      </c>
      <c r="H230" s="32">
        <f>IF(222&lt;=Guests!$AG$505,MATCH(222,Guests!$AH:$AH,0),"")</f>
        <v/>
      </c>
      <c r="I230" s="32">
        <f>IF(AND(222&gt;Guests!$AG$505,222&lt;=Guests!$AG$505+'Form Calc'!$AB$601),MATCH(222-Guests!$AG$505,'Form Calc'!$AC:$AC,0),"")</f>
        <v/>
      </c>
    </row>
    <row r="231">
      <c r="A231" s="66">
        <f>IF($H231&lt;&gt;"",INDEX(Guests!$A:$A,$H231)&amp;"",IF($I231&lt;&gt;"",INDEX('Form Calc'!$B:$B,$I231)&amp;"",""))</f>
        <v/>
      </c>
      <c r="B231" s="67">
        <f>IF($H231&lt;&gt;"",INDEX(Guests!$B:$B,$H231)&amp;"",IF($I231&lt;&gt;"",INDEX('Form Calc'!$G:$G,$I231)&amp;"",""))</f>
        <v/>
      </c>
      <c r="C231" s="68">
        <f>IF($H231&lt;&gt;"",IF(INDEX(Guests!$AD:$AD,$H231)&lt;&gt;"",HYPERLINK(INDEX(Guests!$AD:$AD,$H231),"💬 Remind"),"add mobile"),IF($I231&lt;&gt;"",IF(INDEX('Form Calc'!$AG:$AG,$I231)&lt;&gt;"",HYPERLINK(INDEX('Form Calc'!$AG:$AG,$I231),"💬 Remind"),"add mobile"),""))</f>
        <v/>
      </c>
      <c r="D231" s="67">
        <f>IF($H231&lt;&gt;"",INDEX(Guests!$Y:$Y,$H231)&amp;"",IF($I231&lt;&gt;"",INDEX('Form Calc'!$C:$C,$I231)&amp;"",""))</f>
        <v/>
      </c>
      <c r="E231" s="69">
        <f>IF($H231&lt;&gt;"",IF(INDEX(Guests!$N:$N,$H231)="","",INDEX(Guests!$N:$N,$H231)),"")</f>
        <v/>
      </c>
      <c r="F231" s="67">
        <f>IF($H231&lt;&gt;"",INDEX(Guests!$E:$E,$H231)&amp;"","")</f>
        <v/>
      </c>
      <c r="G231" s="67">
        <f>IF($H231&lt;&gt;"","Guest list",IF($I231&lt;&gt;"","RSVP form",""))</f>
        <v/>
      </c>
      <c r="H231" s="32">
        <f>IF(223&lt;=Guests!$AG$505,MATCH(223,Guests!$AH:$AH,0),"")</f>
        <v/>
      </c>
      <c r="I231" s="32">
        <f>IF(AND(223&gt;Guests!$AG$505,223&lt;=Guests!$AG$505+'Form Calc'!$AB$601),MATCH(223-Guests!$AG$505,'Form Calc'!$AC:$AC,0),"")</f>
        <v/>
      </c>
    </row>
    <row r="232">
      <c r="A232" s="66">
        <f>IF($H232&lt;&gt;"",INDEX(Guests!$A:$A,$H232)&amp;"",IF($I232&lt;&gt;"",INDEX('Form Calc'!$B:$B,$I232)&amp;"",""))</f>
        <v/>
      </c>
      <c r="B232" s="67">
        <f>IF($H232&lt;&gt;"",INDEX(Guests!$B:$B,$H232)&amp;"",IF($I232&lt;&gt;"",INDEX('Form Calc'!$G:$G,$I232)&amp;"",""))</f>
        <v/>
      </c>
      <c r="C232" s="68">
        <f>IF($H232&lt;&gt;"",IF(INDEX(Guests!$AD:$AD,$H232)&lt;&gt;"",HYPERLINK(INDEX(Guests!$AD:$AD,$H232),"💬 Remind"),"add mobile"),IF($I232&lt;&gt;"",IF(INDEX('Form Calc'!$AG:$AG,$I232)&lt;&gt;"",HYPERLINK(INDEX('Form Calc'!$AG:$AG,$I232),"💬 Remind"),"add mobile"),""))</f>
        <v/>
      </c>
      <c r="D232" s="67">
        <f>IF($H232&lt;&gt;"",INDEX(Guests!$Y:$Y,$H232)&amp;"",IF($I232&lt;&gt;"",INDEX('Form Calc'!$C:$C,$I232)&amp;"",""))</f>
        <v/>
      </c>
      <c r="E232" s="69">
        <f>IF($H232&lt;&gt;"",IF(INDEX(Guests!$N:$N,$H232)="","",INDEX(Guests!$N:$N,$H232)),"")</f>
        <v/>
      </c>
      <c r="F232" s="67">
        <f>IF($H232&lt;&gt;"",INDEX(Guests!$E:$E,$H232)&amp;"","")</f>
        <v/>
      </c>
      <c r="G232" s="67">
        <f>IF($H232&lt;&gt;"","Guest list",IF($I232&lt;&gt;"","RSVP form",""))</f>
        <v/>
      </c>
      <c r="H232" s="32">
        <f>IF(224&lt;=Guests!$AG$505,MATCH(224,Guests!$AH:$AH,0),"")</f>
        <v/>
      </c>
      <c r="I232" s="32">
        <f>IF(AND(224&gt;Guests!$AG$505,224&lt;=Guests!$AG$505+'Form Calc'!$AB$601),MATCH(224-Guests!$AG$505,'Form Calc'!$AC:$AC,0),"")</f>
        <v/>
      </c>
    </row>
    <row r="233">
      <c r="A233" s="66">
        <f>IF($H233&lt;&gt;"",INDEX(Guests!$A:$A,$H233)&amp;"",IF($I233&lt;&gt;"",INDEX('Form Calc'!$B:$B,$I233)&amp;"",""))</f>
        <v/>
      </c>
      <c r="B233" s="67">
        <f>IF($H233&lt;&gt;"",INDEX(Guests!$B:$B,$H233)&amp;"",IF($I233&lt;&gt;"",INDEX('Form Calc'!$G:$G,$I233)&amp;"",""))</f>
        <v/>
      </c>
      <c r="C233" s="68">
        <f>IF($H233&lt;&gt;"",IF(INDEX(Guests!$AD:$AD,$H233)&lt;&gt;"",HYPERLINK(INDEX(Guests!$AD:$AD,$H233),"💬 Remind"),"add mobile"),IF($I233&lt;&gt;"",IF(INDEX('Form Calc'!$AG:$AG,$I233)&lt;&gt;"",HYPERLINK(INDEX('Form Calc'!$AG:$AG,$I233),"💬 Remind"),"add mobile"),""))</f>
        <v/>
      </c>
      <c r="D233" s="67">
        <f>IF($H233&lt;&gt;"",INDEX(Guests!$Y:$Y,$H233)&amp;"",IF($I233&lt;&gt;"",INDEX('Form Calc'!$C:$C,$I233)&amp;"",""))</f>
        <v/>
      </c>
      <c r="E233" s="69">
        <f>IF($H233&lt;&gt;"",IF(INDEX(Guests!$N:$N,$H233)="","",INDEX(Guests!$N:$N,$H233)),"")</f>
        <v/>
      </c>
      <c r="F233" s="67">
        <f>IF($H233&lt;&gt;"",INDEX(Guests!$E:$E,$H233)&amp;"","")</f>
        <v/>
      </c>
      <c r="G233" s="67">
        <f>IF($H233&lt;&gt;"","Guest list",IF($I233&lt;&gt;"","RSVP form",""))</f>
        <v/>
      </c>
      <c r="H233" s="32">
        <f>IF(225&lt;=Guests!$AG$505,MATCH(225,Guests!$AH:$AH,0),"")</f>
        <v/>
      </c>
      <c r="I233" s="32">
        <f>IF(AND(225&gt;Guests!$AG$505,225&lt;=Guests!$AG$505+'Form Calc'!$AB$601),MATCH(225-Guests!$AG$505,'Form Calc'!$AC:$AC,0),"")</f>
        <v/>
      </c>
    </row>
    <row r="234">
      <c r="A234" s="66">
        <f>IF($H234&lt;&gt;"",INDEX(Guests!$A:$A,$H234)&amp;"",IF($I234&lt;&gt;"",INDEX('Form Calc'!$B:$B,$I234)&amp;"",""))</f>
        <v/>
      </c>
      <c r="B234" s="67">
        <f>IF($H234&lt;&gt;"",INDEX(Guests!$B:$B,$H234)&amp;"",IF($I234&lt;&gt;"",INDEX('Form Calc'!$G:$G,$I234)&amp;"",""))</f>
        <v/>
      </c>
      <c r="C234" s="68">
        <f>IF($H234&lt;&gt;"",IF(INDEX(Guests!$AD:$AD,$H234)&lt;&gt;"",HYPERLINK(INDEX(Guests!$AD:$AD,$H234),"💬 Remind"),"add mobile"),IF($I234&lt;&gt;"",IF(INDEX('Form Calc'!$AG:$AG,$I234)&lt;&gt;"",HYPERLINK(INDEX('Form Calc'!$AG:$AG,$I234),"💬 Remind"),"add mobile"),""))</f>
        <v/>
      </c>
      <c r="D234" s="67">
        <f>IF($H234&lt;&gt;"",INDEX(Guests!$Y:$Y,$H234)&amp;"",IF($I234&lt;&gt;"",INDEX('Form Calc'!$C:$C,$I234)&amp;"",""))</f>
        <v/>
      </c>
      <c r="E234" s="69">
        <f>IF($H234&lt;&gt;"",IF(INDEX(Guests!$N:$N,$H234)="","",INDEX(Guests!$N:$N,$H234)),"")</f>
        <v/>
      </c>
      <c r="F234" s="67">
        <f>IF($H234&lt;&gt;"",INDEX(Guests!$E:$E,$H234)&amp;"","")</f>
        <v/>
      </c>
      <c r="G234" s="67">
        <f>IF($H234&lt;&gt;"","Guest list",IF($I234&lt;&gt;"","RSVP form",""))</f>
        <v/>
      </c>
      <c r="H234" s="32">
        <f>IF(226&lt;=Guests!$AG$505,MATCH(226,Guests!$AH:$AH,0),"")</f>
        <v/>
      </c>
      <c r="I234" s="32">
        <f>IF(AND(226&gt;Guests!$AG$505,226&lt;=Guests!$AG$505+'Form Calc'!$AB$601),MATCH(226-Guests!$AG$505,'Form Calc'!$AC:$AC,0),"")</f>
        <v/>
      </c>
    </row>
    <row r="235">
      <c r="A235" s="66">
        <f>IF($H235&lt;&gt;"",INDEX(Guests!$A:$A,$H235)&amp;"",IF($I235&lt;&gt;"",INDEX('Form Calc'!$B:$B,$I235)&amp;"",""))</f>
        <v/>
      </c>
      <c r="B235" s="67">
        <f>IF($H235&lt;&gt;"",INDEX(Guests!$B:$B,$H235)&amp;"",IF($I235&lt;&gt;"",INDEX('Form Calc'!$G:$G,$I235)&amp;"",""))</f>
        <v/>
      </c>
      <c r="C235" s="68">
        <f>IF($H235&lt;&gt;"",IF(INDEX(Guests!$AD:$AD,$H235)&lt;&gt;"",HYPERLINK(INDEX(Guests!$AD:$AD,$H235),"💬 Remind"),"add mobile"),IF($I235&lt;&gt;"",IF(INDEX('Form Calc'!$AG:$AG,$I235)&lt;&gt;"",HYPERLINK(INDEX('Form Calc'!$AG:$AG,$I235),"💬 Remind"),"add mobile"),""))</f>
        <v/>
      </c>
      <c r="D235" s="67">
        <f>IF($H235&lt;&gt;"",INDEX(Guests!$Y:$Y,$H235)&amp;"",IF($I235&lt;&gt;"",INDEX('Form Calc'!$C:$C,$I235)&amp;"",""))</f>
        <v/>
      </c>
      <c r="E235" s="69">
        <f>IF($H235&lt;&gt;"",IF(INDEX(Guests!$N:$N,$H235)="","",INDEX(Guests!$N:$N,$H235)),"")</f>
        <v/>
      </c>
      <c r="F235" s="67">
        <f>IF($H235&lt;&gt;"",INDEX(Guests!$E:$E,$H235)&amp;"","")</f>
        <v/>
      </c>
      <c r="G235" s="67">
        <f>IF($H235&lt;&gt;"","Guest list",IF($I235&lt;&gt;"","RSVP form",""))</f>
        <v/>
      </c>
      <c r="H235" s="32">
        <f>IF(227&lt;=Guests!$AG$505,MATCH(227,Guests!$AH:$AH,0),"")</f>
        <v/>
      </c>
      <c r="I235" s="32">
        <f>IF(AND(227&gt;Guests!$AG$505,227&lt;=Guests!$AG$505+'Form Calc'!$AB$601),MATCH(227-Guests!$AG$505,'Form Calc'!$AC:$AC,0),"")</f>
        <v/>
      </c>
    </row>
    <row r="236">
      <c r="A236" s="66">
        <f>IF($H236&lt;&gt;"",INDEX(Guests!$A:$A,$H236)&amp;"",IF($I236&lt;&gt;"",INDEX('Form Calc'!$B:$B,$I236)&amp;"",""))</f>
        <v/>
      </c>
      <c r="B236" s="67">
        <f>IF($H236&lt;&gt;"",INDEX(Guests!$B:$B,$H236)&amp;"",IF($I236&lt;&gt;"",INDEX('Form Calc'!$G:$G,$I236)&amp;"",""))</f>
        <v/>
      </c>
      <c r="C236" s="68">
        <f>IF($H236&lt;&gt;"",IF(INDEX(Guests!$AD:$AD,$H236)&lt;&gt;"",HYPERLINK(INDEX(Guests!$AD:$AD,$H236),"💬 Remind"),"add mobile"),IF($I236&lt;&gt;"",IF(INDEX('Form Calc'!$AG:$AG,$I236)&lt;&gt;"",HYPERLINK(INDEX('Form Calc'!$AG:$AG,$I236),"💬 Remind"),"add mobile"),""))</f>
        <v/>
      </c>
      <c r="D236" s="67">
        <f>IF($H236&lt;&gt;"",INDEX(Guests!$Y:$Y,$H236)&amp;"",IF($I236&lt;&gt;"",INDEX('Form Calc'!$C:$C,$I236)&amp;"",""))</f>
        <v/>
      </c>
      <c r="E236" s="69">
        <f>IF($H236&lt;&gt;"",IF(INDEX(Guests!$N:$N,$H236)="","",INDEX(Guests!$N:$N,$H236)),"")</f>
        <v/>
      </c>
      <c r="F236" s="67">
        <f>IF($H236&lt;&gt;"",INDEX(Guests!$E:$E,$H236)&amp;"","")</f>
        <v/>
      </c>
      <c r="G236" s="67">
        <f>IF($H236&lt;&gt;"","Guest list",IF($I236&lt;&gt;"","RSVP form",""))</f>
        <v/>
      </c>
      <c r="H236" s="32">
        <f>IF(228&lt;=Guests!$AG$505,MATCH(228,Guests!$AH:$AH,0),"")</f>
        <v/>
      </c>
      <c r="I236" s="32">
        <f>IF(AND(228&gt;Guests!$AG$505,228&lt;=Guests!$AG$505+'Form Calc'!$AB$601),MATCH(228-Guests!$AG$505,'Form Calc'!$AC:$AC,0),"")</f>
        <v/>
      </c>
    </row>
    <row r="237">
      <c r="A237" s="66">
        <f>IF($H237&lt;&gt;"",INDEX(Guests!$A:$A,$H237)&amp;"",IF($I237&lt;&gt;"",INDEX('Form Calc'!$B:$B,$I237)&amp;"",""))</f>
        <v/>
      </c>
      <c r="B237" s="67">
        <f>IF($H237&lt;&gt;"",INDEX(Guests!$B:$B,$H237)&amp;"",IF($I237&lt;&gt;"",INDEX('Form Calc'!$G:$G,$I237)&amp;"",""))</f>
        <v/>
      </c>
      <c r="C237" s="68">
        <f>IF($H237&lt;&gt;"",IF(INDEX(Guests!$AD:$AD,$H237)&lt;&gt;"",HYPERLINK(INDEX(Guests!$AD:$AD,$H237),"💬 Remind"),"add mobile"),IF($I237&lt;&gt;"",IF(INDEX('Form Calc'!$AG:$AG,$I237)&lt;&gt;"",HYPERLINK(INDEX('Form Calc'!$AG:$AG,$I237),"💬 Remind"),"add mobile"),""))</f>
        <v/>
      </c>
      <c r="D237" s="67">
        <f>IF($H237&lt;&gt;"",INDEX(Guests!$Y:$Y,$H237)&amp;"",IF($I237&lt;&gt;"",INDEX('Form Calc'!$C:$C,$I237)&amp;"",""))</f>
        <v/>
      </c>
      <c r="E237" s="69">
        <f>IF($H237&lt;&gt;"",IF(INDEX(Guests!$N:$N,$H237)="","",INDEX(Guests!$N:$N,$H237)),"")</f>
        <v/>
      </c>
      <c r="F237" s="67">
        <f>IF($H237&lt;&gt;"",INDEX(Guests!$E:$E,$H237)&amp;"","")</f>
        <v/>
      </c>
      <c r="G237" s="67">
        <f>IF($H237&lt;&gt;"","Guest list",IF($I237&lt;&gt;"","RSVP form",""))</f>
        <v/>
      </c>
      <c r="H237" s="32">
        <f>IF(229&lt;=Guests!$AG$505,MATCH(229,Guests!$AH:$AH,0),"")</f>
        <v/>
      </c>
      <c r="I237" s="32">
        <f>IF(AND(229&gt;Guests!$AG$505,229&lt;=Guests!$AG$505+'Form Calc'!$AB$601),MATCH(229-Guests!$AG$505,'Form Calc'!$AC:$AC,0),"")</f>
        <v/>
      </c>
    </row>
    <row r="238">
      <c r="A238" s="66">
        <f>IF($H238&lt;&gt;"",INDEX(Guests!$A:$A,$H238)&amp;"",IF($I238&lt;&gt;"",INDEX('Form Calc'!$B:$B,$I238)&amp;"",""))</f>
        <v/>
      </c>
      <c r="B238" s="67">
        <f>IF($H238&lt;&gt;"",INDEX(Guests!$B:$B,$H238)&amp;"",IF($I238&lt;&gt;"",INDEX('Form Calc'!$G:$G,$I238)&amp;"",""))</f>
        <v/>
      </c>
      <c r="C238" s="68">
        <f>IF($H238&lt;&gt;"",IF(INDEX(Guests!$AD:$AD,$H238)&lt;&gt;"",HYPERLINK(INDEX(Guests!$AD:$AD,$H238),"💬 Remind"),"add mobile"),IF($I238&lt;&gt;"",IF(INDEX('Form Calc'!$AG:$AG,$I238)&lt;&gt;"",HYPERLINK(INDEX('Form Calc'!$AG:$AG,$I238),"💬 Remind"),"add mobile"),""))</f>
        <v/>
      </c>
      <c r="D238" s="67">
        <f>IF($H238&lt;&gt;"",INDEX(Guests!$Y:$Y,$H238)&amp;"",IF($I238&lt;&gt;"",INDEX('Form Calc'!$C:$C,$I238)&amp;"",""))</f>
        <v/>
      </c>
      <c r="E238" s="69">
        <f>IF($H238&lt;&gt;"",IF(INDEX(Guests!$N:$N,$H238)="","",INDEX(Guests!$N:$N,$H238)),"")</f>
        <v/>
      </c>
      <c r="F238" s="67">
        <f>IF($H238&lt;&gt;"",INDEX(Guests!$E:$E,$H238)&amp;"","")</f>
        <v/>
      </c>
      <c r="G238" s="67">
        <f>IF($H238&lt;&gt;"","Guest list",IF($I238&lt;&gt;"","RSVP form",""))</f>
        <v/>
      </c>
      <c r="H238" s="32">
        <f>IF(230&lt;=Guests!$AG$505,MATCH(230,Guests!$AH:$AH,0),"")</f>
        <v/>
      </c>
      <c r="I238" s="32">
        <f>IF(AND(230&gt;Guests!$AG$505,230&lt;=Guests!$AG$505+'Form Calc'!$AB$601),MATCH(230-Guests!$AG$505,'Form Calc'!$AC:$AC,0),"")</f>
        <v/>
      </c>
    </row>
    <row r="239">
      <c r="A239" s="66">
        <f>IF($H239&lt;&gt;"",INDEX(Guests!$A:$A,$H239)&amp;"",IF($I239&lt;&gt;"",INDEX('Form Calc'!$B:$B,$I239)&amp;"",""))</f>
        <v/>
      </c>
      <c r="B239" s="67">
        <f>IF($H239&lt;&gt;"",INDEX(Guests!$B:$B,$H239)&amp;"",IF($I239&lt;&gt;"",INDEX('Form Calc'!$G:$G,$I239)&amp;"",""))</f>
        <v/>
      </c>
      <c r="C239" s="68">
        <f>IF($H239&lt;&gt;"",IF(INDEX(Guests!$AD:$AD,$H239)&lt;&gt;"",HYPERLINK(INDEX(Guests!$AD:$AD,$H239),"💬 Remind"),"add mobile"),IF($I239&lt;&gt;"",IF(INDEX('Form Calc'!$AG:$AG,$I239)&lt;&gt;"",HYPERLINK(INDEX('Form Calc'!$AG:$AG,$I239),"💬 Remind"),"add mobile"),""))</f>
        <v/>
      </c>
      <c r="D239" s="67">
        <f>IF($H239&lt;&gt;"",INDEX(Guests!$Y:$Y,$H239)&amp;"",IF($I239&lt;&gt;"",INDEX('Form Calc'!$C:$C,$I239)&amp;"",""))</f>
        <v/>
      </c>
      <c r="E239" s="69">
        <f>IF($H239&lt;&gt;"",IF(INDEX(Guests!$N:$N,$H239)="","",INDEX(Guests!$N:$N,$H239)),"")</f>
        <v/>
      </c>
      <c r="F239" s="67">
        <f>IF($H239&lt;&gt;"",INDEX(Guests!$E:$E,$H239)&amp;"","")</f>
        <v/>
      </c>
      <c r="G239" s="67">
        <f>IF($H239&lt;&gt;"","Guest list",IF($I239&lt;&gt;"","RSVP form",""))</f>
        <v/>
      </c>
      <c r="H239" s="32">
        <f>IF(231&lt;=Guests!$AG$505,MATCH(231,Guests!$AH:$AH,0),"")</f>
        <v/>
      </c>
      <c r="I239" s="32">
        <f>IF(AND(231&gt;Guests!$AG$505,231&lt;=Guests!$AG$505+'Form Calc'!$AB$601),MATCH(231-Guests!$AG$505,'Form Calc'!$AC:$AC,0),"")</f>
        <v/>
      </c>
    </row>
    <row r="240">
      <c r="A240" s="66">
        <f>IF($H240&lt;&gt;"",INDEX(Guests!$A:$A,$H240)&amp;"",IF($I240&lt;&gt;"",INDEX('Form Calc'!$B:$B,$I240)&amp;"",""))</f>
        <v/>
      </c>
      <c r="B240" s="67">
        <f>IF($H240&lt;&gt;"",INDEX(Guests!$B:$B,$H240)&amp;"",IF($I240&lt;&gt;"",INDEX('Form Calc'!$G:$G,$I240)&amp;"",""))</f>
        <v/>
      </c>
      <c r="C240" s="68">
        <f>IF($H240&lt;&gt;"",IF(INDEX(Guests!$AD:$AD,$H240)&lt;&gt;"",HYPERLINK(INDEX(Guests!$AD:$AD,$H240),"💬 Remind"),"add mobile"),IF($I240&lt;&gt;"",IF(INDEX('Form Calc'!$AG:$AG,$I240)&lt;&gt;"",HYPERLINK(INDEX('Form Calc'!$AG:$AG,$I240),"💬 Remind"),"add mobile"),""))</f>
        <v/>
      </c>
      <c r="D240" s="67">
        <f>IF($H240&lt;&gt;"",INDEX(Guests!$Y:$Y,$H240)&amp;"",IF($I240&lt;&gt;"",INDEX('Form Calc'!$C:$C,$I240)&amp;"",""))</f>
        <v/>
      </c>
      <c r="E240" s="69">
        <f>IF($H240&lt;&gt;"",IF(INDEX(Guests!$N:$N,$H240)="","",INDEX(Guests!$N:$N,$H240)),"")</f>
        <v/>
      </c>
      <c r="F240" s="67">
        <f>IF($H240&lt;&gt;"",INDEX(Guests!$E:$E,$H240)&amp;"","")</f>
        <v/>
      </c>
      <c r="G240" s="67">
        <f>IF($H240&lt;&gt;"","Guest list",IF($I240&lt;&gt;"","RSVP form",""))</f>
        <v/>
      </c>
      <c r="H240" s="32">
        <f>IF(232&lt;=Guests!$AG$505,MATCH(232,Guests!$AH:$AH,0),"")</f>
        <v/>
      </c>
      <c r="I240" s="32">
        <f>IF(AND(232&gt;Guests!$AG$505,232&lt;=Guests!$AG$505+'Form Calc'!$AB$601),MATCH(232-Guests!$AG$505,'Form Calc'!$AC:$AC,0),"")</f>
        <v/>
      </c>
    </row>
    <row r="241">
      <c r="A241" s="66">
        <f>IF($H241&lt;&gt;"",INDEX(Guests!$A:$A,$H241)&amp;"",IF($I241&lt;&gt;"",INDEX('Form Calc'!$B:$B,$I241)&amp;"",""))</f>
        <v/>
      </c>
      <c r="B241" s="67">
        <f>IF($H241&lt;&gt;"",INDEX(Guests!$B:$B,$H241)&amp;"",IF($I241&lt;&gt;"",INDEX('Form Calc'!$G:$G,$I241)&amp;"",""))</f>
        <v/>
      </c>
      <c r="C241" s="68">
        <f>IF($H241&lt;&gt;"",IF(INDEX(Guests!$AD:$AD,$H241)&lt;&gt;"",HYPERLINK(INDEX(Guests!$AD:$AD,$H241),"💬 Remind"),"add mobile"),IF($I241&lt;&gt;"",IF(INDEX('Form Calc'!$AG:$AG,$I241)&lt;&gt;"",HYPERLINK(INDEX('Form Calc'!$AG:$AG,$I241),"💬 Remind"),"add mobile"),""))</f>
        <v/>
      </c>
      <c r="D241" s="67">
        <f>IF($H241&lt;&gt;"",INDEX(Guests!$Y:$Y,$H241)&amp;"",IF($I241&lt;&gt;"",INDEX('Form Calc'!$C:$C,$I241)&amp;"",""))</f>
        <v/>
      </c>
      <c r="E241" s="69">
        <f>IF($H241&lt;&gt;"",IF(INDEX(Guests!$N:$N,$H241)="","",INDEX(Guests!$N:$N,$H241)),"")</f>
        <v/>
      </c>
      <c r="F241" s="67">
        <f>IF($H241&lt;&gt;"",INDEX(Guests!$E:$E,$H241)&amp;"","")</f>
        <v/>
      </c>
      <c r="G241" s="67">
        <f>IF($H241&lt;&gt;"","Guest list",IF($I241&lt;&gt;"","RSVP form",""))</f>
        <v/>
      </c>
      <c r="H241" s="32">
        <f>IF(233&lt;=Guests!$AG$505,MATCH(233,Guests!$AH:$AH,0),"")</f>
        <v/>
      </c>
      <c r="I241" s="32">
        <f>IF(AND(233&gt;Guests!$AG$505,233&lt;=Guests!$AG$505+'Form Calc'!$AB$601),MATCH(233-Guests!$AG$505,'Form Calc'!$AC:$AC,0),"")</f>
        <v/>
      </c>
    </row>
    <row r="242">
      <c r="A242" s="66">
        <f>IF($H242&lt;&gt;"",INDEX(Guests!$A:$A,$H242)&amp;"",IF($I242&lt;&gt;"",INDEX('Form Calc'!$B:$B,$I242)&amp;"",""))</f>
        <v/>
      </c>
      <c r="B242" s="67">
        <f>IF($H242&lt;&gt;"",INDEX(Guests!$B:$B,$H242)&amp;"",IF($I242&lt;&gt;"",INDEX('Form Calc'!$G:$G,$I242)&amp;"",""))</f>
        <v/>
      </c>
      <c r="C242" s="68">
        <f>IF($H242&lt;&gt;"",IF(INDEX(Guests!$AD:$AD,$H242)&lt;&gt;"",HYPERLINK(INDEX(Guests!$AD:$AD,$H242),"💬 Remind"),"add mobile"),IF($I242&lt;&gt;"",IF(INDEX('Form Calc'!$AG:$AG,$I242)&lt;&gt;"",HYPERLINK(INDEX('Form Calc'!$AG:$AG,$I242),"💬 Remind"),"add mobile"),""))</f>
        <v/>
      </c>
      <c r="D242" s="67">
        <f>IF($H242&lt;&gt;"",INDEX(Guests!$Y:$Y,$H242)&amp;"",IF($I242&lt;&gt;"",INDEX('Form Calc'!$C:$C,$I242)&amp;"",""))</f>
        <v/>
      </c>
      <c r="E242" s="69">
        <f>IF($H242&lt;&gt;"",IF(INDEX(Guests!$N:$N,$H242)="","",INDEX(Guests!$N:$N,$H242)),"")</f>
        <v/>
      </c>
      <c r="F242" s="67">
        <f>IF($H242&lt;&gt;"",INDEX(Guests!$E:$E,$H242)&amp;"","")</f>
        <v/>
      </c>
      <c r="G242" s="67">
        <f>IF($H242&lt;&gt;"","Guest list",IF($I242&lt;&gt;"","RSVP form",""))</f>
        <v/>
      </c>
      <c r="H242" s="32">
        <f>IF(234&lt;=Guests!$AG$505,MATCH(234,Guests!$AH:$AH,0),"")</f>
        <v/>
      </c>
      <c r="I242" s="32">
        <f>IF(AND(234&gt;Guests!$AG$505,234&lt;=Guests!$AG$505+'Form Calc'!$AB$601),MATCH(234-Guests!$AG$505,'Form Calc'!$AC:$AC,0),"")</f>
        <v/>
      </c>
    </row>
    <row r="243">
      <c r="A243" s="66">
        <f>IF($H243&lt;&gt;"",INDEX(Guests!$A:$A,$H243)&amp;"",IF($I243&lt;&gt;"",INDEX('Form Calc'!$B:$B,$I243)&amp;"",""))</f>
        <v/>
      </c>
      <c r="B243" s="67">
        <f>IF($H243&lt;&gt;"",INDEX(Guests!$B:$B,$H243)&amp;"",IF($I243&lt;&gt;"",INDEX('Form Calc'!$G:$G,$I243)&amp;"",""))</f>
        <v/>
      </c>
      <c r="C243" s="68">
        <f>IF($H243&lt;&gt;"",IF(INDEX(Guests!$AD:$AD,$H243)&lt;&gt;"",HYPERLINK(INDEX(Guests!$AD:$AD,$H243),"💬 Remind"),"add mobile"),IF($I243&lt;&gt;"",IF(INDEX('Form Calc'!$AG:$AG,$I243)&lt;&gt;"",HYPERLINK(INDEX('Form Calc'!$AG:$AG,$I243),"💬 Remind"),"add mobile"),""))</f>
        <v/>
      </c>
      <c r="D243" s="67">
        <f>IF($H243&lt;&gt;"",INDEX(Guests!$Y:$Y,$H243)&amp;"",IF($I243&lt;&gt;"",INDEX('Form Calc'!$C:$C,$I243)&amp;"",""))</f>
        <v/>
      </c>
      <c r="E243" s="69">
        <f>IF($H243&lt;&gt;"",IF(INDEX(Guests!$N:$N,$H243)="","",INDEX(Guests!$N:$N,$H243)),"")</f>
        <v/>
      </c>
      <c r="F243" s="67">
        <f>IF($H243&lt;&gt;"",INDEX(Guests!$E:$E,$H243)&amp;"","")</f>
        <v/>
      </c>
      <c r="G243" s="67">
        <f>IF($H243&lt;&gt;"","Guest list",IF($I243&lt;&gt;"","RSVP form",""))</f>
        <v/>
      </c>
      <c r="H243" s="32">
        <f>IF(235&lt;=Guests!$AG$505,MATCH(235,Guests!$AH:$AH,0),"")</f>
        <v/>
      </c>
      <c r="I243" s="32">
        <f>IF(AND(235&gt;Guests!$AG$505,235&lt;=Guests!$AG$505+'Form Calc'!$AB$601),MATCH(235-Guests!$AG$505,'Form Calc'!$AC:$AC,0),"")</f>
        <v/>
      </c>
    </row>
    <row r="244">
      <c r="A244" s="66">
        <f>IF($H244&lt;&gt;"",INDEX(Guests!$A:$A,$H244)&amp;"",IF($I244&lt;&gt;"",INDEX('Form Calc'!$B:$B,$I244)&amp;"",""))</f>
        <v/>
      </c>
      <c r="B244" s="67">
        <f>IF($H244&lt;&gt;"",INDEX(Guests!$B:$B,$H244)&amp;"",IF($I244&lt;&gt;"",INDEX('Form Calc'!$G:$G,$I244)&amp;"",""))</f>
        <v/>
      </c>
      <c r="C244" s="68">
        <f>IF($H244&lt;&gt;"",IF(INDEX(Guests!$AD:$AD,$H244)&lt;&gt;"",HYPERLINK(INDEX(Guests!$AD:$AD,$H244),"💬 Remind"),"add mobile"),IF($I244&lt;&gt;"",IF(INDEX('Form Calc'!$AG:$AG,$I244)&lt;&gt;"",HYPERLINK(INDEX('Form Calc'!$AG:$AG,$I244),"💬 Remind"),"add mobile"),""))</f>
        <v/>
      </c>
      <c r="D244" s="67">
        <f>IF($H244&lt;&gt;"",INDEX(Guests!$Y:$Y,$H244)&amp;"",IF($I244&lt;&gt;"",INDEX('Form Calc'!$C:$C,$I244)&amp;"",""))</f>
        <v/>
      </c>
      <c r="E244" s="69">
        <f>IF($H244&lt;&gt;"",IF(INDEX(Guests!$N:$N,$H244)="","",INDEX(Guests!$N:$N,$H244)),"")</f>
        <v/>
      </c>
      <c r="F244" s="67">
        <f>IF($H244&lt;&gt;"",INDEX(Guests!$E:$E,$H244)&amp;"","")</f>
        <v/>
      </c>
      <c r="G244" s="67">
        <f>IF($H244&lt;&gt;"","Guest list",IF($I244&lt;&gt;"","RSVP form",""))</f>
        <v/>
      </c>
      <c r="H244" s="32">
        <f>IF(236&lt;=Guests!$AG$505,MATCH(236,Guests!$AH:$AH,0),"")</f>
        <v/>
      </c>
      <c r="I244" s="32">
        <f>IF(AND(236&gt;Guests!$AG$505,236&lt;=Guests!$AG$505+'Form Calc'!$AB$601),MATCH(236-Guests!$AG$505,'Form Calc'!$AC:$AC,0),"")</f>
        <v/>
      </c>
    </row>
    <row r="245">
      <c r="A245" s="66">
        <f>IF($H245&lt;&gt;"",INDEX(Guests!$A:$A,$H245)&amp;"",IF($I245&lt;&gt;"",INDEX('Form Calc'!$B:$B,$I245)&amp;"",""))</f>
        <v/>
      </c>
      <c r="B245" s="67">
        <f>IF($H245&lt;&gt;"",INDEX(Guests!$B:$B,$H245)&amp;"",IF($I245&lt;&gt;"",INDEX('Form Calc'!$G:$G,$I245)&amp;"",""))</f>
        <v/>
      </c>
      <c r="C245" s="68">
        <f>IF($H245&lt;&gt;"",IF(INDEX(Guests!$AD:$AD,$H245)&lt;&gt;"",HYPERLINK(INDEX(Guests!$AD:$AD,$H245),"💬 Remind"),"add mobile"),IF($I245&lt;&gt;"",IF(INDEX('Form Calc'!$AG:$AG,$I245)&lt;&gt;"",HYPERLINK(INDEX('Form Calc'!$AG:$AG,$I245),"💬 Remind"),"add mobile"),""))</f>
        <v/>
      </c>
      <c r="D245" s="67">
        <f>IF($H245&lt;&gt;"",INDEX(Guests!$Y:$Y,$H245)&amp;"",IF($I245&lt;&gt;"",INDEX('Form Calc'!$C:$C,$I245)&amp;"",""))</f>
        <v/>
      </c>
      <c r="E245" s="69">
        <f>IF($H245&lt;&gt;"",IF(INDEX(Guests!$N:$N,$H245)="","",INDEX(Guests!$N:$N,$H245)),"")</f>
        <v/>
      </c>
      <c r="F245" s="67">
        <f>IF($H245&lt;&gt;"",INDEX(Guests!$E:$E,$H245)&amp;"","")</f>
        <v/>
      </c>
      <c r="G245" s="67">
        <f>IF($H245&lt;&gt;"","Guest list",IF($I245&lt;&gt;"","RSVP form",""))</f>
        <v/>
      </c>
      <c r="H245" s="32">
        <f>IF(237&lt;=Guests!$AG$505,MATCH(237,Guests!$AH:$AH,0),"")</f>
        <v/>
      </c>
      <c r="I245" s="32">
        <f>IF(AND(237&gt;Guests!$AG$505,237&lt;=Guests!$AG$505+'Form Calc'!$AB$601),MATCH(237-Guests!$AG$505,'Form Calc'!$AC:$AC,0),"")</f>
        <v/>
      </c>
    </row>
    <row r="246">
      <c r="A246" s="66">
        <f>IF($H246&lt;&gt;"",INDEX(Guests!$A:$A,$H246)&amp;"",IF($I246&lt;&gt;"",INDEX('Form Calc'!$B:$B,$I246)&amp;"",""))</f>
        <v/>
      </c>
      <c r="B246" s="67">
        <f>IF($H246&lt;&gt;"",INDEX(Guests!$B:$B,$H246)&amp;"",IF($I246&lt;&gt;"",INDEX('Form Calc'!$G:$G,$I246)&amp;"",""))</f>
        <v/>
      </c>
      <c r="C246" s="68">
        <f>IF($H246&lt;&gt;"",IF(INDEX(Guests!$AD:$AD,$H246)&lt;&gt;"",HYPERLINK(INDEX(Guests!$AD:$AD,$H246),"💬 Remind"),"add mobile"),IF($I246&lt;&gt;"",IF(INDEX('Form Calc'!$AG:$AG,$I246)&lt;&gt;"",HYPERLINK(INDEX('Form Calc'!$AG:$AG,$I246),"💬 Remind"),"add mobile"),""))</f>
        <v/>
      </c>
      <c r="D246" s="67">
        <f>IF($H246&lt;&gt;"",INDEX(Guests!$Y:$Y,$H246)&amp;"",IF($I246&lt;&gt;"",INDEX('Form Calc'!$C:$C,$I246)&amp;"",""))</f>
        <v/>
      </c>
      <c r="E246" s="69">
        <f>IF($H246&lt;&gt;"",IF(INDEX(Guests!$N:$N,$H246)="","",INDEX(Guests!$N:$N,$H246)),"")</f>
        <v/>
      </c>
      <c r="F246" s="67">
        <f>IF($H246&lt;&gt;"",INDEX(Guests!$E:$E,$H246)&amp;"","")</f>
        <v/>
      </c>
      <c r="G246" s="67">
        <f>IF($H246&lt;&gt;"","Guest list",IF($I246&lt;&gt;"","RSVP form",""))</f>
        <v/>
      </c>
      <c r="H246" s="32">
        <f>IF(238&lt;=Guests!$AG$505,MATCH(238,Guests!$AH:$AH,0),"")</f>
        <v/>
      </c>
      <c r="I246" s="32">
        <f>IF(AND(238&gt;Guests!$AG$505,238&lt;=Guests!$AG$505+'Form Calc'!$AB$601),MATCH(238-Guests!$AG$505,'Form Calc'!$AC:$AC,0),"")</f>
        <v/>
      </c>
    </row>
    <row r="247">
      <c r="A247" s="66">
        <f>IF($H247&lt;&gt;"",INDEX(Guests!$A:$A,$H247)&amp;"",IF($I247&lt;&gt;"",INDEX('Form Calc'!$B:$B,$I247)&amp;"",""))</f>
        <v/>
      </c>
      <c r="B247" s="67">
        <f>IF($H247&lt;&gt;"",INDEX(Guests!$B:$B,$H247)&amp;"",IF($I247&lt;&gt;"",INDEX('Form Calc'!$G:$G,$I247)&amp;"",""))</f>
        <v/>
      </c>
      <c r="C247" s="68">
        <f>IF($H247&lt;&gt;"",IF(INDEX(Guests!$AD:$AD,$H247)&lt;&gt;"",HYPERLINK(INDEX(Guests!$AD:$AD,$H247),"💬 Remind"),"add mobile"),IF($I247&lt;&gt;"",IF(INDEX('Form Calc'!$AG:$AG,$I247)&lt;&gt;"",HYPERLINK(INDEX('Form Calc'!$AG:$AG,$I247),"💬 Remind"),"add mobile"),""))</f>
        <v/>
      </c>
      <c r="D247" s="67">
        <f>IF($H247&lt;&gt;"",INDEX(Guests!$Y:$Y,$H247)&amp;"",IF($I247&lt;&gt;"",INDEX('Form Calc'!$C:$C,$I247)&amp;"",""))</f>
        <v/>
      </c>
      <c r="E247" s="69">
        <f>IF($H247&lt;&gt;"",IF(INDEX(Guests!$N:$N,$H247)="","",INDEX(Guests!$N:$N,$H247)),"")</f>
        <v/>
      </c>
      <c r="F247" s="67">
        <f>IF($H247&lt;&gt;"",INDEX(Guests!$E:$E,$H247)&amp;"","")</f>
        <v/>
      </c>
      <c r="G247" s="67">
        <f>IF($H247&lt;&gt;"","Guest list",IF($I247&lt;&gt;"","RSVP form",""))</f>
        <v/>
      </c>
      <c r="H247" s="32">
        <f>IF(239&lt;=Guests!$AG$505,MATCH(239,Guests!$AH:$AH,0),"")</f>
        <v/>
      </c>
      <c r="I247" s="32">
        <f>IF(AND(239&gt;Guests!$AG$505,239&lt;=Guests!$AG$505+'Form Calc'!$AB$601),MATCH(239-Guests!$AG$505,'Form Calc'!$AC:$AC,0),"")</f>
        <v/>
      </c>
    </row>
    <row r="248">
      <c r="A248" s="66">
        <f>IF($H248&lt;&gt;"",INDEX(Guests!$A:$A,$H248)&amp;"",IF($I248&lt;&gt;"",INDEX('Form Calc'!$B:$B,$I248)&amp;"",""))</f>
        <v/>
      </c>
      <c r="B248" s="67">
        <f>IF($H248&lt;&gt;"",INDEX(Guests!$B:$B,$H248)&amp;"",IF($I248&lt;&gt;"",INDEX('Form Calc'!$G:$G,$I248)&amp;"",""))</f>
        <v/>
      </c>
      <c r="C248" s="68">
        <f>IF($H248&lt;&gt;"",IF(INDEX(Guests!$AD:$AD,$H248)&lt;&gt;"",HYPERLINK(INDEX(Guests!$AD:$AD,$H248),"💬 Remind"),"add mobile"),IF($I248&lt;&gt;"",IF(INDEX('Form Calc'!$AG:$AG,$I248)&lt;&gt;"",HYPERLINK(INDEX('Form Calc'!$AG:$AG,$I248),"💬 Remind"),"add mobile"),""))</f>
        <v/>
      </c>
      <c r="D248" s="67">
        <f>IF($H248&lt;&gt;"",INDEX(Guests!$Y:$Y,$H248)&amp;"",IF($I248&lt;&gt;"",INDEX('Form Calc'!$C:$C,$I248)&amp;"",""))</f>
        <v/>
      </c>
      <c r="E248" s="69">
        <f>IF($H248&lt;&gt;"",IF(INDEX(Guests!$N:$N,$H248)="","",INDEX(Guests!$N:$N,$H248)),"")</f>
        <v/>
      </c>
      <c r="F248" s="67">
        <f>IF($H248&lt;&gt;"",INDEX(Guests!$E:$E,$H248)&amp;"","")</f>
        <v/>
      </c>
      <c r="G248" s="67">
        <f>IF($H248&lt;&gt;"","Guest list",IF($I248&lt;&gt;"","RSVP form",""))</f>
        <v/>
      </c>
      <c r="H248" s="32">
        <f>IF(240&lt;=Guests!$AG$505,MATCH(240,Guests!$AH:$AH,0),"")</f>
        <v/>
      </c>
      <c r="I248" s="32">
        <f>IF(AND(240&gt;Guests!$AG$505,240&lt;=Guests!$AG$505+'Form Calc'!$AB$601),MATCH(240-Guests!$AG$505,'Form Calc'!$AC:$AC,0),"")</f>
        <v/>
      </c>
    </row>
    <row r="249">
      <c r="A249" s="66">
        <f>IF($H249&lt;&gt;"",INDEX(Guests!$A:$A,$H249)&amp;"",IF($I249&lt;&gt;"",INDEX('Form Calc'!$B:$B,$I249)&amp;"",""))</f>
        <v/>
      </c>
      <c r="B249" s="67">
        <f>IF($H249&lt;&gt;"",INDEX(Guests!$B:$B,$H249)&amp;"",IF($I249&lt;&gt;"",INDEX('Form Calc'!$G:$G,$I249)&amp;"",""))</f>
        <v/>
      </c>
      <c r="C249" s="68">
        <f>IF($H249&lt;&gt;"",IF(INDEX(Guests!$AD:$AD,$H249)&lt;&gt;"",HYPERLINK(INDEX(Guests!$AD:$AD,$H249),"💬 Remind"),"add mobile"),IF($I249&lt;&gt;"",IF(INDEX('Form Calc'!$AG:$AG,$I249)&lt;&gt;"",HYPERLINK(INDEX('Form Calc'!$AG:$AG,$I249),"💬 Remind"),"add mobile"),""))</f>
        <v/>
      </c>
      <c r="D249" s="67">
        <f>IF($H249&lt;&gt;"",INDEX(Guests!$Y:$Y,$H249)&amp;"",IF($I249&lt;&gt;"",INDEX('Form Calc'!$C:$C,$I249)&amp;"",""))</f>
        <v/>
      </c>
      <c r="E249" s="69">
        <f>IF($H249&lt;&gt;"",IF(INDEX(Guests!$N:$N,$H249)="","",INDEX(Guests!$N:$N,$H249)),"")</f>
        <v/>
      </c>
      <c r="F249" s="67">
        <f>IF($H249&lt;&gt;"",INDEX(Guests!$E:$E,$H249)&amp;"","")</f>
        <v/>
      </c>
      <c r="G249" s="67">
        <f>IF($H249&lt;&gt;"","Guest list",IF($I249&lt;&gt;"","RSVP form",""))</f>
        <v/>
      </c>
      <c r="H249" s="32">
        <f>IF(241&lt;=Guests!$AG$505,MATCH(241,Guests!$AH:$AH,0),"")</f>
        <v/>
      </c>
      <c r="I249" s="32">
        <f>IF(AND(241&gt;Guests!$AG$505,241&lt;=Guests!$AG$505+'Form Calc'!$AB$601),MATCH(241-Guests!$AG$505,'Form Calc'!$AC:$AC,0),"")</f>
        <v/>
      </c>
    </row>
    <row r="250">
      <c r="A250" s="66">
        <f>IF($H250&lt;&gt;"",INDEX(Guests!$A:$A,$H250)&amp;"",IF($I250&lt;&gt;"",INDEX('Form Calc'!$B:$B,$I250)&amp;"",""))</f>
        <v/>
      </c>
      <c r="B250" s="67">
        <f>IF($H250&lt;&gt;"",INDEX(Guests!$B:$B,$H250)&amp;"",IF($I250&lt;&gt;"",INDEX('Form Calc'!$G:$G,$I250)&amp;"",""))</f>
        <v/>
      </c>
      <c r="C250" s="68">
        <f>IF($H250&lt;&gt;"",IF(INDEX(Guests!$AD:$AD,$H250)&lt;&gt;"",HYPERLINK(INDEX(Guests!$AD:$AD,$H250),"💬 Remind"),"add mobile"),IF($I250&lt;&gt;"",IF(INDEX('Form Calc'!$AG:$AG,$I250)&lt;&gt;"",HYPERLINK(INDEX('Form Calc'!$AG:$AG,$I250),"💬 Remind"),"add mobile"),""))</f>
        <v/>
      </c>
      <c r="D250" s="67">
        <f>IF($H250&lt;&gt;"",INDEX(Guests!$Y:$Y,$H250)&amp;"",IF($I250&lt;&gt;"",INDEX('Form Calc'!$C:$C,$I250)&amp;"",""))</f>
        <v/>
      </c>
      <c r="E250" s="69">
        <f>IF($H250&lt;&gt;"",IF(INDEX(Guests!$N:$N,$H250)="","",INDEX(Guests!$N:$N,$H250)),"")</f>
        <v/>
      </c>
      <c r="F250" s="67">
        <f>IF($H250&lt;&gt;"",INDEX(Guests!$E:$E,$H250)&amp;"","")</f>
        <v/>
      </c>
      <c r="G250" s="67">
        <f>IF($H250&lt;&gt;"","Guest list",IF($I250&lt;&gt;"","RSVP form",""))</f>
        <v/>
      </c>
      <c r="H250" s="32">
        <f>IF(242&lt;=Guests!$AG$505,MATCH(242,Guests!$AH:$AH,0),"")</f>
        <v/>
      </c>
      <c r="I250" s="32">
        <f>IF(AND(242&gt;Guests!$AG$505,242&lt;=Guests!$AG$505+'Form Calc'!$AB$601),MATCH(242-Guests!$AG$505,'Form Calc'!$AC:$AC,0),"")</f>
        <v/>
      </c>
    </row>
    <row r="251">
      <c r="A251" s="66">
        <f>IF($H251&lt;&gt;"",INDEX(Guests!$A:$A,$H251)&amp;"",IF($I251&lt;&gt;"",INDEX('Form Calc'!$B:$B,$I251)&amp;"",""))</f>
        <v/>
      </c>
      <c r="B251" s="67">
        <f>IF($H251&lt;&gt;"",INDEX(Guests!$B:$B,$H251)&amp;"",IF($I251&lt;&gt;"",INDEX('Form Calc'!$G:$G,$I251)&amp;"",""))</f>
        <v/>
      </c>
      <c r="C251" s="68">
        <f>IF($H251&lt;&gt;"",IF(INDEX(Guests!$AD:$AD,$H251)&lt;&gt;"",HYPERLINK(INDEX(Guests!$AD:$AD,$H251),"💬 Remind"),"add mobile"),IF($I251&lt;&gt;"",IF(INDEX('Form Calc'!$AG:$AG,$I251)&lt;&gt;"",HYPERLINK(INDEX('Form Calc'!$AG:$AG,$I251),"💬 Remind"),"add mobile"),""))</f>
        <v/>
      </c>
      <c r="D251" s="67">
        <f>IF($H251&lt;&gt;"",INDEX(Guests!$Y:$Y,$H251)&amp;"",IF($I251&lt;&gt;"",INDEX('Form Calc'!$C:$C,$I251)&amp;"",""))</f>
        <v/>
      </c>
      <c r="E251" s="69">
        <f>IF($H251&lt;&gt;"",IF(INDEX(Guests!$N:$N,$H251)="","",INDEX(Guests!$N:$N,$H251)),"")</f>
        <v/>
      </c>
      <c r="F251" s="67">
        <f>IF($H251&lt;&gt;"",INDEX(Guests!$E:$E,$H251)&amp;"","")</f>
        <v/>
      </c>
      <c r="G251" s="67">
        <f>IF($H251&lt;&gt;"","Guest list",IF($I251&lt;&gt;"","RSVP form",""))</f>
        <v/>
      </c>
      <c r="H251" s="32">
        <f>IF(243&lt;=Guests!$AG$505,MATCH(243,Guests!$AH:$AH,0),"")</f>
        <v/>
      </c>
      <c r="I251" s="32">
        <f>IF(AND(243&gt;Guests!$AG$505,243&lt;=Guests!$AG$505+'Form Calc'!$AB$601),MATCH(243-Guests!$AG$505,'Form Calc'!$AC:$AC,0),"")</f>
        <v/>
      </c>
    </row>
    <row r="252">
      <c r="A252" s="66">
        <f>IF($H252&lt;&gt;"",INDEX(Guests!$A:$A,$H252)&amp;"",IF($I252&lt;&gt;"",INDEX('Form Calc'!$B:$B,$I252)&amp;"",""))</f>
        <v/>
      </c>
      <c r="B252" s="67">
        <f>IF($H252&lt;&gt;"",INDEX(Guests!$B:$B,$H252)&amp;"",IF($I252&lt;&gt;"",INDEX('Form Calc'!$G:$G,$I252)&amp;"",""))</f>
        <v/>
      </c>
      <c r="C252" s="68">
        <f>IF($H252&lt;&gt;"",IF(INDEX(Guests!$AD:$AD,$H252)&lt;&gt;"",HYPERLINK(INDEX(Guests!$AD:$AD,$H252),"💬 Remind"),"add mobile"),IF($I252&lt;&gt;"",IF(INDEX('Form Calc'!$AG:$AG,$I252)&lt;&gt;"",HYPERLINK(INDEX('Form Calc'!$AG:$AG,$I252),"💬 Remind"),"add mobile"),""))</f>
        <v/>
      </c>
      <c r="D252" s="67">
        <f>IF($H252&lt;&gt;"",INDEX(Guests!$Y:$Y,$H252)&amp;"",IF($I252&lt;&gt;"",INDEX('Form Calc'!$C:$C,$I252)&amp;"",""))</f>
        <v/>
      </c>
      <c r="E252" s="69">
        <f>IF($H252&lt;&gt;"",IF(INDEX(Guests!$N:$N,$H252)="","",INDEX(Guests!$N:$N,$H252)),"")</f>
        <v/>
      </c>
      <c r="F252" s="67">
        <f>IF($H252&lt;&gt;"",INDEX(Guests!$E:$E,$H252)&amp;"","")</f>
        <v/>
      </c>
      <c r="G252" s="67">
        <f>IF($H252&lt;&gt;"","Guest list",IF($I252&lt;&gt;"","RSVP form",""))</f>
        <v/>
      </c>
      <c r="H252" s="32">
        <f>IF(244&lt;=Guests!$AG$505,MATCH(244,Guests!$AH:$AH,0),"")</f>
        <v/>
      </c>
      <c r="I252" s="32">
        <f>IF(AND(244&gt;Guests!$AG$505,244&lt;=Guests!$AG$505+'Form Calc'!$AB$601),MATCH(244-Guests!$AG$505,'Form Calc'!$AC:$AC,0),"")</f>
        <v/>
      </c>
    </row>
    <row r="253">
      <c r="A253" s="66">
        <f>IF($H253&lt;&gt;"",INDEX(Guests!$A:$A,$H253)&amp;"",IF($I253&lt;&gt;"",INDEX('Form Calc'!$B:$B,$I253)&amp;"",""))</f>
        <v/>
      </c>
      <c r="B253" s="67">
        <f>IF($H253&lt;&gt;"",INDEX(Guests!$B:$B,$H253)&amp;"",IF($I253&lt;&gt;"",INDEX('Form Calc'!$G:$G,$I253)&amp;"",""))</f>
        <v/>
      </c>
      <c r="C253" s="68">
        <f>IF($H253&lt;&gt;"",IF(INDEX(Guests!$AD:$AD,$H253)&lt;&gt;"",HYPERLINK(INDEX(Guests!$AD:$AD,$H253),"💬 Remind"),"add mobile"),IF($I253&lt;&gt;"",IF(INDEX('Form Calc'!$AG:$AG,$I253)&lt;&gt;"",HYPERLINK(INDEX('Form Calc'!$AG:$AG,$I253),"💬 Remind"),"add mobile"),""))</f>
        <v/>
      </c>
      <c r="D253" s="67">
        <f>IF($H253&lt;&gt;"",INDEX(Guests!$Y:$Y,$H253)&amp;"",IF($I253&lt;&gt;"",INDEX('Form Calc'!$C:$C,$I253)&amp;"",""))</f>
        <v/>
      </c>
      <c r="E253" s="69">
        <f>IF($H253&lt;&gt;"",IF(INDEX(Guests!$N:$N,$H253)="","",INDEX(Guests!$N:$N,$H253)),"")</f>
        <v/>
      </c>
      <c r="F253" s="67">
        <f>IF($H253&lt;&gt;"",INDEX(Guests!$E:$E,$H253)&amp;"","")</f>
        <v/>
      </c>
      <c r="G253" s="67">
        <f>IF($H253&lt;&gt;"","Guest list",IF($I253&lt;&gt;"","RSVP form",""))</f>
        <v/>
      </c>
      <c r="H253" s="32">
        <f>IF(245&lt;=Guests!$AG$505,MATCH(245,Guests!$AH:$AH,0),"")</f>
        <v/>
      </c>
      <c r="I253" s="32">
        <f>IF(AND(245&gt;Guests!$AG$505,245&lt;=Guests!$AG$505+'Form Calc'!$AB$601),MATCH(245-Guests!$AG$505,'Form Calc'!$AC:$AC,0),"")</f>
        <v/>
      </c>
    </row>
    <row r="254">
      <c r="A254" s="66">
        <f>IF($H254&lt;&gt;"",INDEX(Guests!$A:$A,$H254)&amp;"",IF($I254&lt;&gt;"",INDEX('Form Calc'!$B:$B,$I254)&amp;"",""))</f>
        <v/>
      </c>
      <c r="B254" s="67">
        <f>IF($H254&lt;&gt;"",INDEX(Guests!$B:$B,$H254)&amp;"",IF($I254&lt;&gt;"",INDEX('Form Calc'!$G:$G,$I254)&amp;"",""))</f>
        <v/>
      </c>
      <c r="C254" s="68">
        <f>IF($H254&lt;&gt;"",IF(INDEX(Guests!$AD:$AD,$H254)&lt;&gt;"",HYPERLINK(INDEX(Guests!$AD:$AD,$H254),"💬 Remind"),"add mobile"),IF($I254&lt;&gt;"",IF(INDEX('Form Calc'!$AG:$AG,$I254)&lt;&gt;"",HYPERLINK(INDEX('Form Calc'!$AG:$AG,$I254),"💬 Remind"),"add mobile"),""))</f>
        <v/>
      </c>
      <c r="D254" s="67">
        <f>IF($H254&lt;&gt;"",INDEX(Guests!$Y:$Y,$H254)&amp;"",IF($I254&lt;&gt;"",INDEX('Form Calc'!$C:$C,$I254)&amp;"",""))</f>
        <v/>
      </c>
      <c r="E254" s="69">
        <f>IF($H254&lt;&gt;"",IF(INDEX(Guests!$N:$N,$H254)="","",INDEX(Guests!$N:$N,$H254)),"")</f>
        <v/>
      </c>
      <c r="F254" s="67">
        <f>IF($H254&lt;&gt;"",INDEX(Guests!$E:$E,$H254)&amp;"","")</f>
        <v/>
      </c>
      <c r="G254" s="67">
        <f>IF($H254&lt;&gt;"","Guest list",IF($I254&lt;&gt;"","RSVP form",""))</f>
        <v/>
      </c>
      <c r="H254" s="32">
        <f>IF(246&lt;=Guests!$AG$505,MATCH(246,Guests!$AH:$AH,0),"")</f>
        <v/>
      </c>
      <c r="I254" s="32">
        <f>IF(AND(246&gt;Guests!$AG$505,246&lt;=Guests!$AG$505+'Form Calc'!$AB$601),MATCH(246-Guests!$AG$505,'Form Calc'!$AC:$AC,0),"")</f>
        <v/>
      </c>
    </row>
    <row r="255">
      <c r="A255" s="66">
        <f>IF($H255&lt;&gt;"",INDEX(Guests!$A:$A,$H255)&amp;"",IF($I255&lt;&gt;"",INDEX('Form Calc'!$B:$B,$I255)&amp;"",""))</f>
        <v/>
      </c>
      <c r="B255" s="67">
        <f>IF($H255&lt;&gt;"",INDEX(Guests!$B:$B,$H255)&amp;"",IF($I255&lt;&gt;"",INDEX('Form Calc'!$G:$G,$I255)&amp;"",""))</f>
        <v/>
      </c>
      <c r="C255" s="68">
        <f>IF($H255&lt;&gt;"",IF(INDEX(Guests!$AD:$AD,$H255)&lt;&gt;"",HYPERLINK(INDEX(Guests!$AD:$AD,$H255),"💬 Remind"),"add mobile"),IF($I255&lt;&gt;"",IF(INDEX('Form Calc'!$AG:$AG,$I255)&lt;&gt;"",HYPERLINK(INDEX('Form Calc'!$AG:$AG,$I255),"💬 Remind"),"add mobile"),""))</f>
        <v/>
      </c>
      <c r="D255" s="67">
        <f>IF($H255&lt;&gt;"",INDEX(Guests!$Y:$Y,$H255)&amp;"",IF($I255&lt;&gt;"",INDEX('Form Calc'!$C:$C,$I255)&amp;"",""))</f>
        <v/>
      </c>
      <c r="E255" s="69">
        <f>IF($H255&lt;&gt;"",IF(INDEX(Guests!$N:$N,$H255)="","",INDEX(Guests!$N:$N,$H255)),"")</f>
        <v/>
      </c>
      <c r="F255" s="67">
        <f>IF($H255&lt;&gt;"",INDEX(Guests!$E:$E,$H255)&amp;"","")</f>
        <v/>
      </c>
      <c r="G255" s="67">
        <f>IF($H255&lt;&gt;"","Guest list",IF($I255&lt;&gt;"","RSVP form",""))</f>
        <v/>
      </c>
      <c r="H255" s="32">
        <f>IF(247&lt;=Guests!$AG$505,MATCH(247,Guests!$AH:$AH,0),"")</f>
        <v/>
      </c>
      <c r="I255" s="32">
        <f>IF(AND(247&gt;Guests!$AG$505,247&lt;=Guests!$AG$505+'Form Calc'!$AB$601),MATCH(247-Guests!$AG$505,'Form Calc'!$AC:$AC,0),"")</f>
        <v/>
      </c>
    </row>
    <row r="256">
      <c r="A256" s="66">
        <f>IF($H256&lt;&gt;"",INDEX(Guests!$A:$A,$H256)&amp;"",IF($I256&lt;&gt;"",INDEX('Form Calc'!$B:$B,$I256)&amp;"",""))</f>
        <v/>
      </c>
      <c r="B256" s="67">
        <f>IF($H256&lt;&gt;"",INDEX(Guests!$B:$B,$H256)&amp;"",IF($I256&lt;&gt;"",INDEX('Form Calc'!$G:$G,$I256)&amp;"",""))</f>
        <v/>
      </c>
      <c r="C256" s="68">
        <f>IF($H256&lt;&gt;"",IF(INDEX(Guests!$AD:$AD,$H256)&lt;&gt;"",HYPERLINK(INDEX(Guests!$AD:$AD,$H256),"💬 Remind"),"add mobile"),IF($I256&lt;&gt;"",IF(INDEX('Form Calc'!$AG:$AG,$I256)&lt;&gt;"",HYPERLINK(INDEX('Form Calc'!$AG:$AG,$I256),"💬 Remind"),"add mobile"),""))</f>
        <v/>
      </c>
      <c r="D256" s="67">
        <f>IF($H256&lt;&gt;"",INDEX(Guests!$Y:$Y,$H256)&amp;"",IF($I256&lt;&gt;"",INDEX('Form Calc'!$C:$C,$I256)&amp;"",""))</f>
        <v/>
      </c>
      <c r="E256" s="69">
        <f>IF($H256&lt;&gt;"",IF(INDEX(Guests!$N:$N,$H256)="","",INDEX(Guests!$N:$N,$H256)),"")</f>
        <v/>
      </c>
      <c r="F256" s="67">
        <f>IF($H256&lt;&gt;"",INDEX(Guests!$E:$E,$H256)&amp;"","")</f>
        <v/>
      </c>
      <c r="G256" s="67">
        <f>IF($H256&lt;&gt;"","Guest list",IF($I256&lt;&gt;"","RSVP form",""))</f>
        <v/>
      </c>
      <c r="H256" s="32">
        <f>IF(248&lt;=Guests!$AG$505,MATCH(248,Guests!$AH:$AH,0),"")</f>
        <v/>
      </c>
      <c r="I256" s="32">
        <f>IF(AND(248&gt;Guests!$AG$505,248&lt;=Guests!$AG$505+'Form Calc'!$AB$601),MATCH(248-Guests!$AG$505,'Form Calc'!$AC:$AC,0),"")</f>
        <v/>
      </c>
    </row>
    <row r="257">
      <c r="A257" s="66">
        <f>IF($H257&lt;&gt;"",INDEX(Guests!$A:$A,$H257)&amp;"",IF($I257&lt;&gt;"",INDEX('Form Calc'!$B:$B,$I257)&amp;"",""))</f>
        <v/>
      </c>
      <c r="B257" s="67">
        <f>IF($H257&lt;&gt;"",INDEX(Guests!$B:$B,$H257)&amp;"",IF($I257&lt;&gt;"",INDEX('Form Calc'!$G:$G,$I257)&amp;"",""))</f>
        <v/>
      </c>
      <c r="C257" s="68">
        <f>IF($H257&lt;&gt;"",IF(INDEX(Guests!$AD:$AD,$H257)&lt;&gt;"",HYPERLINK(INDEX(Guests!$AD:$AD,$H257),"💬 Remind"),"add mobile"),IF($I257&lt;&gt;"",IF(INDEX('Form Calc'!$AG:$AG,$I257)&lt;&gt;"",HYPERLINK(INDEX('Form Calc'!$AG:$AG,$I257),"💬 Remind"),"add mobile"),""))</f>
        <v/>
      </c>
      <c r="D257" s="67">
        <f>IF($H257&lt;&gt;"",INDEX(Guests!$Y:$Y,$H257)&amp;"",IF($I257&lt;&gt;"",INDEX('Form Calc'!$C:$C,$I257)&amp;"",""))</f>
        <v/>
      </c>
      <c r="E257" s="69">
        <f>IF($H257&lt;&gt;"",IF(INDEX(Guests!$N:$N,$H257)="","",INDEX(Guests!$N:$N,$H257)),"")</f>
        <v/>
      </c>
      <c r="F257" s="67">
        <f>IF($H257&lt;&gt;"",INDEX(Guests!$E:$E,$H257)&amp;"","")</f>
        <v/>
      </c>
      <c r="G257" s="67">
        <f>IF($H257&lt;&gt;"","Guest list",IF($I257&lt;&gt;"","RSVP form",""))</f>
        <v/>
      </c>
      <c r="H257" s="32">
        <f>IF(249&lt;=Guests!$AG$505,MATCH(249,Guests!$AH:$AH,0),"")</f>
        <v/>
      </c>
      <c r="I257" s="32">
        <f>IF(AND(249&gt;Guests!$AG$505,249&lt;=Guests!$AG$505+'Form Calc'!$AB$601),MATCH(249-Guests!$AG$505,'Form Calc'!$AC:$AC,0),"")</f>
        <v/>
      </c>
    </row>
    <row r="258">
      <c r="A258" s="66">
        <f>IF($H258&lt;&gt;"",INDEX(Guests!$A:$A,$H258)&amp;"",IF($I258&lt;&gt;"",INDEX('Form Calc'!$B:$B,$I258)&amp;"",""))</f>
        <v/>
      </c>
      <c r="B258" s="67">
        <f>IF($H258&lt;&gt;"",INDEX(Guests!$B:$B,$H258)&amp;"",IF($I258&lt;&gt;"",INDEX('Form Calc'!$G:$G,$I258)&amp;"",""))</f>
        <v/>
      </c>
      <c r="C258" s="68">
        <f>IF($H258&lt;&gt;"",IF(INDEX(Guests!$AD:$AD,$H258)&lt;&gt;"",HYPERLINK(INDEX(Guests!$AD:$AD,$H258),"💬 Remind"),"add mobile"),IF($I258&lt;&gt;"",IF(INDEX('Form Calc'!$AG:$AG,$I258)&lt;&gt;"",HYPERLINK(INDEX('Form Calc'!$AG:$AG,$I258),"💬 Remind"),"add mobile"),""))</f>
        <v/>
      </c>
      <c r="D258" s="67">
        <f>IF($H258&lt;&gt;"",INDEX(Guests!$Y:$Y,$H258)&amp;"",IF($I258&lt;&gt;"",INDEX('Form Calc'!$C:$C,$I258)&amp;"",""))</f>
        <v/>
      </c>
      <c r="E258" s="69">
        <f>IF($H258&lt;&gt;"",IF(INDEX(Guests!$N:$N,$H258)="","",INDEX(Guests!$N:$N,$H258)),"")</f>
        <v/>
      </c>
      <c r="F258" s="67">
        <f>IF($H258&lt;&gt;"",INDEX(Guests!$E:$E,$H258)&amp;"","")</f>
        <v/>
      </c>
      <c r="G258" s="67">
        <f>IF($H258&lt;&gt;"","Guest list",IF($I258&lt;&gt;"","RSVP form",""))</f>
        <v/>
      </c>
      <c r="H258" s="32">
        <f>IF(250&lt;=Guests!$AG$505,MATCH(250,Guests!$AH:$AH,0),"")</f>
        <v/>
      </c>
      <c r="I258" s="32">
        <f>IF(AND(250&gt;Guests!$AG$505,250&lt;=Guests!$AG$505+'Form Calc'!$AB$601),MATCH(250-Guests!$AG$505,'Form Calc'!$AC:$AC,0),"")</f>
        <v/>
      </c>
    </row>
    <row r="259">
      <c r="A259" s="66">
        <f>IF($H259&lt;&gt;"",INDEX(Guests!$A:$A,$H259)&amp;"",IF($I259&lt;&gt;"",INDEX('Form Calc'!$B:$B,$I259)&amp;"",""))</f>
        <v/>
      </c>
      <c r="B259" s="67">
        <f>IF($H259&lt;&gt;"",INDEX(Guests!$B:$B,$H259)&amp;"",IF($I259&lt;&gt;"",INDEX('Form Calc'!$G:$G,$I259)&amp;"",""))</f>
        <v/>
      </c>
      <c r="C259" s="68">
        <f>IF($H259&lt;&gt;"",IF(INDEX(Guests!$AD:$AD,$H259)&lt;&gt;"",HYPERLINK(INDEX(Guests!$AD:$AD,$H259),"💬 Remind"),"add mobile"),IF($I259&lt;&gt;"",IF(INDEX('Form Calc'!$AG:$AG,$I259)&lt;&gt;"",HYPERLINK(INDEX('Form Calc'!$AG:$AG,$I259),"💬 Remind"),"add mobile"),""))</f>
        <v/>
      </c>
      <c r="D259" s="67">
        <f>IF($H259&lt;&gt;"",INDEX(Guests!$Y:$Y,$H259)&amp;"",IF($I259&lt;&gt;"",INDEX('Form Calc'!$C:$C,$I259)&amp;"",""))</f>
        <v/>
      </c>
      <c r="E259" s="69">
        <f>IF($H259&lt;&gt;"",IF(INDEX(Guests!$N:$N,$H259)="","",INDEX(Guests!$N:$N,$H259)),"")</f>
        <v/>
      </c>
      <c r="F259" s="67">
        <f>IF($H259&lt;&gt;"",INDEX(Guests!$E:$E,$H259)&amp;"","")</f>
        <v/>
      </c>
      <c r="G259" s="67">
        <f>IF($H259&lt;&gt;"","Guest list",IF($I259&lt;&gt;"","RSVP form",""))</f>
        <v/>
      </c>
      <c r="H259" s="32">
        <f>IF(251&lt;=Guests!$AG$505,MATCH(251,Guests!$AH:$AH,0),"")</f>
        <v/>
      </c>
      <c r="I259" s="32">
        <f>IF(AND(251&gt;Guests!$AG$505,251&lt;=Guests!$AG$505+'Form Calc'!$AB$601),MATCH(251-Guests!$AG$505,'Form Calc'!$AC:$AC,0),"")</f>
        <v/>
      </c>
    </row>
    <row r="260">
      <c r="A260" s="66">
        <f>IF($H260&lt;&gt;"",INDEX(Guests!$A:$A,$H260)&amp;"",IF($I260&lt;&gt;"",INDEX('Form Calc'!$B:$B,$I260)&amp;"",""))</f>
        <v/>
      </c>
      <c r="B260" s="67">
        <f>IF($H260&lt;&gt;"",INDEX(Guests!$B:$B,$H260)&amp;"",IF($I260&lt;&gt;"",INDEX('Form Calc'!$G:$G,$I260)&amp;"",""))</f>
        <v/>
      </c>
      <c r="C260" s="68">
        <f>IF($H260&lt;&gt;"",IF(INDEX(Guests!$AD:$AD,$H260)&lt;&gt;"",HYPERLINK(INDEX(Guests!$AD:$AD,$H260),"💬 Remind"),"add mobile"),IF($I260&lt;&gt;"",IF(INDEX('Form Calc'!$AG:$AG,$I260)&lt;&gt;"",HYPERLINK(INDEX('Form Calc'!$AG:$AG,$I260),"💬 Remind"),"add mobile"),""))</f>
        <v/>
      </c>
      <c r="D260" s="67">
        <f>IF($H260&lt;&gt;"",INDEX(Guests!$Y:$Y,$H260)&amp;"",IF($I260&lt;&gt;"",INDEX('Form Calc'!$C:$C,$I260)&amp;"",""))</f>
        <v/>
      </c>
      <c r="E260" s="69">
        <f>IF($H260&lt;&gt;"",IF(INDEX(Guests!$N:$N,$H260)="","",INDEX(Guests!$N:$N,$H260)),"")</f>
        <v/>
      </c>
      <c r="F260" s="67">
        <f>IF($H260&lt;&gt;"",INDEX(Guests!$E:$E,$H260)&amp;"","")</f>
        <v/>
      </c>
      <c r="G260" s="67">
        <f>IF($H260&lt;&gt;"","Guest list",IF($I260&lt;&gt;"","RSVP form",""))</f>
        <v/>
      </c>
      <c r="H260" s="32">
        <f>IF(252&lt;=Guests!$AG$505,MATCH(252,Guests!$AH:$AH,0),"")</f>
        <v/>
      </c>
      <c r="I260" s="32">
        <f>IF(AND(252&gt;Guests!$AG$505,252&lt;=Guests!$AG$505+'Form Calc'!$AB$601),MATCH(252-Guests!$AG$505,'Form Calc'!$AC:$AC,0),"")</f>
        <v/>
      </c>
    </row>
    <row r="261">
      <c r="A261" s="66">
        <f>IF($H261&lt;&gt;"",INDEX(Guests!$A:$A,$H261)&amp;"",IF($I261&lt;&gt;"",INDEX('Form Calc'!$B:$B,$I261)&amp;"",""))</f>
        <v/>
      </c>
      <c r="B261" s="67">
        <f>IF($H261&lt;&gt;"",INDEX(Guests!$B:$B,$H261)&amp;"",IF($I261&lt;&gt;"",INDEX('Form Calc'!$G:$G,$I261)&amp;"",""))</f>
        <v/>
      </c>
      <c r="C261" s="68">
        <f>IF($H261&lt;&gt;"",IF(INDEX(Guests!$AD:$AD,$H261)&lt;&gt;"",HYPERLINK(INDEX(Guests!$AD:$AD,$H261),"💬 Remind"),"add mobile"),IF($I261&lt;&gt;"",IF(INDEX('Form Calc'!$AG:$AG,$I261)&lt;&gt;"",HYPERLINK(INDEX('Form Calc'!$AG:$AG,$I261),"💬 Remind"),"add mobile"),""))</f>
        <v/>
      </c>
      <c r="D261" s="67">
        <f>IF($H261&lt;&gt;"",INDEX(Guests!$Y:$Y,$H261)&amp;"",IF($I261&lt;&gt;"",INDEX('Form Calc'!$C:$C,$I261)&amp;"",""))</f>
        <v/>
      </c>
      <c r="E261" s="69">
        <f>IF($H261&lt;&gt;"",IF(INDEX(Guests!$N:$N,$H261)="","",INDEX(Guests!$N:$N,$H261)),"")</f>
        <v/>
      </c>
      <c r="F261" s="67">
        <f>IF($H261&lt;&gt;"",INDEX(Guests!$E:$E,$H261)&amp;"","")</f>
        <v/>
      </c>
      <c r="G261" s="67">
        <f>IF($H261&lt;&gt;"","Guest list",IF($I261&lt;&gt;"","RSVP form",""))</f>
        <v/>
      </c>
      <c r="H261" s="32">
        <f>IF(253&lt;=Guests!$AG$505,MATCH(253,Guests!$AH:$AH,0),"")</f>
        <v/>
      </c>
      <c r="I261" s="32">
        <f>IF(AND(253&gt;Guests!$AG$505,253&lt;=Guests!$AG$505+'Form Calc'!$AB$601),MATCH(253-Guests!$AG$505,'Form Calc'!$AC:$AC,0),"")</f>
        <v/>
      </c>
    </row>
    <row r="262">
      <c r="A262" s="66">
        <f>IF($H262&lt;&gt;"",INDEX(Guests!$A:$A,$H262)&amp;"",IF($I262&lt;&gt;"",INDEX('Form Calc'!$B:$B,$I262)&amp;"",""))</f>
        <v/>
      </c>
      <c r="B262" s="67">
        <f>IF($H262&lt;&gt;"",INDEX(Guests!$B:$B,$H262)&amp;"",IF($I262&lt;&gt;"",INDEX('Form Calc'!$G:$G,$I262)&amp;"",""))</f>
        <v/>
      </c>
      <c r="C262" s="68">
        <f>IF($H262&lt;&gt;"",IF(INDEX(Guests!$AD:$AD,$H262)&lt;&gt;"",HYPERLINK(INDEX(Guests!$AD:$AD,$H262),"💬 Remind"),"add mobile"),IF($I262&lt;&gt;"",IF(INDEX('Form Calc'!$AG:$AG,$I262)&lt;&gt;"",HYPERLINK(INDEX('Form Calc'!$AG:$AG,$I262),"💬 Remind"),"add mobile"),""))</f>
        <v/>
      </c>
      <c r="D262" s="67">
        <f>IF($H262&lt;&gt;"",INDEX(Guests!$Y:$Y,$H262)&amp;"",IF($I262&lt;&gt;"",INDEX('Form Calc'!$C:$C,$I262)&amp;"",""))</f>
        <v/>
      </c>
      <c r="E262" s="69">
        <f>IF($H262&lt;&gt;"",IF(INDEX(Guests!$N:$N,$H262)="","",INDEX(Guests!$N:$N,$H262)),"")</f>
        <v/>
      </c>
      <c r="F262" s="67">
        <f>IF($H262&lt;&gt;"",INDEX(Guests!$E:$E,$H262)&amp;"","")</f>
        <v/>
      </c>
      <c r="G262" s="67">
        <f>IF($H262&lt;&gt;"","Guest list",IF($I262&lt;&gt;"","RSVP form",""))</f>
        <v/>
      </c>
      <c r="H262" s="32">
        <f>IF(254&lt;=Guests!$AG$505,MATCH(254,Guests!$AH:$AH,0),"")</f>
        <v/>
      </c>
      <c r="I262" s="32">
        <f>IF(AND(254&gt;Guests!$AG$505,254&lt;=Guests!$AG$505+'Form Calc'!$AB$601),MATCH(254-Guests!$AG$505,'Form Calc'!$AC:$AC,0),"")</f>
        <v/>
      </c>
    </row>
    <row r="263">
      <c r="A263" s="66">
        <f>IF($H263&lt;&gt;"",INDEX(Guests!$A:$A,$H263)&amp;"",IF($I263&lt;&gt;"",INDEX('Form Calc'!$B:$B,$I263)&amp;"",""))</f>
        <v/>
      </c>
      <c r="B263" s="67">
        <f>IF($H263&lt;&gt;"",INDEX(Guests!$B:$B,$H263)&amp;"",IF($I263&lt;&gt;"",INDEX('Form Calc'!$G:$G,$I263)&amp;"",""))</f>
        <v/>
      </c>
      <c r="C263" s="68">
        <f>IF($H263&lt;&gt;"",IF(INDEX(Guests!$AD:$AD,$H263)&lt;&gt;"",HYPERLINK(INDEX(Guests!$AD:$AD,$H263),"💬 Remind"),"add mobile"),IF($I263&lt;&gt;"",IF(INDEX('Form Calc'!$AG:$AG,$I263)&lt;&gt;"",HYPERLINK(INDEX('Form Calc'!$AG:$AG,$I263),"💬 Remind"),"add mobile"),""))</f>
        <v/>
      </c>
      <c r="D263" s="67">
        <f>IF($H263&lt;&gt;"",INDEX(Guests!$Y:$Y,$H263)&amp;"",IF($I263&lt;&gt;"",INDEX('Form Calc'!$C:$C,$I263)&amp;"",""))</f>
        <v/>
      </c>
      <c r="E263" s="69">
        <f>IF($H263&lt;&gt;"",IF(INDEX(Guests!$N:$N,$H263)="","",INDEX(Guests!$N:$N,$H263)),"")</f>
        <v/>
      </c>
      <c r="F263" s="67">
        <f>IF($H263&lt;&gt;"",INDEX(Guests!$E:$E,$H263)&amp;"","")</f>
        <v/>
      </c>
      <c r="G263" s="67">
        <f>IF($H263&lt;&gt;"","Guest list",IF($I263&lt;&gt;"","RSVP form",""))</f>
        <v/>
      </c>
      <c r="H263" s="32">
        <f>IF(255&lt;=Guests!$AG$505,MATCH(255,Guests!$AH:$AH,0),"")</f>
        <v/>
      </c>
      <c r="I263" s="32">
        <f>IF(AND(255&gt;Guests!$AG$505,255&lt;=Guests!$AG$505+'Form Calc'!$AB$601),MATCH(255-Guests!$AG$505,'Form Calc'!$AC:$AC,0),"")</f>
        <v/>
      </c>
    </row>
    <row r="264">
      <c r="A264" s="66">
        <f>IF($H264&lt;&gt;"",INDEX(Guests!$A:$A,$H264)&amp;"",IF($I264&lt;&gt;"",INDEX('Form Calc'!$B:$B,$I264)&amp;"",""))</f>
        <v/>
      </c>
      <c r="B264" s="67">
        <f>IF($H264&lt;&gt;"",INDEX(Guests!$B:$B,$H264)&amp;"",IF($I264&lt;&gt;"",INDEX('Form Calc'!$G:$G,$I264)&amp;"",""))</f>
        <v/>
      </c>
      <c r="C264" s="68">
        <f>IF($H264&lt;&gt;"",IF(INDEX(Guests!$AD:$AD,$H264)&lt;&gt;"",HYPERLINK(INDEX(Guests!$AD:$AD,$H264),"💬 Remind"),"add mobile"),IF($I264&lt;&gt;"",IF(INDEX('Form Calc'!$AG:$AG,$I264)&lt;&gt;"",HYPERLINK(INDEX('Form Calc'!$AG:$AG,$I264),"💬 Remind"),"add mobile"),""))</f>
        <v/>
      </c>
      <c r="D264" s="67">
        <f>IF($H264&lt;&gt;"",INDEX(Guests!$Y:$Y,$H264)&amp;"",IF($I264&lt;&gt;"",INDEX('Form Calc'!$C:$C,$I264)&amp;"",""))</f>
        <v/>
      </c>
      <c r="E264" s="69">
        <f>IF($H264&lt;&gt;"",IF(INDEX(Guests!$N:$N,$H264)="","",INDEX(Guests!$N:$N,$H264)),"")</f>
        <v/>
      </c>
      <c r="F264" s="67">
        <f>IF($H264&lt;&gt;"",INDEX(Guests!$E:$E,$H264)&amp;"","")</f>
        <v/>
      </c>
      <c r="G264" s="67">
        <f>IF($H264&lt;&gt;"","Guest list",IF($I264&lt;&gt;"","RSVP form",""))</f>
        <v/>
      </c>
      <c r="H264" s="32">
        <f>IF(256&lt;=Guests!$AG$505,MATCH(256,Guests!$AH:$AH,0),"")</f>
        <v/>
      </c>
      <c r="I264" s="32">
        <f>IF(AND(256&gt;Guests!$AG$505,256&lt;=Guests!$AG$505+'Form Calc'!$AB$601),MATCH(256-Guests!$AG$505,'Form Calc'!$AC:$AC,0),"")</f>
        <v/>
      </c>
    </row>
    <row r="265">
      <c r="A265" s="66">
        <f>IF($H265&lt;&gt;"",INDEX(Guests!$A:$A,$H265)&amp;"",IF($I265&lt;&gt;"",INDEX('Form Calc'!$B:$B,$I265)&amp;"",""))</f>
        <v/>
      </c>
      <c r="B265" s="67">
        <f>IF($H265&lt;&gt;"",INDEX(Guests!$B:$B,$H265)&amp;"",IF($I265&lt;&gt;"",INDEX('Form Calc'!$G:$G,$I265)&amp;"",""))</f>
        <v/>
      </c>
      <c r="C265" s="68">
        <f>IF($H265&lt;&gt;"",IF(INDEX(Guests!$AD:$AD,$H265)&lt;&gt;"",HYPERLINK(INDEX(Guests!$AD:$AD,$H265),"💬 Remind"),"add mobile"),IF($I265&lt;&gt;"",IF(INDEX('Form Calc'!$AG:$AG,$I265)&lt;&gt;"",HYPERLINK(INDEX('Form Calc'!$AG:$AG,$I265),"💬 Remind"),"add mobile"),""))</f>
        <v/>
      </c>
      <c r="D265" s="67">
        <f>IF($H265&lt;&gt;"",INDEX(Guests!$Y:$Y,$H265)&amp;"",IF($I265&lt;&gt;"",INDEX('Form Calc'!$C:$C,$I265)&amp;"",""))</f>
        <v/>
      </c>
      <c r="E265" s="69">
        <f>IF($H265&lt;&gt;"",IF(INDEX(Guests!$N:$N,$H265)="","",INDEX(Guests!$N:$N,$H265)),"")</f>
        <v/>
      </c>
      <c r="F265" s="67">
        <f>IF($H265&lt;&gt;"",INDEX(Guests!$E:$E,$H265)&amp;"","")</f>
        <v/>
      </c>
      <c r="G265" s="67">
        <f>IF($H265&lt;&gt;"","Guest list",IF($I265&lt;&gt;"","RSVP form",""))</f>
        <v/>
      </c>
      <c r="H265" s="32">
        <f>IF(257&lt;=Guests!$AG$505,MATCH(257,Guests!$AH:$AH,0),"")</f>
        <v/>
      </c>
      <c r="I265" s="32">
        <f>IF(AND(257&gt;Guests!$AG$505,257&lt;=Guests!$AG$505+'Form Calc'!$AB$601),MATCH(257-Guests!$AG$505,'Form Calc'!$AC:$AC,0),"")</f>
        <v/>
      </c>
    </row>
    <row r="266">
      <c r="A266" s="66">
        <f>IF($H266&lt;&gt;"",INDEX(Guests!$A:$A,$H266)&amp;"",IF($I266&lt;&gt;"",INDEX('Form Calc'!$B:$B,$I266)&amp;"",""))</f>
        <v/>
      </c>
      <c r="B266" s="67">
        <f>IF($H266&lt;&gt;"",INDEX(Guests!$B:$B,$H266)&amp;"",IF($I266&lt;&gt;"",INDEX('Form Calc'!$G:$G,$I266)&amp;"",""))</f>
        <v/>
      </c>
      <c r="C266" s="68">
        <f>IF($H266&lt;&gt;"",IF(INDEX(Guests!$AD:$AD,$H266)&lt;&gt;"",HYPERLINK(INDEX(Guests!$AD:$AD,$H266),"💬 Remind"),"add mobile"),IF($I266&lt;&gt;"",IF(INDEX('Form Calc'!$AG:$AG,$I266)&lt;&gt;"",HYPERLINK(INDEX('Form Calc'!$AG:$AG,$I266),"💬 Remind"),"add mobile"),""))</f>
        <v/>
      </c>
      <c r="D266" s="67">
        <f>IF($H266&lt;&gt;"",INDEX(Guests!$Y:$Y,$H266)&amp;"",IF($I266&lt;&gt;"",INDEX('Form Calc'!$C:$C,$I266)&amp;"",""))</f>
        <v/>
      </c>
      <c r="E266" s="69">
        <f>IF($H266&lt;&gt;"",IF(INDEX(Guests!$N:$N,$H266)="","",INDEX(Guests!$N:$N,$H266)),"")</f>
        <v/>
      </c>
      <c r="F266" s="67">
        <f>IF($H266&lt;&gt;"",INDEX(Guests!$E:$E,$H266)&amp;"","")</f>
        <v/>
      </c>
      <c r="G266" s="67">
        <f>IF($H266&lt;&gt;"","Guest list",IF($I266&lt;&gt;"","RSVP form",""))</f>
        <v/>
      </c>
      <c r="H266" s="32">
        <f>IF(258&lt;=Guests!$AG$505,MATCH(258,Guests!$AH:$AH,0),"")</f>
        <v/>
      </c>
      <c r="I266" s="32">
        <f>IF(AND(258&gt;Guests!$AG$505,258&lt;=Guests!$AG$505+'Form Calc'!$AB$601),MATCH(258-Guests!$AG$505,'Form Calc'!$AC:$AC,0),"")</f>
        <v/>
      </c>
    </row>
    <row r="267">
      <c r="A267" s="66">
        <f>IF($H267&lt;&gt;"",INDEX(Guests!$A:$A,$H267)&amp;"",IF($I267&lt;&gt;"",INDEX('Form Calc'!$B:$B,$I267)&amp;"",""))</f>
        <v/>
      </c>
      <c r="B267" s="67">
        <f>IF($H267&lt;&gt;"",INDEX(Guests!$B:$B,$H267)&amp;"",IF($I267&lt;&gt;"",INDEX('Form Calc'!$G:$G,$I267)&amp;"",""))</f>
        <v/>
      </c>
      <c r="C267" s="68">
        <f>IF($H267&lt;&gt;"",IF(INDEX(Guests!$AD:$AD,$H267)&lt;&gt;"",HYPERLINK(INDEX(Guests!$AD:$AD,$H267),"💬 Remind"),"add mobile"),IF($I267&lt;&gt;"",IF(INDEX('Form Calc'!$AG:$AG,$I267)&lt;&gt;"",HYPERLINK(INDEX('Form Calc'!$AG:$AG,$I267),"💬 Remind"),"add mobile"),""))</f>
        <v/>
      </c>
      <c r="D267" s="67">
        <f>IF($H267&lt;&gt;"",INDEX(Guests!$Y:$Y,$H267)&amp;"",IF($I267&lt;&gt;"",INDEX('Form Calc'!$C:$C,$I267)&amp;"",""))</f>
        <v/>
      </c>
      <c r="E267" s="69">
        <f>IF($H267&lt;&gt;"",IF(INDEX(Guests!$N:$N,$H267)="","",INDEX(Guests!$N:$N,$H267)),"")</f>
        <v/>
      </c>
      <c r="F267" s="67">
        <f>IF($H267&lt;&gt;"",INDEX(Guests!$E:$E,$H267)&amp;"","")</f>
        <v/>
      </c>
      <c r="G267" s="67">
        <f>IF($H267&lt;&gt;"","Guest list",IF($I267&lt;&gt;"","RSVP form",""))</f>
        <v/>
      </c>
      <c r="H267" s="32">
        <f>IF(259&lt;=Guests!$AG$505,MATCH(259,Guests!$AH:$AH,0),"")</f>
        <v/>
      </c>
      <c r="I267" s="32">
        <f>IF(AND(259&gt;Guests!$AG$505,259&lt;=Guests!$AG$505+'Form Calc'!$AB$601),MATCH(259-Guests!$AG$505,'Form Calc'!$AC:$AC,0),"")</f>
        <v/>
      </c>
    </row>
    <row r="268">
      <c r="A268" s="66">
        <f>IF($H268&lt;&gt;"",INDEX(Guests!$A:$A,$H268)&amp;"",IF($I268&lt;&gt;"",INDEX('Form Calc'!$B:$B,$I268)&amp;"",""))</f>
        <v/>
      </c>
      <c r="B268" s="67">
        <f>IF($H268&lt;&gt;"",INDEX(Guests!$B:$B,$H268)&amp;"",IF($I268&lt;&gt;"",INDEX('Form Calc'!$G:$G,$I268)&amp;"",""))</f>
        <v/>
      </c>
      <c r="C268" s="68">
        <f>IF($H268&lt;&gt;"",IF(INDEX(Guests!$AD:$AD,$H268)&lt;&gt;"",HYPERLINK(INDEX(Guests!$AD:$AD,$H268),"💬 Remind"),"add mobile"),IF($I268&lt;&gt;"",IF(INDEX('Form Calc'!$AG:$AG,$I268)&lt;&gt;"",HYPERLINK(INDEX('Form Calc'!$AG:$AG,$I268),"💬 Remind"),"add mobile"),""))</f>
        <v/>
      </c>
      <c r="D268" s="67">
        <f>IF($H268&lt;&gt;"",INDEX(Guests!$Y:$Y,$H268)&amp;"",IF($I268&lt;&gt;"",INDEX('Form Calc'!$C:$C,$I268)&amp;"",""))</f>
        <v/>
      </c>
      <c r="E268" s="69">
        <f>IF($H268&lt;&gt;"",IF(INDEX(Guests!$N:$N,$H268)="","",INDEX(Guests!$N:$N,$H268)),"")</f>
        <v/>
      </c>
      <c r="F268" s="67">
        <f>IF($H268&lt;&gt;"",INDEX(Guests!$E:$E,$H268)&amp;"","")</f>
        <v/>
      </c>
      <c r="G268" s="67">
        <f>IF($H268&lt;&gt;"","Guest list",IF($I268&lt;&gt;"","RSVP form",""))</f>
        <v/>
      </c>
      <c r="H268" s="32">
        <f>IF(260&lt;=Guests!$AG$505,MATCH(260,Guests!$AH:$AH,0),"")</f>
        <v/>
      </c>
      <c r="I268" s="32">
        <f>IF(AND(260&gt;Guests!$AG$505,260&lt;=Guests!$AG$505+'Form Calc'!$AB$601),MATCH(260-Guests!$AG$505,'Form Calc'!$AC:$AC,0),"")</f>
        <v/>
      </c>
    </row>
    <row r="269">
      <c r="A269" s="66">
        <f>IF($H269&lt;&gt;"",INDEX(Guests!$A:$A,$H269)&amp;"",IF($I269&lt;&gt;"",INDEX('Form Calc'!$B:$B,$I269)&amp;"",""))</f>
        <v/>
      </c>
      <c r="B269" s="67">
        <f>IF($H269&lt;&gt;"",INDEX(Guests!$B:$B,$H269)&amp;"",IF($I269&lt;&gt;"",INDEX('Form Calc'!$G:$G,$I269)&amp;"",""))</f>
        <v/>
      </c>
      <c r="C269" s="68">
        <f>IF($H269&lt;&gt;"",IF(INDEX(Guests!$AD:$AD,$H269)&lt;&gt;"",HYPERLINK(INDEX(Guests!$AD:$AD,$H269),"💬 Remind"),"add mobile"),IF($I269&lt;&gt;"",IF(INDEX('Form Calc'!$AG:$AG,$I269)&lt;&gt;"",HYPERLINK(INDEX('Form Calc'!$AG:$AG,$I269),"💬 Remind"),"add mobile"),""))</f>
        <v/>
      </c>
      <c r="D269" s="67">
        <f>IF($H269&lt;&gt;"",INDEX(Guests!$Y:$Y,$H269)&amp;"",IF($I269&lt;&gt;"",INDEX('Form Calc'!$C:$C,$I269)&amp;"",""))</f>
        <v/>
      </c>
      <c r="E269" s="69">
        <f>IF($H269&lt;&gt;"",IF(INDEX(Guests!$N:$N,$H269)="","",INDEX(Guests!$N:$N,$H269)),"")</f>
        <v/>
      </c>
      <c r="F269" s="67">
        <f>IF($H269&lt;&gt;"",INDEX(Guests!$E:$E,$H269)&amp;"","")</f>
        <v/>
      </c>
      <c r="G269" s="67">
        <f>IF($H269&lt;&gt;"","Guest list",IF($I269&lt;&gt;"","RSVP form",""))</f>
        <v/>
      </c>
      <c r="H269" s="32">
        <f>IF(261&lt;=Guests!$AG$505,MATCH(261,Guests!$AH:$AH,0),"")</f>
        <v/>
      </c>
      <c r="I269" s="32">
        <f>IF(AND(261&gt;Guests!$AG$505,261&lt;=Guests!$AG$505+'Form Calc'!$AB$601),MATCH(261-Guests!$AG$505,'Form Calc'!$AC:$AC,0),"")</f>
        <v/>
      </c>
    </row>
    <row r="270">
      <c r="A270" s="66">
        <f>IF($H270&lt;&gt;"",INDEX(Guests!$A:$A,$H270)&amp;"",IF($I270&lt;&gt;"",INDEX('Form Calc'!$B:$B,$I270)&amp;"",""))</f>
        <v/>
      </c>
      <c r="B270" s="67">
        <f>IF($H270&lt;&gt;"",INDEX(Guests!$B:$B,$H270)&amp;"",IF($I270&lt;&gt;"",INDEX('Form Calc'!$G:$G,$I270)&amp;"",""))</f>
        <v/>
      </c>
      <c r="C270" s="68">
        <f>IF($H270&lt;&gt;"",IF(INDEX(Guests!$AD:$AD,$H270)&lt;&gt;"",HYPERLINK(INDEX(Guests!$AD:$AD,$H270),"💬 Remind"),"add mobile"),IF($I270&lt;&gt;"",IF(INDEX('Form Calc'!$AG:$AG,$I270)&lt;&gt;"",HYPERLINK(INDEX('Form Calc'!$AG:$AG,$I270),"💬 Remind"),"add mobile"),""))</f>
        <v/>
      </c>
      <c r="D270" s="67">
        <f>IF($H270&lt;&gt;"",INDEX(Guests!$Y:$Y,$H270)&amp;"",IF($I270&lt;&gt;"",INDEX('Form Calc'!$C:$C,$I270)&amp;"",""))</f>
        <v/>
      </c>
      <c r="E270" s="69">
        <f>IF($H270&lt;&gt;"",IF(INDEX(Guests!$N:$N,$H270)="","",INDEX(Guests!$N:$N,$H270)),"")</f>
        <v/>
      </c>
      <c r="F270" s="67">
        <f>IF($H270&lt;&gt;"",INDEX(Guests!$E:$E,$H270)&amp;"","")</f>
        <v/>
      </c>
      <c r="G270" s="67">
        <f>IF($H270&lt;&gt;"","Guest list",IF($I270&lt;&gt;"","RSVP form",""))</f>
        <v/>
      </c>
      <c r="H270" s="32">
        <f>IF(262&lt;=Guests!$AG$505,MATCH(262,Guests!$AH:$AH,0),"")</f>
        <v/>
      </c>
      <c r="I270" s="32">
        <f>IF(AND(262&gt;Guests!$AG$505,262&lt;=Guests!$AG$505+'Form Calc'!$AB$601),MATCH(262-Guests!$AG$505,'Form Calc'!$AC:$AC,0),"")</f>
        <v/>
      </c>
    </row>
    <row r="271">
      <c r="A271" s="66">
        <f>IF($H271&lt;&gt;"",INDEX(Guests!$A:$A,$H271)&amp;"",IF($I271&lt;&gt;"",INDEX('Form Calc'!$B:$B,$I271)&amp;"",""))</f>
        <v/>
      </c>
      <c r="B271" s="67">
        <f>IF($H271&lt;&gt;"",INDEX(Guests!$B:$B,$H271)&amp;"",IF($I271&lt;&gt;"",INDEX('Form Calc'!$G:$G,$I271)&amp;"",""))</f>
        <v/>
      </c>
      <c r="C271" s="68">
        <f>IF($H271&lt;&gt;"",IF(INDEX(Guests!$AD:$AD,$H271)&lt;&gt;"",HYPERLINK(INDEX(Guests!$AD:$AD,$H271),"💬 Remind"),"add mobile"),IF($I271&lt;&gt;"",IF(INDEX('Form Calc'!$AG:$AG,$I271)&lt;&gt;"",HYPERLINK(INDEX('Form Calc'!$AG:$AG,$I271),"💬 Remind"),"add mobile"),""))</f>
        <v/>
      </c>
      <c r="D271" s="67">
        <f>IF($H271&lt;&gt;"",INDEX(Guests!$Y:$Y,$H271)&amp;"",IF($I271&lt;&gt;"",INDEX('Form Calc'!$C:$C,$I271)&amp;"",""))</f>
        <v/>
      </c>
      <c r="E271" s="69">
        <f>IF($H271&lt;&gt;"",IF(INDEX(Guests!$N:$N,$H271)="","",INDEX(Guests!$N:$N,$H271)),"")</f>
        <v/>
      </c>
      <c r="F271" s="67">
        <f>IF($H271&lt;&gt;"",INDEX(Guests!$E:$E,$H271)&amp;"","")</f>
        <v/>
      </c>
      <c r="G271" s="67">
        <f>IF($H271&lt;&gt;"","Guest list",IF($I271&lt;&gt;"","RSVP form",""))</f>
        <v/>
      </c>
      <c r="H271" s="32">
        <f>IF(263&lt;=Guests!$AG$505,MATCH(263,Guests!$AH:$AH,0),"")</f>
        <v/>
      </c>
      <c r="I271" s="32">
        <f>IF(AND(263&gt;Guests!$AG$505,263&lt;=Guests!$AG$505+'Form Calc'!$AB$601),MATCH(263-Guests!$AG$505,'Form Calc'!$AC:$AC,0),"")</f>
        <v/>
      </c>
    </row>
    <row r="272">
      <c r="A272" s="66">
        <f>IF($H272&lt;&gt;"",INDEX(Guests!$A:$A,$H272)&amp;"",IF($I272&lt;&gt;"",INDEX('Form Calc'!$B:$B,$I272)&amp;"",""))</f>
        <v/>
      </c>
      <c r="B272" s="67">
        <f>IF($H272&lt;&gt;"",INDEX(Guests!$B:$B,$H272)&amp;"",IF($I272&lt;&gt;"",INDEX('Form Calc'!$G:$G,$I272)&amp;"",""))</f>
        <v/>
      </c>
      <c r="C272" s="68">
        <f>IF($H272&lt;&gt;"",IF(INDEX(Guests!$AD:$AD,$H272)&lt;&gt;"",HYPERLINK(INDEX(Guests!$AD:$AD,$H272),"💬 Remind"),"add mobile"),IF($I272&lt;&gt;"",IF(INDEX('Form Calc'!$AG:$AG,$I272)&lt;&gt;"",HYPERLINK(INDEX('Form Calc'!$AG:$AG,$I272),"💬 Remind"),"add mobile"),""))</f>
        <v/>
      </c>
      <c r="D272" s="67">
        <f>IF($H272&lt;&gt;"",INDEX(Guests!$Y:$Y,$H272)&amp;"",IF($I272&lt;&gt;"",INDEX('Form Calc'!$C:$C,$I272)&amp;"",""))</f>
        <v/>
      </c>
      <c r="E272" s="69">
        <f>IF($H272&lt;&gt;"",IF(INDEX(Guests!$N:$N,$H272)="","",INDEX(Guests!$N:$N,$H272)),"")</f>
        <v/>
      </c>
      <c r="F272" s="67">
        <f>IF($H272&lt;&gt;"",INDEX(Guests!$E:$E,$H272)&amp;"","")</f>
        <v/>
      </c>
      <c r="G272" s="67">
        <f>IF($H272&lt;&gt;"","Guest list",IF($I272&lt;&gt;"","RSVP form",""))</f>
        <v/>
      </c>
      <c r="H272" s="32">
        <f>IF(264&lt;=Guests!$AG$505,MATCH(264,Guests!$AH:$AH,0),"")</f>
        <v/>
      </c>
      <c r="I272" s="32">
        <f>IF(AND(264&gt;Guests!$AG$505,264&lt;=Guests!$AG$505+'Form Calc'!$AB$601),MATCH(264-Guests!$AG$505,'Form Calc'!$AC:$AC,0),"")</f>
        <v/>
      </c>
    </row>
    <row r="273">
      <c r="A273" s="66">
        <f>IF($H273&lt;&gt;"",INDEX(Guests!$A:$A,$H273)&amp;"",IF($I273&lt;&gt;"",INDEX('Form Calc'!$B:$B,$I273)&amp;"",""))</f>
        <v/>
      </c>
      <c r="B273" s="67">
        <f>IF($H273&lt;&gt;"",INDEX(Guests!$B:$B,$H273)&amp;"",IF($I273&lt;&gt;"",INDEX('Form Calc'!$G:$G,$I273)&amp;"",""))</f>
        <v/>
      </c>
      <c r="C273" s="68">
        <f>IF($H273&lt;&gt;"",IF(INDEX(Guests!$AD:$AD,$H273)&lt;&gt;"",HYPERLINK(INDEX(Guests!$AD:$AD,$H273),"💬 Remind"),"add mobile"),IF($I273&lt;&gt;"",IF(INDEX('Form Calc'!$AG:$AG,$I273)&lt;&gt;"",HYPERLINK(INDEX('Form Calc'!$AG:$AG,$I273),"💬 Remind"),"add mobile"),""))</f>
        <v/>
      </c>
      <c r="D273" s="67">
        <f>IF($H273&lt;&gt;"",INDEX(Guests!$Y:$Y,$H273)&amp;"",IF($I273&lt;&gt;"",INDEX('Form Calc'!$C:$C,$I273)&amp;"",""))</f>
        <v/>
      </c>
      <c r="E273" s="69">
        <f>IF($H273&lt;&gt;"",IF(INDEX(Guests!$N:$N,$H273)="","",INDEX(Guests!$N:$N,$H273)),"")</f>
        <v/>
      </c>
      <c r="F273" s="67">
        <f>IF($H273&lt;&gt;"",INDEX(Guests!$E:$E,$H273)&amp;"","")</f>
        <v/>
      </c>
      <c r="G273" s="67">
        <f>IF($H273&lt;&gt;"","Guest list",IF($I273&lt;&gt;"","RSVP form",""))</f>
        <v/>
      </c>
      <c r="H273" s="32">
        <f>IF(265&lt;=Guests!$AG$505,MATCH(265,Guests!$AH:$AH,0),"")</f>
        <v/>
      </c>
      <c r="I273" s="32">
        <f>IF(AND(265&gt;Guests!$AG$505,265&lt;=Guests!$AG$505+'Form Calc'!$AB$601),MATCH(265-Guests!$AG$505,'Form Calc'!$AC:$AC,0),"")</f>
        <v/>
      </c>
    </row>
    <row r="274">
      <c r="A274" s="66">
        <f>IF($H274&lt;&gt;"",INDEX(Guests!$A:$A,$H274)&amp;"",IF($I274&lt;&gt;"",INDEX('Form Calc'!$B:$B,$I274)&amp;"",""))</f>
        <v/>
      </c>
      <c r="B274" s="67">
        <f>IF($H274&lt;&gt;"",INDEX(Guests!$B:$B,$H274)&amp;"",IF($I274&lt;&gt;"",INDEX('Form Calc'!$G:$G,$I274)&amp;"",""))</f>
        <v/>
      </c>
      <c r="C274" s="68">
        <f>IF($H274&lt;&gt;"",IF(INDEX(Guests!$AD:$AD,$H274)&lt;&gt;"",HYPERLINK(INDEX(Guests!$AD:$AD,$H274),"💬 Remind"),"add mobile"),IF($I274&lt;&gt;"",IF(INDEX('Form Calc'!$AG:$AG,$I274)&lt;&gt;"",HYPERLINK(INDEX('Form Calc'!$AG:$AG,$I274),"💬 Remind"),"add mobile"),""))</f>
        <v/>
      </c>
      <c r="D274" s="67">
        <f>IF($H274&lt;&gt;"",INDEX(Guests!$Y:$Y,$H274)&amp;"",IF($I274&lt;&gt;"",INDEX('Form Calc'!$C:$C,$I274)&amp;"",""))</f>
        <v/>
      </c>
      <c r="E274" s="69">
        <f>IF($H274&lt;&gt;"",IF(INDEX(Guests!$N:$N,$H274)="","",INDEX(Guests!$N:$N,$H274)),"")</f>
        <v/>
      </c>
      <c r="F274" s="67">
        <f>IF($H274&lt;&gt;"",INDEX(Guests!$E:$E,$H274)&amp;"","")</f>
        <v/>
      </c>
      <c r="G274" s="67">
        <f>IF($H274&lt;&gt;"","Guest list",IF($I274&lt;&gt;"","RSVP form",""))</f>
        <v/>
      </c>
      <c r="H274" s="32">
        <f>IF(266&lt;=Guests!$AG$505,MATCH(266,Guests!$AH:$AH,0),"")</f>
        <v/>
      </c>
      <c r="I274" s="32">
        <f>IF(AND(266&gt;Guests!$AG$505,266&lt;=Guests!$AG$505+'Form Calc'!$AB$601),MATCH(266-Guests!$AG$505,'Form Calc'!$AC:$AC,0),"")</f>
        <v/>
      </c>
    </row>
    <row r="275">
      <c r="A275" s="66">
        <f>IF($H275&lt;&gt;"",INDEX(Guests!$A:$A,$H275)&amp;"",IF($I275&lt;&gt;"",INDEX('Form Calc'!$B:$B,$I275)&amp;"",""))</f>
        <v/>
      </c>
      <c r="B275" s="67">
        <f>IF($H275&lt;&gt;"",INDEX(Guests!$B:$B,$H275)&amp;"",IF($I275&lt;&gt;"",INDEX('Form Calc'!$G:$G,$I275)&amp;"",""))</f>
        <v/>
      </c>
      <c r="C275" s="68">
        <f>IF($H275&lt;&gt;"",IF(INDEX(Guests!$AD:$AD,$H275)&lt;&gt;"",HYPERLINK(INDEX(Guests!$AD:$AD,$H275),"💬 Remind"),"add mobile"),IF($I275&lt;&gt;"",IF(INDEX('Form Calc'!$AG:$AG,$I275)&lt;&gt;"",HYPERLINK(INDEX('Form Calc'!$AG:$AG,$I275),"💬 Remind"),"add mobile"),""))</f>
        <v/>
      </c>
      <c r="D275" s="67">
        <f>IF($H275&lt;&gt;"",INDEX(Guests!$Y:$Y,$H275)&amp;"",IF($I275&lt;&gt;"",INDEX('Form Calc'!$C:$C,$I275)&amp;"",""))</f>
        <v/>
      </c>
      <c r="E275" s="69">
        <f>IF($H275&lt;&gt;"",IF(INDEX(Guests!$N:$N,$H275)="","",INDEX(Guests!$N:$N,$H275)),"")</f>
        <v/>
      </c>
      <c r="F275" s="67">
        <f>IF($H275&lt;&gt;"",INDEX(Guests!$E:$E,$H275)&amp;"","")</f>
        <v/>
      </c>
      <c r="G275" s="67">
        <f>IF($H275&lt;&gt;"","Guest list",IF($I275&lt;&gt;"","RSVP form",""))</f>
        <v/>
      </c>
      <c r="H275" s="32">
        <f>IF(267&lt;=Guests!$AG$505,MATCH(267,Guests!$AH:$AH,0),"")</f>
        <v/>
      </c>
      <c r="I275" s="32">
        <f>IF(AND(267&gt;Guests!$AG$505,267&lt;=Guests!$AG$505+'Form Calc'!$AB$601),MATCH(267-Guests!$AG$505,'Form Calc'!$AC:$AC,0),"")</f>
        <v/>
      </c>
    </row>
    <row r="276">
      <c r="A276" s="66">
        <f>IF($H276&lt;&gt;"",INDEX(Guests!$A:$A,$H276)&amp;"",IF($I276&lt;&gt;"",INDEX('Form Calc'!$B:$B,$I276)&amp;"",""))</f>
        <v/>
      </c>
      <c r="B276" s="67">
        <f>IF($H276&lt;&gt;"",INDEX(Guests!$B:$B,$H276)&amp;"",IF($I276&lt;&gt;"",INDEX('Form Calc'!$G:$G,$I276)&amp;"",""))</f>
        <v/>
      </c>
      <c r="C276" s="68">
        <f>IF($H276&lt;&gt;"",IF(INDEX(Guests!$AD:$AD,$H276)&lt;&gt;"",HYPERLINK(INDEX(Guests!$AD:$AD,$H276),"💬 Remind"),"add mobile"),IF($I276&lt;&gt;"",IF(INDEX('Form Calc'!$AG:$AG,$I276)&lt;&gt;"",HYPERLINK(INDEX('Form Calc'!$AG:$AG,$I276),"💬 Remind"),"add mobile"),""))</f>
        <v/>
      </c>
      <c r="D276" s="67">
        <f>IF($H276&lt;&gt;"",INDEX(Guests!$Y:$Y,$H276)&amp;"",IF($I276&lt;&gt;"",INDEX('Form Calc'!$C:$C,$I276)&amp;"",""))</f>
        <v/>
      </c>
      <c r="E276" s="69">
        <f>IF($H276&lt;&gt;"",IF(INDEX(Guests!$N:$N,$H276)="","",INDEX(Guests!$N:$N,$H276)),"")</f>
        <v/>
      </c>
      <c r="F276" s="67">
        <f>IF($H276&lt;&gt;"",INDEX(Guests!$E:$E,$H276)&amp;"","")</f>
        <v/>
      </c>
      <c r="G276" s="67">
        <f>IF($H276&lt;&gt;"","Guest list",IF($I276&lt;&gt;"","RSVP form",""))</f>
        <v/>
      </c>
      <c r="H276" s="32">
        <f>IF(268&lt;=Guests!$AG$505,MATCH(268,Guests!$AH:$AH,0),"")</f>
        <v/>
      </c>
      <c r="I276" s="32">
        <f>IF(AND(268&gt;Guests!$AG$505,268&lt;=Guests!$AG$505+'Form Calc'!$AB$601),MATCH(268-Guests!$AG$505,'Form Calc'!$AC:$AC,0),"")</f>
        <v/>
      </c>
    </row>
    <row r="277">
      <c r="A277" s="66">
        <f>IF($H277&lt;&gt;"",INDEX(Guests!$A:$A,$H277)&amp;"",IF($I277&lt;&gt;"",INDEX('Form Calc'!$B:$B,$I277)&amp;"",""))</f>
        <v/>
      </c>
      <c r="B277" s="67">
        <f>IF($H277&lt;&gt;"",INDEX(Guests!$B:$B,$H277)&amp;"",IF($I277&lt;&gt;"",INDEX('Form Calc'!$G:$G,$I277)&amp;"",""))</f>
        <v/>
      </c>
      <c r="C277" s="68">
        <f>IF($H277&lt;&gt;"",IF(INDEX(Guests!$AD:$AD,$H277)&lt;&gt;"",HYPERLINK(INDEX(Guests!$AD:$AD,$H277),"💬 Remind"),"add mobile"),IF($I277&lt;&gt;"",IF(INDEX('Form Calc'!$AG:$AG,$I277)&lt;&gt;"",HYPERLINK(INDEX('Form Calc'!$AG:$AG,$I277),"💬 Remind"),"add mobile"),""))</f>
        <v/>
      </c>
      <c r="D277" s="67">
        <f>IF($H277&lt;&gt;"",INDEX(Guests!$Y:$Y,$H277)&amp;"",IF($I277&lt;&gt;"",INDEX('Form Calc'!$C:$C,$I277)&amp;"",""))</f>
        <v/>
      </c>
      <c r="E277" s="69">
        <f>IF($H277&lt;&gt;"",IF(INDEX(Guests!$N:$N,$H277)="","",INDEX(Guests!$N:$N,$H277)),"")</f>
        <v/>
      </c>
      <c r="F277" s="67">
        <f>IF($H277&lt;&gt;"",INDEX(Guests!$E:$E,$H277)&amp;"","")</f>
        <v/>
      </c>
      <c r="G277" s="67">
        <f>IF($H277&lt;&gt;"","Guest list",IF($I277&lt;&gt;"","RSVP form",""))</f>
        <v/>
      </c>
      <c r="H277" s="32">
        <f>IF(269&lt;=Guests!$AG$505,MATCH(269,Guests!$AH:$AH,0),"")</f>
        <v/>
      </c>
      <c r="I277" s="32">
        <f>IF(AND(269&gt;Guests!$AG$505,269&lt;=Guests!$AG$505+'Form Calc'!$AB$601),MATCH(269-Guests!$AG$505,'Form Calc'!$AC:$AC,0),"")</f>
        <v/>
      </c>
    </row>
    <row r="278">
      <c r="A278" s="66">
        <f>IF($H278&lt;&gt;"",INDEX(Guests!$A:$A,$H278)&amp;"",IF($I278&lt;&gt;"",INDEX('Form Calc'!$B:$B,$I278)&amp;"",""))</f>
        <v/>
      </c>
      <c r="B278" s="67">
        <f>IF($H278&lt;&gt;"",INDEX(Guests!$B:$B,$H278)&amp;"",IF($I278&lt;&gt;"",INDEX('Form Calc'!$G:$G,$I278)&amp;"",""))</f>
        <v/>
      </c>
      <c r="C278" s="68">
        <f>IF($H278&lt;&gt;"",IF(INDEX(Guests!$AD:$AD,$H278)&lt;&gt;"",HYPERLINK(INDEX(Guests!$AD:$AD,$H278),"💬 Remind"),"add mobile"),IF($I278&lt;&gt;"",IF(INDEX('Form Calc'!$AG:$AG,$I278)&lt;&gt;"",HYPERLINK(INDEX('Form Calc'!$AG:$AG,$I278),"💬 Remind"),"add mobile"),""))</f>
        <v/>
      </c>
      <c r="D278" s="67">
        <f>IF($H278&lt;&gt;"",INDEX(Guests!$Y:$Y,$H278)&amp;"",IF($I278&lt;&gt;"",INDEX('Form Calc'!$C:$C,$I278)&amp;"",""))</f>
        <v/>
      </c>
      <c r="E278" s="69">
        <f>IF($H278&lt;&gt;"",IF(INDEX(Guests!$N:$N,$H278)="","",INDEX(Guests!$N:$N,$H278)),"")</f>
        <v/>
      </c>
      <c r="F278" s="67">
        <f>IF($H278&lt;&gt;"",INDEX(Guests!$E:$E,$H278)&amp;"","")</f>
        <v/>
      </c>
      <c r="G278" s="67">
        <f>IF($H278&lt;&gt;"","Guest list",IF($I278&lt;&gt;"","RSVP form",""))</f>
        <v/>
      </c>
      <c r="H278" s="32">
        <f>IF(270&lt;=Guests!$AG$505,MATCH(270,Guests!$AH:$AH,0),"")</f>
        <v/>
      </c>
      <c r="I278" s="32">
        <f>IF(AND(270&gt;Guests!$AG$505,270&lt;=Guests!$AG$505+'Form Calc'!$AB$601),MATCH(270-Guests!$AG$505,'Form Calc'!$AC:$AC,0),"")</f>
        <v/>
      </c>
    </row>
    <row r="279">
      <c r="A279" s="66">
        <f>IF($H279&lt;&gt;"",INDEX(Guests!$A:$A,$H279)&amp;"",IF($I279&lt;&gt;"",INDEX('Form Calc'!$B:$B,$I279)&amp;"",""))</f>
        <v/>
      </c>
      <c r="B279" s="67">
        <f>IF($H279&lt;&gt;"",INDEX(Guests!$B:$B,$H279)&amp;"",IF($I279&lt;&gt;"",INDEX('Form Calc'!$G:$G,$I279)&amp;"",""))</f>
        <v/>
      </c>
      <c r="C279" s="68">
        <f>IF($H279&lt;&gt;"",IF(INDEX(Guests!$AD:$AD,$H279)&lt;&gt;"",HYPERLINK(INDEX(Guests!$AD:$AD,$H279),"💬 Remind"),"add mobile"),IF($I279&lt;&gt;"",IF(INDEX('Form Calc'!$AG:$AG,$I279)&lt;&gt;"",HYPERLINK(INDEX('Form Calc'!$AG:$AG,$I279),"💬 Remind"),"add mobile"),""))</f>
        <v/>
      </c>
      <c r="D279" s="67">
        <f>IF($H279&lt;&gt;"",INDEX(Guests!$Y:$Y,$H279)&amp;"",IF($I279&lt;&gt;"",INDEX('Form Calc'!$C:$C,$I279)&amp;"",""))</f>
        <v/>
      </c>
      <c r="E279" s="69">
        <f>IF($H279&lt;&gt;"",IF(INDEX(Guests!$N:$N,$H279)="","",INDEX(Guests!$N:$N,$H279)),"")</f>
        <v/>
      </c>
      <c r="F279" s="67">
        <f>IF($H279&lt;&gt;"",INDEX(Guests!$E:$E,$H279)&amp;"","")</f>
        <v/>
      </c>
      <c r="G279" s="67">
        <f>IF($H279&lt;&gt;"","Guest list",IF($I279&lt;&gt;"","RSVP form",""))</f>
        <v/>
      </c>
      <c r="H279" s="32">
        <f>IF(271&lt;=Guests!$AG$505,MATCH(271,Guests!$AH:$AH,0),"")</f>
        <v/>
      </c>
      <c r="I279" s="32">
        <f>IF(AND(271&gt;Guests!$AG$505,271&lt;=Guests!$AG$505+'Form Calc'!$AB$601),MATCH(271-Guests!$AG$505,'Form Calc'!$AC:$AC,0),"")</f>
        <v/>
      </c>
    </row>
    <row r="280">
      <c r="A280" s="66">
        <f>IF($H280&lt;&gt;"",INDEX(Guests!$A:$A,$H280)&amp;"",IF($I280&lt;&gt;"",INDEX('Form Calc'!$B:$B,$I280)&amp;"",""))</f>
        <v/>
      </c>
      <c r="B280" s="67">
        <f>IF($H280&lt;&gt;"",INDEX(Guests!$B:$B,$H280)&amp;"",IF($I280&lt;&gt;"",INDEX('Form Calc'!$G:$G,$I280)&amp;"",""))</f>
        <v/>
      </c>
      <c r="C280" s="68">
        <f>IF($H280&lt;&gt;"",IF(INDEX(Guests!$AD:$AD,$H280)&lt;&gt;"",HYPERLINK(INDEX(Guests!$AD:$AD,$H280),"💬 Remind"),"add mobile"),IF($I280&lt;&gt;"",IF(INDEX('Form Calc'!$AG:$AG,$I280)&lt;&gt;"",HYPERLINK(INDEX('Form Calc'!$AG:$AG,$I280),"💬 Remind"),"add mobile"),""))</f>
        <v/>
      </c>
      <c r="D280" s="67">
        <f>IF($H280&lt;&gt;"",INDEX(Guests!$Y:$Y,$H280)&amp;"",IF($I280&lt;&gt;"",INDEX('Form Calc'!$C:$C,$I280)&amp;"",""))</f>
        <v/>
      </c>
      <c r="E280" s="69">
        <f>IF($H280&lt;&gt;"",IF(INDEX(Guests!$N:$N,$H280)="","",INDEX(Guests!$N:$N,$H280)),"")</f>
        <v/>
      </c>
      <c r="F280" s="67">
        <f>IF($H280&lt;&gt;"",INDEX(Guests!$E:$E,$H280)&amp;"","")</f>
        <v/>
      </c>
      <c r="G280" s="67">
        <f>IF($H280&lt;&gt;"","Guest list",IF($I280&lt;&gt;"","RSVP form",""))</f>
        <v/>
      </c>
      <c r="H280" s="32">
        <f>IF(272&lt;=Guests!$AG$505,MATCH(272,Guests!$AH:$AH,0),"")</f>
        <v/>
      </c>
      <c r="I280" s="32">
        <f>IF(AND(272&gt;Guests!$AG$505,272&lt;=Guests!$AG$505+'Form Calc'!$AB$601),MATCH(272-Guests!$AG$505,'Form Calc'!$AC:$AC,0),"")</f>
        <v/>
      </c>
    </row>
    <row r="281">
      <c r="A281" s="66">
        <f>IF($H281&lt;&gt;"",INDEX(Guests!$A:$A,$H281)&amp;"",IF($I281&lt;&gt;"",INDEX('Form Calc'!$B:$B,$I281)&amp;"",""))</f>
        <v/>
      </c>
      <c r="B281" s="67">
        <f>IF($H281&lt;&gt;"",INDEX(Guests!$B:$B,$H281)&amp;"",IF($I281&lt;&gt;"",INDEX('Form Calc'!$G:$G,$I281)&amp;"",""))</f>
        <v/>
      </c>
      <c r="C281" s="68">
        <f>IF($H281&lt;&gt;"",IF(INDEX(Guests!$AD:$AD,$H281)&lt;&gt;"",HYPERLINK(INDEX(Guests!$AD:$AD,$H281),"💬 Remind"),"add mobile"),IF($I281&lt;&gt;"",IF(INDEX('Form Calc'!$AG:$AG,$I281)&lt;&gt;"",HYPERLINK(INDEX('Form Calc'!$AG:$AG,$I281),"💬 Remind"),"add mobile"),""))</f>
        <v/>
      </c>
      <c r="D281" s="67">
        <f>IF($H281&lt;&gt;"",INDEX(Guests!$Y:$Y,$H281)&amp;"",IF($I281&lt;&gt;"",INDEX('Form Calc'!$C:$C,$I281)&amp;"",""))</f>
        <v/>
      </c>
      <c r="E281" s="69">
        <f>IF($H281&lt;&gt;"",IF(INDEX(Guests!$N:$N,$H281)="","",INDEX(Guests!$N:$N,$H281)),"")</f>
        <v/>
      </c>
      <c r="F281" s="67">
        <f>IF($H281&lt;&gt;"",INDEX(Guests!$E:$E,$H281)&amp;"","")</f>
        <v/>
      </c>
      <c r="G281" s="67">
        <f>IF($H281&lt;&gt;"","Guest list",IF($I281&lt;&gt;"","RSVP form",""))</f>
        <v/>
      </c>
      <c r="H281" s="32">
        <f>IF(273&lt;=Guests!$AG$505,MATCH(273,Guests!$AH:$AH,0),"")</f>
        <v/>
      </c>
      <c r="I281" s="32">
        <f>IF(AND(273&gt;Guests!$AG$505,273&lt;=Guests!$AG$505+'Form Calc'!$AB$601),MATCH(273-Guests!$AG$505,'Form Calc'!$AC:$AC,0),"")</f>
        <v/>
      </c>
    </row>
    <row r="282">
      <c r="A282" s="66">
        <f>IF($H282&lt;&gt;"",INDEX(Guests!$A:$A,$H282)&amp;"",IF($I282&lt;&gt;"",INDEX('Form Calc'!$B:$B,$I282)&amp;"",""))</f>
        <v/>
      </c>
      <c r="B282" s="67">
        <f>IF($H282&lt;&gt;"",INDEX(Guests!$B:$B,$H282)&amp;"",IF($I282&lt;&gt;"",INDEX('Form Calc'!$G:$G,$I282)&amp;"",""))</f>
        <v/>
      </c>
      <c r="C282" s="68">
        <f>IF($H282&lt;&gt;"",IF(INDEX(Guests!$AD:$AD,$H282)&lt;&gt;"",HYPERLINK(INDEX(Guests!$AD:$AD,$H282),"💬 Remind"),"add mobile"),IF($I282&lt;&gt;"",IF(INDEX('Form Calc'!$AG:$AG,$I282)&lt;&gt;"",HYPERLINK(INDEX('Form Calc'!$AG:$AG,$I282),"💬 Remind"),"add mobile"),""))</f>
        <v/>
      </c>
      <c r="D282" s="67">
        <f>IF($H282&lt;&gt;"",INDEX(Guests!$Y:$Y,$H282)&amp;"",IF($I282&lt;&gt;"",INDEX('Form Calc'!$C:$C,$I282)&amp;"",""))</f>
        <v/>
      </c>
      <c r="E282" s="69">
        <f>IF($H282&lt;&gt;"",IF(INDEX(Guests!$N:$N,$H282)="","",INDEX(Guests!$N:$N,$H282)),"")</f>
        <v/>
      </c>
      <c r="F282" s="67">
        <f>IF($H282&lt;&gt;"",INDEX(Guests!$E:$E,$H282)&amp;"","")</f>
        <v/>
      </c>
      <c r="G282" s="67">
        <f>IF($H282&lt;&gt;"","Guest list",IF($I282&lt;&gt;"","RSVP form",""))</f>
        <v/>
      </c>
      <c r="H282" s="32">
        <f>IF(274&lt;=Guests!$AG$505,MATCH(274,Guests!$AH:$AH,0),"")</f>
        <v/>
      </c>
      <c r="I282" s="32">
        <f>IF(AND(274&gt;Guests!$AG$505,274&lt;=Guests!$AG$505+'Form Calc'!$AB$601),MATCH(274-Guests!$AG$505,'Form Calc'!$AC:$AC,0),"")</f>
        <v/>
      </c>
    </row>
    <row r="283">
      <c r="A283" s="66">
        <f>IF($H283&lt;&gt;"",INDEX(Guests!$A:$A,$H283)&amp;"",IF($I283&lt;&gt;"",INDEX('Form Calc'!$B:$B,$I283)&amp;"",""))</f>
        <v/>
      </c>
      <c r="B283" s="67">
        <f>IF($H283&lt;&gt;"",INDEX(Guests!$B:$B,$H283)&amp;"",IF($I283&lt;&gt;"",INDEX('Form Calc'!$G:$G,$I283)&amp;"",""))</f>
        <v/>
      </c>
      <c r="C283" s="68">
        <f>IF($H283&lt;&gt;"",IF(INDEX(Guests!$AD:$AD,$H283)&lt;&gt;"",HYPERLINK(INDEX(Guests!$AD:$AD,$H283),"💬 Remind"),"add mobile"),IF($I283&lt;&gt;"",IF(INDEX('Form Calc'!$AG:$AG,$I283)&lt;&gt;"",HYPERLINK(INDEX('Form Calc'!$AG:$AG,$I283),"💬 Remind"),"add mobile"),""))</f>
        <v/>
      </c>
      <c r="D283" s="67">
        <f>IF($H283&lt;&gt;"",INDEX(Guests!$Y:$Y,$H283)&amp;"",IF($I283&lt;&gt;"",INDEX('Form Calc'!$C:$C,$I283)&amp;"",""))</f>
        <v/>
      </c>
      <c r="E283" s="69">
        <f>IF($H283&lt;&gt;"",IF(INDEX(Guests!$N:$N,$H283)="","",INDEX(Guests!$N:$N,$H283)),"")</f>
        <v/>
      </c>
      <c r="F283" s="67">
        <f>IF($H283&lt;&gt;"",INDEX(Guests!$E:$E,$H283)&amp;"","")</f>
        <v/>
      </c>
      <c r="G283" s="67">
        <f>IF($H283&lt;&gt;"","Guest list",IF($I283&lt;&gt;"","RSVP form",""))</f>
        <v/>
      </c>
      <c r="H283" s="32">
        <f>IF(275&lt;=Guests!$AG$505,MATCH(275,Guests!$AH:$AH,0),"")</f>
        <v/>
      </c>
      <c r="I283" s="32">
        <f>IF(AND(275&gt;Guests!$AG$505,275&lt;=Guests!$AG$505+'Form Calc'!$AB$601),MATCH(275-Guests!$AG$505,'Form Calc'!$AC:$AC,0),"")</f>
        <v/>
      </c>
    </row>
    <row r="284">
      <c r="A284" s="66">
        <f>IF($H284&lt;&gt;"",INDEX(Guests!$A:$A,$H284)&amp;"",IF($I284&lt;&gt;"",INDEX('Form Calc'!$B:$B,$I284)&amp;"",""))</f>
        <v/>
      </c>
      <c r="B284" s="67">
        <f>IF($H284&lt;&gt;"",INDEX(Guests!$B:$B,$H284)&amp;"",IF($I284&lt;&gt;"",INDEX('Form Calc'!$G:$G,$I284)&amp;"",""))</f>
        <v/>
      </c>
      <c r="C284" s="68">
        <f>IF($H284&lt;&gt;"",IF(INDEX(Guests!$AD:$AD,$H284)&lt;&gt;"",HYPERLINK(INDEX(Guests!$AD:$AD,$H284),"💬 Remind"),"add mobile"),IF($I284&lt;&gt;"",IF(INDEX('Form Calc'!$AG:$AG,$I284)&lt;&gt;"",HYPERLINK(INDEX('Form Calc'!$AG:$AG,$I284),"💬 Remind"),"add mobile"),""))</f>
        <v/>
      </c>
      <c r="D284" s="67">
        <f>IF($H284&lt;&gt;"",INDEX(Guests!$Y:$Y,$H284)&amp;"",IF($I284&lt;&gt;"",INDEX('Form Calc'!$C:$C,$I284)&amp;"",""))</f>
        <v/>
      </c>
      <c r="E284" s="69">
        <f>IF($H284&lt;&gt;"",IF(INDEX(Guests!$N:$N,$H284)="","",INDEX(Guests!$N:$N,$H284)),"")</f>
        <v/>
      </c>
      <c r="F284" s="67">
        <f>IF($H284&lt;&gt;"",INDEX(Guests!$E:$E,$H284)&amp;"","")</f>
        <v/>
      </c>
      <c r="G284" s="67">
        <f>IF($H284&lt;&gt;"","Guest list",IF($I284&lt;&gt;"","RSVP form",""))</f>
        <v/>
      </c>
      <c r="H284" s="32">
        <f>IF(276&lt;=Guests!$AG$505,MATCH(276,Guests!$AH:$AH,0),"")</f>
        <v/>
      </c>
      <c r="I284" s="32">
        <f>IF(AND(276&gt;Guests!$AG$505,276&lt;=Guests!$AG$505+'Form Calc'!$AB$601),MATCH(276-Guests!$AG$505,'Form Calc'!$AC:$AC,0),"")</f>
        <v/>
      </c>
    </row>
    <row r="285">
      <c r="A285" s="66">
        <f>IF($H285&lt;&gt;"",INDEX(Guests!$A:$A,$H285)&amp;"",IF($I285&lt;&gt;"",INDEX('Form Calc'!$B:$B,$I285)&amp;"",""))</f>
        <v/>
      </c>
      <c r="B285" s="67">
        <f>IF($H285&lt;&gt;"",INDEX(Guests!$B:$B,$H285)&amp;"",IF($I285&lt;&gt;"",INDEX('Form Calc'!$G:$G,$I285)&amp;"",""))</f>
        <v/>
      </c>
      <c r="C285" s="68">
        <f>IF($H285&lt;&gt;"",IF(INDEX(Guests!$AD:$AD,$H285)&lt;&gt;"",HYPERLINK(INDEX(Guests!$AD:$AD,$H285),"💬 Remind"),"add mobile"),IF($I285&lt;&gt;"",IF(INDEX('Form Calc'!$AG:$AG,$I285)&lt;&gt;"",HYPERLINK(INDEX('Form Calc'!$AG:$AG,$I285),"💬 Remind"),"add mobile"),""))</f>
        <v/>
      </c>
      <c r="D285" s="67">
        <f>IF($H285&lt;&gt;"",INDEX(Guests!$Y:$Y,$H285)&amp;"",IF($I285&lt;&gt;"",INDEX('Form Calc'!$C:$C,$I285)&amp;"",""))</f>
        <v/>
      </c>
      <c r="E285" s="69">
        <f>IF($H285&lt;&gt;"",IF(INDEX(Guests!$N:$N,$H285)="","",INDEX(Guests!$N:$N,$H285)),"")</f>
        <v/>
      </c>
      <c r="F285" s="67">
        <f>IF($H285&lt;&gt;"",INDEX(Guests!$E:$E,$H285)&amp;"","")</f>
        <v/>
      </c>
      <c r="G285" s="67">
        <f>IF($H285&lt;&gt;"","Guest list",IF($I285&lt;&gt;"","RSVP form",""))</f>
        <v/>
      </c>
      <c r="H285" s="32">
        <f>IF(277&lt;=Guests!$AG$505,MATCH(277,Guests!$AH:$AH,0),"")</f>
        <v/>
      </c>
      <c r="I285" s="32">
        <f>IF(AND(277&gt;Guests!$AG$505,277&lt;=Guests!$AG$505+'Form Calc'!$AB$601),MATCH(277-Guests!$AG$505,'Form Calc'!$AC:$AC,0),"")</f>
        <v/>
      </c>
    </row>
    <row r="286">
      <c r="A286" s="66">
        <f>IF($H286&lt;&gt;"",INDEX(Guests!$A:$A,$H286)&amp;"",IF($I286&lt;&gt;"",INDEX('Form Calc'!$B:$B,$I286)&amp;"",""))</f>
        <v/>
      </c>
      <c r="B286" s="67">
        <f>IF($H286&lt;&gt;"",INDEX(Guests!$B:$B,$H286)&amp;"",IF($I286&lt;&gt;"",INDEX('Form Calc'!$G:$G,$I286)&amp;"",""))</f>
        <v/>
      </c>
      <c r="C286" s="68">
        <f>IF($H286&lt;&gt;"",IF(INDEX(Guests!$AD:$AD,$H286)&lt;&gt;"",HYPERLINK(INDEX(Guests!$AD:$AD,$H286),"💬 Remind"),"add mobile"),IF($I286&lt;&gt;"",IF(INDEX('Form Calc'!$AG:$AG,$I286)&lt;&gt;"",HYPERLINK(INDEX('Form Calc'!$AG:$AG,$I286),"💬 Remind"),"add mobile"),""))</f>
        <v/>
      </c>
      <c r="D286" s="67">
        <f>IF($H286&lt;&gt;"",INDEX(Guests!$Y:$Y,$H286)&amp;"",IF($I286&lt;&gt;"",INDEX('Form Calc'!$C:$C,$I286)&amp;"",""))</f>
        <v/>
      </c>
      <c r="E286" s="69">
        <f>IF($H286&lt;&gt;"",IF(INDEX(Guests!$N:$N,$H286)="","",INDEX(Guests!$N:$N,$H286)),"")</f>
        <v/>
      </c>
      <c r="F286" s="67">
        <f>IF($H286&lt;&gt;"",INDEX(Guests!$E:$E,$H286)&amp;"","")</f>
        <v/>
      </c>
      <c r="G286" s="67">
        <f>IF($H286&lt;&gt;"","Guest list",IF($I286&lt;&gt;"","RSVP form",""))</f>
        <v/>
      </c>
      <c r="H286" s="32">
        <f>IF(278&lt;=Guests!$AG$505,MATCH(278,Guests!$AH:$AH,0),"")</f>
        <v/>
      </c>
      <c r="I286" s="32">
        <f>IF(AND(278&gt;Guests!$AG$505,278&lt;=Guests!$AG$505+'Form Calc'!$AB$601),MATCH(278-Guests!$AG$505,'Form Calc'!$AC:$AC,0),"")</f>
        <v/>
      </c>
    </row>
    <row r="287">
      <c r="A287" s="66">
        <f>IF($H287&lt;&gt;"",INDEX(Guests!$A:$A,$H287)&amp;"",IF($I287&lt;&gt;"",INDEX('Form Calc'!$B:$B,$I287)&amp;"",""))</f>
        <v/>
      </c>
      <c r="B287" s="67">
        <f>IF($H287&lt;&gt;"",INDEX(Guests!$B:$B,$H287)&amp;"",IF($I287&lt;&gt;"",INDEX('Form Calc'!$G:$G,$I287)&amp;"",""))</f>
        <v/>
      </c>
      <c r="C287" s="68">
        <f>IF($H287&lt;&gt;"",IF(INDEX(Guests!$AD:$AD,$H287)&lt;&gt;"",HYPERLINK(INDEX(Guests!$AD:$AD,$H287),"💬 Remind"),"add mobile"),IF($I287&lt;&gt;"",IF(INDEX('Form Calc'!$AG:$AG,$I287)&lt;&gt;"",HYPERLINK(INDEX('Form Calc'!$AG:$AG,$I287),"💬 Remind"),"add mobile"),""))</f>
        <v/>
      </c>
      <c r="D287" s="67">
        <f>IF($H287&lt;&gt;"",INDEX(Guests!$Y:$Y,$H287)&amp;"",IF($I287&lt;&gt;"",INDEX('Form Calc'!$C:$C,$I287)&amp;"",""))</f>
        <v/>
      </c>
      <c r="E287" s="69">
        <f>IF($H287&lt;&gt;"",IF(INDEX(Guests!$N:$N,$H287)="","",INDEX(Guests!$N:$N,$H287)),"")</f>
        <v/>
      </c>
      <c r="F287" s="67">
        <f>IF($H287&lt;&gt;"",INDEX(Guests!$E:$E,$H287)&amp;"","")</f>
        <v/>
      </c>
      <c r="G287" s="67">
        <f>IF($H287&lt;&gt;"","Guest list",IF($I287&lt;&gt;"","RSVP form",""))</f>
        <v/>
      </c>
      <c r="H287" s="32">
        <f>IF(279&lt;=Guests!$AG$505,MATCH(279,Guests!$AH:$AH,0),"")</f>
        <v/>
      </c>
      <c r="I287" s="32">
        <f>IF(AND(279&gt;Guests!$AG$505,279&lt;=Guests!$AG$505+'Form Calc'!$AB$601),MATCH(279-Guests!$AG$505,'Form Calc'!$AC:$AC,0),"")</f>
        <v/>
      </c>
    </row>
    <row r="288">
      <c r="A288" s="66">
        <f>IF($H288&lt;&gt;"",INDEX(Guests!$A:$A,$H288)&amp;"",IF($I288&lt;&gt;"",INDEX('Form Calc'!$B:$B,$I288)&amp;"",""))</f>
        <v/>
      </c>
      <c r="B288" s="67">
        <f>IF($H288&lt;&gt;"",INDEX(Guests!$B:$B,$H288)&amp;"",IF($I288&lt;&gt;"",INDEX('Form Calc'!$G:$G,$I288)&amp;"",""))</f>
        <v/>
      </c>
      <c r="C288" s="68">
        <f>IF($H288&lt;&gt;"",IF(INDEX(Guests!$AD:$AD,$H288)&lt;&gt;"",HYPERLINK(INDEX(Guests!$AD:$AD,$H288),"💬 Remind"),"add mobile"),IF($I288&lt;&gt;"",IF(INDEX('Form Calc'!$AG:$AG,$I288)&lt;&gt;"",HYPERLINK(INDEX('Form Calc'!$AG:$AG,$I288),"💬 Remind"),"add mobile"),""))</f>
        <v/>
      </c>
      <c r="D288" s="67">
        <f>IF($H288&lt;&gt;"",INDEX(Guests!$Y:$Y,$H288)&amp;"",IF($I288&lt;&gt;"",INDEX('Form Calc'!$C:$C,$I288)&amp;"",""))</f>
        <v/>
      </c>
      <c r="E288" s="69">
        <f>IF($H288&lt;&gt;"",IF(INDEX(Guests!$N:$N,$H288)="","",INDEX(Guests!$N:$N,$H288)),"")</f>
        <v/>
      </c>
      <c r="F288" s="67">
        <f>IF($H288&lt;&gt;"",INDEX(Guests!$E:$E,$H288)&amp;"","")</f>
        <v/>
      </c>
      <c r="G288" s="67">
        <f>IF($H288&lt;&gt;"","Guest list",IF($I288&lt;&gt;"","RSVP form",""))</f>
        <v/>
      </c>
      <c r="H288" s="32">
        <f>IF(280&lt;=Guests!$AG$505,MATCH(280,Guests!$AH:$AH,0),"")</f>
        <v/>
      </c>
      <c r="I288" s="32">
        <f>IF(AND(280&gt;Guests!$AG$505,280&lt;=Guests!$AG$505+'Form Calc'!$AB$601),MATCH(280-Guests!$AG$505,'Form Calc'!$AC:$AC,0),"")</f>
        <v/>
      </c>
    </row>
    <row r="289">
      <c r="A289" s="66">
        <f>IF($H289&lt;&gt;"",INDEX(Guests!$A:$A,$H289)&amp;"",IF($I289&lt;&gt;"",INDEX('Form Calc'!$B:$B,$I289)&amp;"",""))</f>
        <v/>
      </c>
      <c r="B289" s="67">
        <f>IF($H289&lt;&gt;"",INDEX(Guests!$B:$B,$H289)&amp;"",IF($I289&lt;&gt;"",INDEX('Form Calc'!$G:$G,$I289)&amp;"",""))</f>
        <v/>
      </c>
      <c r="C289" s="68">
        <f>IF($H289&lt;&gt;"",IF(INDEX(Guests!$AD:$AD,$H289)&lt;&gt;"",HYPERLINK(INDEX(Guests!$AD:$AD,$H289),"💬 Remind"),"add mobile"),IF($I289&lt;&gt;"",IF(INDEX('Form Calc'!$AG:$AG,$I289)&lt;&gt;"",HYPERLINK(INDEX('Form Calc'!$AG:$AG,$I289),"💬 Remind"),"add mobile"),""))</f>
        <v/>
      </c>
      <c r="D289" s="67">
        <f>IF($H289&lt;&gt;"",INDEX(Guests!$Y:$Y,$H289)&amp;"",IF($I289&lt;&gt;"",INDEX('Form Calc'!$C:$C,$I289)&amp;"",""))</f>
        <v/>
      </c>
      <c r="E289" s="69">
        <f>IF($H289&lt;&gt;"",IF(INDEX(Guests!$N:$N,$H289)="","",INDEX(Guests!$N:$N,$H289)),"")</f>
        <v/>
      </c>
      <c r="F289" s="67">
        <f>IF($H289&lt;&gt;"",INDEX(Guests!$E:$E,$H289)&amp;"","")</f>
        <v/>
      </c>
      <c r="G289" s="67">
        <f>IF($H289&lt;&gt;"","Guest list",IF($I289&lt;&gt;"","RSVP form",""))</f>
        <v/>
      </c>
      <c r="H289" s="32">
        <f>IF(281&lt;=Guests!$AG$505,MATCH(281,Guests!$AH:$AH,0),"")</f>
        <v/>
      </c>
      <c r="I289" s="32">
        <f>IF(AND(281&gt;Guests!$AG$505,281&lt;=Guests!$AG$505+'Form Calc'!$AB$601),MATCH(281-Guests!$AG$505,'Form Calc'!$AC:$AC,0),"")</f>
        <v/>
      </c>
    </row>
    <row r="290">
      <c r="A290" s="66">
        <f>IF($H290&lt;&gt;"",INDEX(Guests!$A:$A,$H290)&amp;"",IF($I290&lt;&gt;"",INDEX('Form Calc'!$B:$B,$I290)&amp;"",""))</f>
        <v/>
      </c>
      <c r="B290" s="67">
        <f>IF($H290&lt;&gt;"",INDEX(Guests!$B:$B,$H290)&amp;"",IF($I290&lt;&gt;"",INDEX('Form Calc'!$G:$G,$I290)&amp;"",""))</f>
        <v/>
      </c>
      <c r="C290" s="68">
        <f>IF($H290&lt;&gt;"",IF(INDEX(Guests!$AD:$AD,$H290)&lt;&gt;"",HYPERLINK(INDEX(Guests!$AD:$AD,$H290),"💬 Remind"),"add mobile"),IF($I290&lt;&gt;"",IF(INDEX('Form Calc'!$AG:$AG,$I290)&lt;&gt;"",HYPERLINK(INDEX('Form Calc'!$AG:$AG,$I290),"💬 Remind"),"add mobile"),""))</f>
        <v/>
      </c>
      <c r="D290" s="67">
        <f>IF($H290&lt;&gt;"",INDEX(Guests!$Y:$Y,$H290)&amp;"",IF($I290&lt;&gt;"",INDEX('Form Calc'!$C:$C,$I290)&amp;"",""))</f>
        <v/>
      </c>
      <c r="E290" s="69">
        <f>IF($H290&lt;&gt;"",IF(INDEX(Guests!$N:$N,$H290)="","",INDEX(Guests!$N:$N,$H290)),"")</f>
        <v/>
      </c>
      <c r="F290" s="67">
        <f>IF($H290&lt;&gt;"",INDEX(Guests!$E:$E,$H290)&amp;"","")</f>
        <v/>
      </c>
      <c r="G290" s="67">
        <f>IF($H290&lt;&gt;"","Guest list",IF($I290&lt;&gt;"","RSVP form",""))</f>
        <v/>
      </c>
      <c r="H290" s="32">
        <f>IF(282&lt;=Guests!$AG$505,MATCH(282,Guests!$AH:$AH,0),"")</f>
        <v/>
      </c>
      <c r="I290" s="32">
        <f>IF(AND(282&gt;Guests!$AG$505,282&lt;=Guests!$AG$505+'Form Calc'!$AB$601),MATCH(282-Guests!$AG$505,'Form Calc'!$AC:$AC,0),"")</f>
        <v/>
      </c>
    </row>
    <row r="291">
      <c r="A291" s="66">
        <f>IF($H291&lt;&gt;"",INDEX(Guests!$A:$A,$H291)&amp;"",IF($I291&lt;&gt;"",INDEX('Form Calc'!$B:$B,$I291)&amp;"",""))</f>
        <v/>
      </c>
      <c r="B291" s="67">
        <f>IF($H291&lt;&gt;"",INDEX(Guests!$B:$B,$H291)&amp;"",IF($I291&lt;&gt;"",INDEX('Form Calc'!$G:$G,$I291)&amp;"",""))</f>
        <v/>
      </c>
      <c r="C291" s="68">
        <f>IF($H291&lt;&gt;"",IF(INDEX(Guests!$AD:$AD,$H291)&lt;&gt;"",HYPERLINK(INDEX(Guests!$AD:$AD,$H291),"💬 Remind"),"add mobile"),IF($I291&lt;&gt;"",IF(INDEX('Form Calc'!$AG:$AG,$I291)&lt;&gt;"",HYPERLINK(INDEX('Form Calc'!$AG:$AG,$I291),"💬 Remind"),"add mobile"),""))</f>
        <v/>
      </c>
      <c r="D291" s="67">
        <f>IF($H291&lt;&gt;"",INDEX(Guests!$Y:$Y,$H291)&amp;"",IF($I291&lt;&gt;"",INDEX('Form Calc'!$C:$C,$I291)&amp;"",""))</f>
        <v/>
      </c>
      <c r="E291" s="69">
        <f>IF($H291&lt;&gt;"",IF(INDEX(Guests!$N:$N,$H291)="","",INDEX(Guests!$N:$N,$H291)),"")</f>
        <v/>
      </c>
      <c r="F291" s="67">
        <f>IF($H291&lt;&gt;"",INDEX(Guests!$E:$E,$H291)&amp;"","")</f>
        <v/>
      </c>
      <c r="G291" s="67">
        <f>IF($H291&lt;&gt;"","Guest list",IF($I291&lt;&gt;"","RSVP form",""))</f>
        <v/>
      </c>
      <c r="H291" s="32">
        <f>IF(283&lt;=Guests!$AG$505,MATCH(283,Guests!$AH:$AH,0),"")</f>
        <v/>
      </c>
      <c r="I291" s="32">
        <f>IF(AND(283&gt;Guests!$AG$505,283&lt;=Guests!$AG$505+'Form Calc'!$AB$601),MATCH(283-Guests!$AG$505,'Form Calc'!$AC:$AC,0),"")</f>
        <v/>
      </c>
    </row>
    <row r="292">
      <c r="A292" s="66">
        <f>IF($H292&lt;&gt;"",INDEX(Guests!$A:$A,$H292)&amp;"",IF($I292&lt;&gt;"",INDEX('Form Calc'!$B:$B,$I292)&amp;"",""))</f>
        <v/>
      </c>
      <c r="B292" s="67">
        <f>IF($H292&lt;&gt;"",INDEX(Guests!$B:$B,$H292)&amp;"",IF($I292&lt;&gt;"",INDEX('Form Calc'!$G:$G,$I292)&amp;"",""))</f>
        <v/>
      </c>
      <c r="C292" s="68">
        <f>IF($H292&lt;&gt;"",IF(INDEX(Guests!$AD:$AD,$H292)&lt;&gt;"",HYPERLINK(INDEX(Guests!$AD:$AD,$H292),"💬 Remind"),"add mobile"),IF($I292&lt;&gt;"",IF(INDEX('Form Calc'!$AG:$AG,$I292)&lt;&gt;"",HYPERLINK(INDEX('Form Calc'!$AG:$AG,$I292),"💬 Remind"),"add mobile"),""))</f>
        <v/>
      </c>
      <c r="D292" s="67">
        <f>IF($H292&lt;&gt;"",INDEX(Guests!$Y:$Y,$H292)&amp;"",IF($I292&lt;&gt;"",INDEX('Form Calc'!$C:$C,$I292)&amp;"",""))</f>
        <v/>
      </c>
      <c r="E292" s="69">
        <f>IF($H292&lt;&gt;"",IF(INDEX(Guests!$N:$N,$H292)="","",INDEX(Guests!$N:$N,$H292)),"")</f>
        <v/>
      </c>
      <c r="F292" s="67">
        <f>IF($H292&lt;&gt;"",INDEX(Guests!$E:$E,$H292)&amp;"","")</f>
        <v/>
      </c>
      <c r="G292" s="67">
        <f>IF($H292&lt;&gt;"","Guest list",IF($I292&lt;&gt;"","RSVP form",""))</f>
        <v/>
      </c>
      <c r="H292" s="32">
        <f>IF(284&lt;=Guests!$AG$505,MATCH(284,Guests!$AH:$AH,0),"")</f>
        <v/>
      </c>
      <c r="I292" s="32">
        <f>IF(AND(284&gt;Guests!$AG$505,284&lt;=Guests!$AG$505+'Form Calc'!$AB$601),MATCH(284-Guests!$AG$505,'Form Calc'!$AC:$AC,0),"")</f>
        <v/>
      </c>
    </row>
    <row r="293">
      <c r="A293" s="66">
        <f>IF($H293&lt;&gt;"",INDEX(Guests!$A:$A,$H293)&amp;"",IF($I293&lt;&gt;"",INDEX('Form Calc'!$B:$B,$I293)&amp;"",""))</f>
        <v/>
      </c>
      <c r="B293" s="67">
        <f>IF($H293&lt;&gt;"",INDEX(Guests!$B:$B,$H293)&amp;"",IF($I293&lt;&gt;"",INDEX('Form Calc'!$G:$G,$I293)&amp;"",""))</f>
        <v/>
      </c>
      <c r="C293" s="68">
        <f>IF($H293&lt;&gt;"",IF(INDEX(Guests!$AD:$AD,$H293)&lt;&gt;"",HYPERLINK(INDEX(Guests!$AD:$AD,$H293),"💬 Remind"),"add mobile"),IF($I293&lt;&gt;"",IF(INDEX('Form Calc'!$AG:$AG,$I293)&lt;&gt;"",HYPERLINK(INDEX('Form Calc'!$AG:$AG,$I293),"💬 Remind"),"add mobile"),""))</f>
        <v/>
      </c>
      <c r="D293" s="67">
        <f>IF($H293&lt;&gt;"",INDEX(Guests!$Y:$Y,$H293)&amp;"",IF($I293&lt;&gt;"",INDEX('Form Calc'!$C:$C,$I293)&amp;"",""))</f>
        <v/>
      </c>
      <c r="E293" s="69">
        <f>IF($H293&lt;&gt;"",IF(INDEX(Guests!$N:$N,$H293)="","",INDEX(Guests!$N:$N,$H293)),"")</f>
        <v/>
      </c>
      <c r="F293" s="67">
        <f>IF($H293&lt;&gt;"",INDEX(Guests!$E:$E,$H293)&amp;"","")</f>
        <v/>
      </c>
      <c r="G293" s="67">
        <f>IF($H293&lt;&gt;"","Guest list",IF($I293&lt;&gt;"","RSVP form",""))</f>
        <v/>
      </c>
      <c r="H293" s="32">
        <f>IF(285&lt;=Guests!$AG$505,MATCH(285,Guests!$AH:$AH,0),"")</f>
        <v/>
      </c>
      <c r="I293" s="32">
        <f>IF(AND(285&gt;Guests!$AG$505,285&lt;=Guests!$AG$505+'Form Calc'!$AB$601),MATCH(285-Guests!$AG$505,'Form Calc'!$AC:$AC,0),"")</f>
        <v/>
      </c>
    </row>
    <row r="294">
      <c r="A294" s="66">
        <f>IF($H294&lt;&gt;"",INDEX(Guests!$A:$A,$H294)&amp;"",IF($I294&lt;&gt;"",INDEX('Form Calc'!$B:$B,$I294)&amp;"",""))</f>
        <v/>
      </c>
      <c r="B294" s="67">
        <f>IF($H294&lt;&gt;"",INDEX(Guests!$B:$B,$H294)&amp;"",IF($I294&lt;&gt;"",INDEX('Form Calc'!$G:$G,$I294)&amp;"",""))</f>
        <v/>
      </c>
      <c r="C294" s="68">
        <f>IF($H294&lt;&gt;"",IF(INDEX(Guests!$AD:$AD,$H294)&lt;&gt;"",HYPERLINK(INDEX(Guests!$AD:$AD,$H294),"💬 Remind"),"add mobile"),IF($I294&lt;&gt;"",IF(INDEX('Form Calc'!$AG:$AG,$I294)&lt;&gt;"",HYPERLINK(INDEX('Form Calc'!$AG:$AG,$I294),"💬 Remind"),"add mobile"),""))</f>
        <v/>
      </c>
      <c r="D294" s="67">
        <f>IF($H294&lt;&gt;"",INDEX(Guests!$Y:$Y,$H294)&amp;"",IF($I294&lt;&gt;"",INDEX('Form Calc'!$C:$C,$I294)&amp;"",""))</f>
        <v/>
      </c>
      <c r="E294" s="69">
        <f>IF($H294&lt;&gt;"",IF(INDEX(Guests!$N:$N,$H294)="","",INDEX(Guests!$N:$N,$H294)),"")</f>
        <v/>
      </c>
      <c r="F294" s="67">
        <f>IF($H294&lt;&gt;"",INDEX(Guests!$E:$E,$H294)&amp;"","")</f>
        <v/>
      </c>
      <c r="G294" s="67">
        <f>IF($H294&lt;&gt;"","Guest list",IF($I294&lt;&gt;"","RSVP form",""))</f>
        <v/>
      </c>
      <c r="H294" s="32">
        <f>IF(286&lt;=Guests!$AG$505,MATCH(286,Guests!$AH:$AH,0),"")</f>
        <v/>
      </c>
      <c r="I294" s="32">
        <f>IF(AND(286&gt;Guests!$AG$505,286&lt;=Guests!$AG$505+'Form Calc'!$AB$601),MATCH(286-Guests!$AG$505,'Form Calc'!$AC:$AC,0),"")</f>
        <v/>
      </c>
    </row>
    <row r="295">
      <c r="A295" s="66">
        <f>IF($H295&lt;&gt;"",INDEX(Guests!$A:$A,$H295)&amp;"",IF($I295&lt;&gt;"",INDEX('Form Calc'!$B:$B,$I295)&amp;"",""))</f>
        <v/>
      </c>
      <c r="B295" s="67">
        <f>IF($H295&lt;&gt;"",INDEX(Guests!$B:$B,$H295)&amp;"",IF($I295&lt;&gt;"",INDEX('Form Calc'!$G:$G,$I295)&amp;"",""))</f>
        <v/>
      </c>
      <c r="C295" s="68">
        <f>IF($H295&lt;&gt;"",IF(INDEX(Guests!$AD:$AD,$H295)&lt;&gt;"",HYPERLINK(INDEX(Guests!$AD:$AD,$H295),"💬 Remind"),"add mobile"),IF($I295&lt;&gt;"",IF(INDEX('Form Calc'!$AG:$AG,$I295)&lt;&gt;"",HYPERLINK(INDEX('Form Calc'!$AG:$AG,$I295),"💬 Remind"),"add mobile"),""))</f>
        <v/>
      </c>
      <c r="D295" s="67">
        <f>IF($H295&lt;&gt;"",INDEX(Guests!$Y:$Y,$H295)&amp;"",IF($I295&lt;&gt;"",INDEX('Form Calc'!$C:$C,$I295)&amp;"",""))</f>
        <v/>
      </c>
      <c r="E295" s="69">
        <f>IF($H295&lt;&gt;"",IF(INDEX(Guests!$N:$N,$H295)="","",INDEX(Guests!$N:$N,$H295)),"")</f>
        <v/>
      </c>
      <c r="F295" s="67">
        <f>IF($H295&lt;&gt;"",INDEX(Guests!$E:$E,$H295)&amp;"","")</f>
        <v/>
      </c>
      <c r="G295" s="67">
        <f>IF($H295&lt;&gt;"","Guest list",IF($I295&lt;&gt;"","RSVP form",""))</f>
        <v/>
      </c>
      <c r="H295" s="32">
        <f>IF(287&lt;=Guests!$AG$505,MATCH(287,Guests!$AH:$AH,0),"")</f>
        <v/>
      </c>
      <c r="I295" s="32">
        <f>IF(AND(287&gt;Guests!$AG$505,287&lt;=Guests!$AG$505+'Form Calc'!$AB$601),MATCH(287-Guests!$AG$505,'Form Calc'!$AC:$AC,0),"")</f>
        <v/>
      </c>
    </row>
    <row r="296">
      <c r="A296" s="66">
        <f>IF($H296&lt;&gt;"",INDEX(Guests!$A:$A,$H296)&amp;"",IF($I296&lt;&gt;"",INDEX('Form Calc'!$B:$B,$I296)&amp;"",""))</f>
        <v/>
      </c>
      <c r="B296" s="67">
        <f>IF($H296&lt;&gt;"",INDEX(Guests!$B:$B,$H296)&amp;"",IF($I296&lt;&gt;"",INDEX('Form Calc'!$G:$G,$I296)&amp;"",""))</f>
        <v/>
      </c>
      <c r="C296" s="68">
        <f>IF($H296&lt;&gt;"",IF(INDEX(Guests!$AD:$AD,$H296)&lt;&gt;"",HYPERLINK(INDEX(Guests!$AD:$AD,$H296),"💬 Remind"),"add mobile"),IF($I296&lt;&gt;"",IF(INDEX('Form Calc'!$AG:$AG,$I296)&lt;&gt;"",HYPERLINK(INDEX('Form Calc'!$AG:$AG,$I296),"💬 Remind"),"add mobile"),""))</f>
        <v/>
      </c>
      <c r="D296" s="67">
        <f>IF($H296&lt;&gt;"",INDEX(Guests!$Y:$Y,$H296)&amp;"",IF($I296&lt;&gt;"",INDEX('Form Calc'!$C:$C,$I296)&amp;"",""))</f>
        <v/>
      </c>
      <c r="E296" s="69">
        <f>IF($H296&lt;&gt;"",IF(INDEX(Guests!$N:$N,$H296)="","",INDEX(Guests!$N:$N,$H296)),"")</f>
        <v/>
      </c>
      <c r="F296" s="67">
        <f>IF($H296&lt;&gt;"",INDEX(Guests!$E:$E,$H296)&amp;"","")</f>
        <v/>
      </c>
      <c r="G296" s="67">
        <f>IF($H296&lt;&gt;"","Guest list",IF($I296&lt;&gt;"","RSVP form",""))</f>
        <v/>
      </c>
      <c r="H296" s="32">
        <f>IF(288&lt;=Guests!$AG$505,MATCH(288,Guests!$AH:$AH,0),"")</f>
        <v/>
      </c>
      <c r="I296" s="32">
        <f>IF(AND(288&gt;Guests!$AG$505,288&lt;=Guests!$AG$505+'Form Calc'!$AB$601),MATCH(288-Guests!$AG$505,'Form Calc'!$AC:$AC,0),"")</f>
        <v/>
      </c>
    </row>
    <row r="297">
      <c r="A297" s="66">
        <f>IF($H297&lt;&gt;"",INDEX(Guests!$A:$A,$H297)&amp;"",IF($I297&lt;&gt;"",INDEX('Form Calc'!$B:$B,$I297)&amp;"",""))</f>
        <v/>
      </c>
      <c r="B297" s="67">
        <f>IF($H297&lt;&gt;"",INDEX(Guests!$B:$B,$H297)&amp;"",IF($I297&lt;&gt;"",INDEX('Form Calc'!$G:$G,$I297)&amp;"",""))</f>
        <v/>
      </c>
      <c r="C297" s="68">
        <f>IF($H297&lt;&gt;"",IF(INDEX(Guests!$AD:$AD,$H297)&lt;&gt;"",HYPERLINK(INDEX(Guests!$AD:$AD,$H297),"💬 Remind"),"add mobile"),IF($I297&lt;&gt;"",IF(INDEX('Form Calc'!$AG:$AG,$I297)&lt;&gt;"",HYPERLINK(INDEX('Form Calc'!$AG:$AG,$I297),"💬 Remind"),"add mobile"),""))</f>
        <v/>
      </c>
      <c r="D297" s="67">
        <f>IF($H297&lt;&gt;"",INDEX(Guests!$Y:$Y,$H297)&amp;"",IF($I297&lt;&gt;"",INDEX('Form Calc'!$C:$C,$I297)&amp;"",""))</f>
        <v/>
      </c>
      <c r="E297" s="69">
        <f>IF($H297&lt;&gt;"",IF(INDEX(Guests!$N:$N,$H297)="","",INDEX(Guests!$N:$N,$H297)),"")</f>
        <v/>
      </c>
      <c r="F297" s="67">
        <f>IF($H297&lt;&gt;"",INDEX(Guests!$E:$E,$H297)&amp;"","")</f>
        <v/>
      </c>
      <c r="G297" s="67">
        <f>IF($H297&lt;&gt;"","Guest list",IF($I297&lt;&gt;"","RSVP form",""))</f>
        <v/>
      </c>
      <c r="H297" s="32">
        <f>IF(289&lt;=Guests!$AG$505,MATCH(289,Guests!$AH:$AH,0),"")</f>
        <v/>
      </c>
      <c r="I297" s="32">
        <f>IF(AND(289&gt;Guests!$AG$505,289&lt;=Guests!$AG$505+'Form Calc'!$AB$601),MATCH(289-Guests!$AG$505,'Form Calc'!$AC:$AC,0),"")</f>
        <v/>
      </c>
    </row>
    <row r="298">
      <c r="A298" s="66">
        <f>IF($H298&lt;&gt;"",INDEX(Guests!$A:$A,$H298)&amp;"",IF($I298&lt;&gt;"",INDEX('Form Calc'!$B:$B,$I298)&amp;"",""))</f>
        <v/>
      </c>
      <c r="B298" s="67">
        <f>IF($H298&lt;&gt;"",INDEX(Guests!$B:$B,$H298)&amp;"",IF($I298&lt;&gt;"",INDEX('Form Calc'!$G:$G,$I298)&amp;"",""))</f>
        <v/>
      </c>
      <c r="C298" s="68">
        <f>IF($H298&lt;&gt;"",IF(INDEX(Guests!$AD:$AD,$H298)&lt;&gt;"",HYPERLINK(INDEX(Guests!$AD:$AD,$H298),"💬 Remind"),"add mobile"),IF($I298&lt;&gt;"",IF(INDEX('Form Calc'!$AG:$AG,$I298)&lt;&gt;"",HYPERLINK(INDEX('Form Calc'!$AG:$AG,$I298),"💬 Remind"),"add mobile"),""))</f>
        <v/>
      </c>
      <c r="D298" s="67">
        <f>IF($H298&lt;&gt;"",INDEX(Guests!$Y:$Y,$H298)&amp;"",IF($I298&lt;&gt;"",INDEX('Form Calc'!$C:$C,$I298)&amp;"",""))</f>
        <v/>
      </c>
      <c r="E298" s="69">
        <f>IF($H298&lt;&gt;"",IF(INDEX(Guests!$N:$N,$H298)="","",INDEX(Guests!$N:$N,$H298)),"")</f>
        <v/>
      </c>
      <c r="F298" s="67">
        <f>IF($H298&lt;&gt;"",INDEX(Guests!$E:$E,$H298)&amp;"","")</f>
        <v/>
      </c>
      <c r="G298" s="67">
        <f>IF($H298&lt;&gt;"","Guest list",IF($I298&lt;&gt;"","RSVP form",""))</f>
        <v/>
      </c>
      <c r="H298" s="32">
        <f>IF(290&lt;=Guests!$AG$505,MATCH(290,Guests!$AH:$AH,0),"")</f>
        <v/>
      </c>
      <c r="I298" s="32">
        <f>IF(AND(290&gt;Guests!$AG$505,290&lt;=Guests!$AG$505+'Form Calc'!$AB$601),MATCH(290-Guests!$AG$505,'Form Calc'!$AC:$AC,0),"")</f>
        <v/>
      </c>
    </row>
    <row r="299">
      <c r="A299" s="66">
        <f>IF($H299&lt;&gt;"",INDEX(Guests!$A:$A,$H299)&amp;"",IF($I299&lt;&gt;"",INDEX('Form Calc'!$B:$B,$I299)&amp;"",""))</f>
        <v/>
      </c>
      <c r="B299" s="67">
        <f>IF($H299&lt;&gt;"",INDEX(Guests!$B:$B,$H299)&amp;"",IF($I299&lt;&gt;"",INDEX('Form Calc'!$G:$G,$I299)&amp;"",""))</f>
        <v/>
      </c>
      <c r="C299" s="68">
        <f>IF($H299&lt;&gt;"",IF(INDEX(Guests!$AD:$AD,$H299)&lt;&gt;"",HYPERLINK(INDEX(Guests!$AD:$AD,$H299),"💬 Remind"),"add mobile"),IF($I299&lt;&gt;"",IF(INDEX('Form Calc'!$AG:$AG,$I299)&lt;&gt;"",HYPERLINK(INDEX('Form Calc'!$AG:$AG,$I299),"💬 Remind"),"add mobile"),""))</f>
        <v/>
      </c>
      <c r="D299" s="67">
        <f>IF($H299&lt;&gt;"",INDEX(Guests!$Y:$Y,$H299)&amp;"",IF($I299&lt;&gt;"",INDEX('Form Calc'!$C:$C,$I299)&amp;"",""))</f>
        <v/>
      </c>
      <c r="E299" s="69">
        <f>IF($H299&lt;&gt;"",IF(INDEX(Guests!$N:$N,$H299)="","",INDEX(Guests!$N:$N,$H299)),"")</f>
        <v/>
      </c>
      <c r="F299" s="67">
        <f>IF($H299&lt;&gt;"",INDEX(Guests!$E:$E,$H299)&amp;"","")</f>
        <v/>
      </c>
      <c r="G299" s="67">
        <f>IF($H299&lt;&gt;"","Guest list",IF($I299&lt;&gt;"","RSVP form",""))</f>
        <v/>
      </c>
      <c r="H299" s="32">
        <f>IF(291&lt;=Guests!$AG$505,MATCH(291,Guests!$AH:$AH,0),"")</f>
        <v/>
      </c>
      <c r="I299" s="32">
        <f>IF(AND(291&gt;Guests!$AG$505,291&lt;=Guests!$AG$505+'Form Calc'!$AB$601),MATCH(291-Guests!$AG$505,'Form Calc'!$AC:$AC,0),"")</f>
        <v/>
      </c>
    </row>
    <row r="300">
      <c r="A300" s="66">
        <f>IF($H300&lt;&gt;"",INDEX(Guests!$A:$A,$H300)&amp;"",IF($I300&lt;&gt;"",INDEX('Form Calc'!$B:$B,$I300)&amp;"",""))</f>
        <v/>
      </c>
      <c r="B300" s="67">
        <f>IF($H300&lt;&gt;"",INDEX(Guests!$B:$B,$H300)&amp;"",IF($I300&lt;&gt;"",INDEX('Form Calc'!$G:$G,$I300)&amp;"",""))</f>
        <v/>
      </c>
      <c r="C300" s="68">
        <f>IF($H300&lt;&gt;"",IF(INDEX(Guests!$AD:$AD,$H300)&lt;&gt;"",HYPERLINK(INDEX(Guests!$AD:$AD,$H300),"💬 Remind"),"add mobile"),IF($I300&lt;&gt;"",IF(INDEX('Form Calc'!$AG:$AG,$I300)&lt;&gt;"",HYPERLINK(INDEX('Form Calc'!$AG:$AG,$I300),"💬 Remind"),"add mobile"),""))</f>
        <v/>
      </c>
      <c r="D300" s="67">
        <f>IF($H300&lt;&gt;"",INDEX(Guests!$Y:$Y,$H300)&amp;"",IF($I300&lt;&gt;"",INDEX('Form Calc'!$C:$C,$I300)&amp;"",""))</f>
        <v/>
      </c>
      <c r="E300" s="69">
        <f>IF($H300&lt;&gt;"",IF(INDEX(Guests!$N:$N,$H300)="","",INDEX(Guests!$N:$N,$H300)),"")</f>
        <v/>
      </c>
      <c r="F300" s="67">
        <f>IF($H300&lt;&gt;"",INDEX(Guests!$E:$E,$H300)&amp;"","")</f>
        <v/>
      </c>
      <c r="G300" s="67">
        <f>IF($H300&lt;&gt;"","Guest list",IF($I300&lt;&gt;"","RSVP form",""))</f>
        <v/>
      </c>
      <c r="H300" s="32">
        <f>IF(292&lt;=Guests!$AG$505,MATCH(292,Guests!$AH:$AH,0),"")</f>
        <v/>
      </c>
      <c r="I300" s="32">
        <f>IF(AND(292&gt;Guests!$AG$505,292&lt;=Guests!$AG$505+'Form Calc'!$AB$601),MATCH(292-Guests!$AG$505,'Form Calc'!$AC:$AC,0),"")</f>
        <v/>
      </c>
    </row>
    <row r="301">
      <c r="A301" s="66">
        <f>IF($H301&lt;&gt;"",INDEX(Guests!$A:$A,$H301)&amp;"",IF($I301&lt;&gt;"",INDEX('Form Calc'!$B:$B,$I301)&amp;"",""))</f>
        <v/>
      </c>
      <c r="B301" s="67">
        <f>IF($H301&lt;&gt;"",INDEX(Guests!$B:$B,$H301)&amp;"",IF($I301&lt;&gt;"",INDEX('Form Calc'!$G:$G,$I301)&amp;"",""))</f>
        <v/>
      </c>
      <c r="C301" s="68">
        <f>IF($H301&lt;&gt;"",IF(INDEX(Guests!$AD:$AD,$H301)&lt;&gt;"",HYPERLINK(INDEX(Guests!$AD:$AD,$H301),"💬 Remind"),"add mobile"),IF($I301&lt;&gt;"",IF(INDEX('Form Calc'!$AG:$AG,$I301)&lt;&gt;"",HYPERLINK(INDEX('Form Calc'!$AG:$AG,$I301),"💬 Remind"),"add mobile"),""))</f>
        <v/>
      </c>
      <c r="D301" s="67">
        <f>IF($H301&lt;&gt;"",INDEX(Guests!$Y:$Y,$H301)&amp;"",IF($I301&lt;&gt;"",INDEX('Form Calc'!$C:$C,$I301)&amp;"",""))</f>
        <v/>
      </c>
      <c r="E301" s="69">
        <f>IF($H301&lt;&gt;"",IF(INDEX(Guests!$N:$N,$H301)="","",INDEX(Guests!$N:$N,$H301)),"")</f>
        <v/>
      </c>
      <c r="F301" s="67">
        <f>IF($H301&lt;&gt;"",INDEX(Guests!$E:$E,$H301)&amp;"","")</f>
        <v/>
      </c>
      <c r="G301" s="67">
        <f>IF($H301&lt;&gt;"","Guest list",IF($I301&lt;&gt;"","RSVP form",""))</f>
        <v/>
      </c>
      <c r="H301" s="32">
        <f>IF(293&lt;=Guests!$AG$505,MATCH(293,Guests!$AH:$AH,0),"")</f>
        <v/>
      </c>
      <c r="I301" s="32">
        <f>IF(AND(293&gt;Guests!$AG$505,293&lt;=Guests!$AG$505+'Form Calc'!$AB$601),MATCH(293-Guests!$AG$505,'Form Calc'!$AC:$AC,0),"")</f>
        <v/>
      </c>
    </row>
    <row r="302">
      <c r="A302" s="66">
        <f>IF($H302&lt;&gt;"",INDEX(Guests!$A:$A,$H302)&amp;"",IF($I302&lt;&gt;"",INDEX('Form Calc'!$B:$B,$I302)&amp;"",""))</f>
        <v/>
      </c>
      <c r="B302" s="67">
        <f>IF($H302&lt;&gt;"",INDEX(Guests!$B:$B,$H302)&amp;"",IF($I302&lt;&gt;"",INDEX('Form Calc'!$G:$G,$I302)&amp;"",""))</f>
        <v/>
      </c>
      <c r="C302" s="68">
        <f>IF($H302&lt;&gt;"",IF(INDEX(Guests!$AD:$AD,$H302)&lt;&gt;"",HYPERLINK(INDEX(Guests!$AD:$AD,$H302),"💬 Remind"),"add mobile"),IF($I302&lt;&gt;"",IF(INDEX('Form Calc'!$AG:$AG,$I302)&lt;&gt;"",HYPERLINK(INDEX('Form Calc'!$AG:$AG,$I302),"💬 Remind"),"add mobile"),""))</f>
        <v/>
      </c>
      <c r="D302" s="67">
        <f>IF($H302&lt;&gt;"",INDEX(Guests!$Y:$Y,$H302)&amp;"",IF($I302&lt;&gt;"",INDEX('Form Calc'!$C:$C,$I302)&amp;"",""))</f>
        <v/>
      </c>
      <c r="E302" s="69">
        <f>IF($H302&lt;&gt;"",IF(INDEX(Guests!$N:$N,$H302)="","",INDEX(Guests!$N:$N,$H302)),"")</f>
        <v/>
      </c>
      <c r="F302" s="67">
        <f>IF($H302&lt;&gt;"",INDEX(Guests!$E:$E,$H302)&amp;"","")</f>
        <v/>
      </c>
      <c r="G302" s="67">
        <f>IF($H302&lt;&gt;"","Guest list",IF($I302&lt;&gt;"","RSVP form",""))</f>
        <v/>
      </c>
      <c r="H302" s="32">
        <f>IF(294&lt;=Guests!$AG$505,MATCH(294,Guests!$AH:$AH,0),"")</f>
        <v/>
      </c>
      <c r="I302" s="32">
        <f>IF(AND(294&gt;Guests!$AG$505,294&lt;=Guests!$AG$505+'Form Calc'!$AB$601),MATCH(294-Guests!$AG$505,'Form Calc'!$AC:$AC,0),"")</f>
        <v/>
      </c>
    </row>
    <row r="303">
      <c r="A303" s="66">
        <f>IF($H303&lt;&gt;"",INDEX(Guests!$A:$A,$H303)&amp;"",IF($I303&lt;&gt;"",INDEX('Form Calc'!$B:$B,$I303)&amp;"",""))</f>
        <v/>
      </c>
      <c r="B303" s="67">
        <f>IF($H303&lt;&gt;"",INDEX(Guests!$B:$B,$H303)&amp;"",IF($I303&lt;&gt;"",INDEX('Form Calc'!$G:$G,$I303)&amp;"",""))</f>
        <v/>
      </c>
      <c r="C303" s="68">
        <f>IF($H303&lt;&gt;"",IF(INDEX(Guests!$AD:$AD,$H303)&lt;&gt;"",HYPERLINK(INDEX(Guests!$AD:$AD,$H303),"💬 Remind"),"add mobile"),IF($I303&lt;&gt;"",IF(INDEX('Form Calc'!$AG:$AG,$I303)&lt;&gt;"",HYPERLINK(INDEX('Form Calc'!$AG:$AG,$I303),"💬 Remind"),"add mobile"),""))</f>
        <v/>
      </c>
      <c r="D303" s="67">
        <f>IF($H303&lt;&gt;"",INDEX(Guests!$Y:$Y,$H303)&amp;"",IF($I303&lt;&gt;"",INDEX('Form Calc'!$C:$C,$I303)&amp;"",""))</f>
        <v/>
      </c>
      <c r="E303" s="69">
        <f>IF($H303&lt;&gt;"",IF(INDEX(Guests!$N:$N,$H303)="","",INDEX(Guests!$N:$N,$H303)),"")</f>
        <v/>
      </c>
      <c r="F303" s="67">
        <f>IF($H303&lt;&gt;"",INDEX(Guests!$E:$E,$H303)&amp;"","")</f>
        <v/>
      </c>
      <c r="G303" s="67">
        <f>IF($H303&lt;&gt;"","Guest list",IF($I303&lt;&gt;"","RSVP form",""))</f>
        <v/>
      </c>
      <c r="H303" s="32">
        <f>IF(295&lt;=Guests!$AG$505,MATCH(295,Guests!$AH:$AH,0),"")</f>
        <v/>
      </c>
      <c r="I303" s="32">
        <f>IF(AND(295&gt;Guests!$AG$505,295&lt;=Guests!$AG$505+'Form Calc'!$AB$601),MATCH(295-Guests!$AG$505,'Form Calc'!$AC:$AC,0),"")</f>
        <v/>
      </c>
    </row>
    <row r="304">
      <c r="A304" s="66">
        <f>IF($H304&lt;&gt;"",INDEX(Guests!$A:$A,$H304)&amp;"",IF($I304&lt;&gt;"",INDEX('Form Calc'!$B:$B,$I304)&amp;"",""))</f>
        <v/>
      </c>
      <c r="B304" s="67">
        <f>IF($H304&lt;&gt;"",INDEX(Guests!$B:$B,$H304)&amp;"",IF($I304&lt;&gt;"",INDEX('Form Calc'!$G:$G,$I304)&amp;"",""))</f>
        <v/>
      </c>
      <c r="C304" s="68">
        <f>IF($H304&lt;&gt;"",IF(INDEX(Guests!$AD:$AD,$H304)&lt;&gt;"",HYPERLINK(INDEX(Guests!$AD:$AD,$H304),"💬 Remind"),"add mobile"),IF($I304&lt;&gt;"",IF(INDEX('Form Calc'!$AG:$AG,$I304)&lt;&gt;"",HYPERLINK(INDEX('Form Calc'!$AG:$AG,$I304),"💬 Remind"),"add mobile"),""))</f>
        <v/>
      </c>
      <c r="D304" s="67">
        <f>IF($H304&lt;&gt;"",INDEX(Guests!$Y:$Y,$H304)&amp;"",IF($I304&lt;&gt;"",INDEX('Form Calc'!$C:$C,$I304)&amp;"",""))</f>
        <v/>
      </c>
      <c r="E304" s="69">
        <f>IF($H304&lt;&gt;"",IF(INDEX(Guests!$N:$N,$H304)="","",INDEX(Guests!$N:$N,$H304)),"")</f>
        <v/>
      </c>
      <c r="F304" s="67">
        <f>IF($H304&lt;&gt;"",INDEX(Guests!$E:$E,$H304)&amp;"","")</f>
        <v/>
      </c>
      <c r="G304" s="67">
        <f>IF($H304&lt;&gt;"","Guest list",IF($I304&lt;&gt;"","RSVP form",""))</f>
        <v/>
      </c>
      <c r="H304" s="32">
        <f>IF(296&lt;=Guests!$AG$505,MATCH(296,Guests!$AH:$AH,0),"")</f>
        <v/>
      </c>
      <c r="I304" s="32">
        <f>IF(AND(296&gt;Guests!$AG$505,296&lt;=Guests!$AG$505+'Form Calc'!$AB$601),MATCH(296-Guests!$AG$505,'Form Calc'!$AC:$AC,0),"")</f>
        <v/>
      </c>
    </row>
    <row r="305">
      <c r="A305" s="66">
        <f>IF($H305&lt;&gt;"",INDEX(Guests!$A:$A,$H305)&amp;"",IF($I305&lt;&gt;"",INDEX('Form Calc'!$B:$B,$I305)&amp;"",""))</f>
        <v/>
      </c>
      <c r="B305" s="67">
        <f>IF($H305&lt;&gt;"",INDEX(Guests!$B:$B,$H305)&amp;"",IF($I305&lt;&gt;"",INDEX('Form Calc'!$G:$G,$I305)&amp;"",""))</f>
        <v/>
      </c>
      <c r="C305" s="68">
        <f>IF($H305&lt;&gt;"",IF(INDEX(Guests!$AD:$AD,$H305)&lt;&gt;"",HYPERLINK(INDEX(Guests!$AD:$AD,$H305),"💬 Remind"),"add mobile"),IF($I305&lt;&gt;"",IF(INDEX('Form Calc'!$AG:$AG,$I305)&lt;&gt;"",HYPERLINK(INDEX('Form Calc'!$AG:$AG,$I305),"💬 Remind"),"add mobile"),""))</f>
        <v/>
      </c>
      <c r="D305" s="67">
        <f>IF($H305&lt;&gt;"",INDEX(Guests!$Y:$Y,$H305)&amp;"",IF($I305&lt;&gt;"",INDEX('Form Calc'!$C:$C,$I305)&amp;"",""))</f>
        <v/>
      </c>
      <c r="E305" s="69">
        <f>IF($H305&lt;&gt;"",IF(INDEX(Guests!$N:$N,$H305)="","",INDEX(Guests!$N:$N,$H305)),"")</f>
        <v/>
      </c>
      <c r="F305" s="67">
        <f>IF($H305&lt;&gt;"",INDEX(Guests!$E:$E,$H305)&amp;"","")</f>
        <v/>
      </c>
      <c r="G305" s="67">
        <f>IF($H305&lt;&gt;"","Guest list",IF($I305&lt;&gt;"","RSVP form",""))</f>
        <v/>
      </c>
      <c r="H305" s="32">
        <f>IF(297&lt;=Guests!$AG$505,MATCH(297,Guests!$AH:$AH,0),"")</f>
        <v/>
      </c>
      <c r="I305" s="32">
        <f>IF(AND(297&gt;Guests!$AG$505,297&lt;=Guests!$AG$505+'Form Calc'!$AB$601),MATCH(297-Guests!$AG$505,'Form Calc'!$AC:$AC,0),"")</f>
        <v/>
      </c>
    </row>
    <row r="306">
      <c r="A306" s="66">
        <f>IF($H306&lt;&gt;"",INDEX(Guests!$A:$A,$H306)&amp;"",IF($I306&lt;&gt;"",INDEX('Form Calc'!$B:$B,$I306)&amp;"",""))</f>
        <v/>
      </c>
      <c r="B306" s="67">
        <f>IF($H306&lt;&gt;"",INDEX(Guests!$B:$B,$H306)&amp;"",IF($I306&lt;&gt;"",INDEX('Form Calc'!$G:$G,$I306)&amp;"",""))</f>
        <v/>
      </c>
      <c r="C306" s="68">
        <f>IF($H306&lt;&gt;"",IF(INDEX(Guests!$AD:$AD,$H306)&lt;&gt;"",HYPERLINK(INDEX(Guests!$AD:$AD,$H306),"💬 Remind"),"add mobile"),IF($I306&lt;&gt;"",IF(INDEX('Form Calc'!$AG:$AG,$I306)&lt;&gt;"",HYPERLINK(INDEX('Form Calc'!$AG:$AG,$I306),"💬 Remind"),"add mobile"),""))</f>
        <v/>
      </c>
      <c r="D306" s="67">
        <f>IF($H306&lt;&gt;"",INDEX(Guests!$Y:$Y,$H306)&amp;"",IF($I306&lt;&gt;"",INDEX('Form Calc'!$C:$C,$I306)&amp;"",""))</f>
        <v/>
      </c>
      <c r="E306" s="69">
        <f>IF($H306&lt;&gt;"",IF(INDEX(Guests!$N:$N,$H306)="","",INDEX(Guests!$N:$N,$H306)),"")</f>
        <v/>
      </c>
      <c r="F306" s="67">
        <f>IF($H306&lt;&gt;"",INDEX(Guests!$E:$E,$H306)&amp;"","")</f>
        <v/>
      </c>
      <c r="G306" s="67">
        <f>IF($H306&lt;&gt;"","Guest list",IF($I306&lt;&gt;"","RSVP form",""))</f>
        <v/>
      </c>
      <c r="H306" s="32">
        <f>IF(298&lt;=Guests!$AG$505,MATCH(298,Guests!$AH:$AH,0),"")</f>
        <v/>
      </c>
      <c r="I306" s="32">
        <f>IF(AND(298&gt;Guests!$AG$505,298&lt;=Guests!$AG$505+'Form Calc'!$AB$601),MATCH(298-Guests!$AG$505,'Form Calc'!$AC:$AC,0),"")</f>
        <v/>
      </c>
    </row>
    <row r="307">
      <c r="A307" s="66">
        <f>IF($H307&lt;&gt;"",INDEX(Guests!$A:$A,$H307)&amp;"",IF($I307&lt;&gt;"",INDEX('Form Calc'!$B:$B,$I307)&amp;"",""))</f>
        <v/>
      </c>
      <c r="B307" s="67">
        <f>IF($H307&lt;&gt;"",INDEX(Guests!$B:$B,$H307)&amp;"",IF($I307&lt;&gt;"",INDEX('Form Calc'!$G:$G,$I307)&amp;"",""))</f>
        <v/>
      </c>
      <c r="C307" s="68">
        <f>IF($H307&lt;&gt;"",IF(INDEX(Guests!$AD:$AD,$H307)&lt;&gt;"",HYPERLINK(INDEX(Guests!$AD:$AD,$H307),"💬 Remind"),"add mobile"),IF($I307&lt;&gt;"",IF(INDEX('Form Calc'!$AG:$AG,$I307)&lt;&gt;"",HYPERLINK(INDEX('Form Calc'!$AG:$AG,$I307),"💬 Remind"),"add mobile"),""))</f>
        <v/>
      </c>
      <c r="D307" s="67">
        <f>IF($H307&lt;&gt;"",INDEX(Guests!$Y:$Y,$H307)&amp;"",IF($I307&lt;&gt;"",INDEX('Form Calc'!$C:$C,$I307)&amp;"",""))</f>
        <v/>
      </c>
      <c r="E307" s="69">
        <f>IF($H307&lt;&gt;"",IF(INDEX(Guests!$N:$N,$H307)="","",INDEX(Guests!$N:$N,$H307)),"")</f>
        <v/>
      </c>
      <c r="F307" s="67">
        <f>IF($H307&lt;&gt;"",INDEX(Guests!$E:$E,$H307)&amp;"","")</f>
        <v/>
      </c>
      <c r="G307" s="67">
        <f>IF($H307&lt;&gt;"","Guest list",IF($I307&lt;&gt;"","RSVP form",""))</f>
        <v/>
      </c>
      <c r="H307" s="32">
        <f>IF(299&lt;=Guests!$AG$505,MATCH(299,Guests!$AH:$AH,0),"")</f>
        <v/>
      </c>
      <c r="I307" s="32">
        <f>IF(AND(299&gt;Guests!$AG$505,299&lt;=Guests!$AG$505+'Form Calc'!$AB$601),MATCH(299-Guests!$AG$505,'Form Calc'!$AC:$AC,0),"")</f>
        <v/>
      </c>
    </row>
    <row r="308">
      <c r="A308" s="66">
        <f>IF($H308&lt;&gt;"",INDEX(Guests!$A:$A,$H308)&amp;"",IF($I308&lt;&gt;"",INDEX('Form Calc'!$B:$B,$I308)&amp;"",""))</f>
        <v/>
      </c>
      <c r="B308" s="67">
        <f>IF($H308&lt;&gt;"",INDEX(Guests!$B:$B,$H308)&amp;"",IF($I308&lt;&gt;"",INDEX('Form Calc'!$G:$G,$I308)&amp;"",""))</f>
        <v/>
      </c>
      <c r="C308" s="68">
        <f>IF($H308&lt;&gt;"",IF(INDEX(Guests!$AD:$AD,$H308)&lt;&gt;"",HYPERLINK(INDEX(Guests!$AD:$AD,$H308),"💬 Remind"),"add mobile"),IF($I308&lt;&gt;"",IF(INDEX('Form Calc'!$AG:$AG,$I308)&lt;&gt;"",HYPERLINK(INDEX('Form Calc'!$AG:$AG,$I308),"💬 Remind"),"add mobile"),""))</f>
        <v/>
      </c>
      <c r="D308" s="67">
        <f>IF($H308&lt;&gt;"",INDEX(Guests!$Y:$Y,$H308)&amp;"",IF($I308&lt;&gt;"",INDEX('Form Calc'!$C:$C,$I308)&amp;"",""))</f>
        <v/>
      </c>
      <c r="E308" s="69">
        <f>IF($H308&lt;&gt;"",IF(INDEX(Guests!$N:$N,$H308)="","",INDEX(Guests!$N:$N,$H308)),"")</f>
        <v/>
      </c>
      <c r="F308" s="67">
        <f>IF($H308&lt;&gt;"",INDEX(Guests!$E:$E,$H308)&amp;"","")</f>
        <v/>
      </c>
      <c r="G308" s="67">
        <f>IF($H308&lt;&gt;"","Guest list",IF($I308&lt;&gt;"","RSVP form",""))</f>
        <v/>
      </c>
      <c r="H308" s="32">
        <f>IF(300&lt;=Guests!$AG$505,MATCH(300,Guests!$AH:$AH,0),"")</f>
        <v/>
      </c>
      <c r="I308" s="32">
        <f>IF(AND(300&gt;Guests!$AG$505,300&lt;=Guests!$AG$505+'Form Calc'!$AB$601),MATCH(300-Guests!$AG$505,'Form Calc'!$AC:$AC,0),"")</f>
        <v/>
      </c>
    </row>
  </sheetData>
  <conditionalFormatting sqref="B9:B308">
    <cfRule type="expression" priority="1" dxfId="4" stopIfTrue="0">
      <formula>$B9="Attending"</formula>
    </cfRule>
    <cfRule type="expression" priority="2" dxfId="1" stopIfTrue="0">
      <formula>$B9="Declined"</formula>
    </cfRule>
    <cfRule type="expression" priority="3" dxfId="2" stopIfTrue="0">
      <formula>$B9="Not sure yet"</formula>
    </cfRule>
    <cfRule type="expression" priority="4" dxfId="3" stopIfTrue="0">
      <formula>$B9="Awaiting"</formula>
    </cfRule>
  </conditionalFormatting>
  <pageMargins left="0.5" right="0.5" top="0.6" bottom="0.6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C9D3E0"/>
    <outlinePr summaryBelow="1" summaryRight="1"/>
    <pageSetUpPr fitToPage="1"/>
  </sheetPr>
  <dimension ref="A1:K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0" customWidth="1" min="3" max="3"/>
    <col width="9" customWidth="1" min="4" max="4"/>
    <col width="11" customWidth="1" min="5" max="5"/>
    <col width="15" customWidth="1" min="6" max="6"/>
    <col width="3" customWidth="1" min="7" max="7"/>
    <col width="5" customWidth="1" min="8" max="8"/>
    <col width="24" customWidth="1" min="9" max="9"/>
    <col width="13" customWidth="1" min="10" max="10"/>
    <col width="13" customWidth="1" min="11" max="11"/>
  </cols>
  <sheetData>
    <row r="1" ht="30" customHeight="1">
      <c r="A1" s="1" t="inlineStr">
        <is>
          <t>Seating</t>
        </is>
      </c>
    </row>
    <row r="2">
      <c r="A2" s="11" t="inlineStr">
        <is>
          <t>Assign Table # on Guests. Declined guests are not counted. Type a table number in I3 to see who sits there.</t>
        </is>
      </c>
    </row>
    <row r="3">
      <c r="H3" s="51" t="inlineStr">
        <is>
          <t>Show table #</t>
        </is>
      </c>
      <c r="I3" s="10" t="n">
        <v>1</v>
      </c>
    </row>
    <row r="4">
      <c r="H4" s="11">
        <f>COUNTIF(Guests!$AI$6:$AI$505,1)&amp;" guest(s) at this table"</f>
        <v/>
      </c>
    </row>
    <row r="5" ht="30" customHeight="1">
      <c r="A5" s="43" t="inlineStr">
        <is>
          <t>Table #</t>
        </is>
      </c>
      <c r="B5" s="43" t="inlineStr">
        <is>
          <t>Table name</t>
        </is>
      </c>
      <c r="C5" s="43" t="inlineStr">
        <is>
          <t>Capacity</t>
        </is>
      </c>
      <c r="D5" s="43" t="inlineStr">
        <is>
          <t>Seated</t>
        </is>
      </c>
      <c r="E5" s="43" t="inlineStr">
        <is>
          <t>Open seats</t>
        </is>
      </c>
      <c r="F5" s="43" t="inlineStr">
        <is>
          <t>Status</t>
        </is>
      </c>
      <c r="H5" s="65" t="inlineStr">
        <is>
          <t>#</t>
        </is>
      </c>
      <c r="I5" s="65" t="inlineStr">
        <is>
          <t>Guest</t>
        </is>
      </c>
      <c r="J5" s="65" t="inlineStr">
        <is>
          <t>Meal</t>
        </is>
      </c>
      <c r="K5" s="65" t="inlineStr">
        <is>
          <t>Status</t>
        </is>
      </c>
    </row>
    <row r="6">
      <c r="A6" s="10" t="n">
        <v>1</v>
      </c>
      <c r="B6" s="10" t="n"/>
      <c r="C6" s="10" t="n"/>
      <c r="D6" s="47">
        <f>IF(A6="","",COUNTIFS(Guests!$L$6:$L$505,A6,Guests!$A$6:$A$505,"&lt;&gt;",Guests!$B$6:$B$505,"&lt;&gt;Declined"))</f>
        <v/>
      </c>
      <c r="E6" s="47">
        <f>IF(OR(A6="",C6=""),"",C6-D6)</f>
        <v/>
      </c>
      <c r="F6" s="47">
        <f>IF(OR(A6="",C6=""),"",IF(D6&gt;C6,"Over capacity",IF(D6=C6,"Full",IF(D6=0,"Empty","Seats left"))))</f>
        <v/>
      </c>
      <c r="H6" s="71" t="n">
        <v>1</v>
      </c>
      <c r="I6" s="47">
        <f>IFERROR(INDEX(Guests!$A:$A,MATCH(1,Guests!$AK:$AK,0)),"")</f>
        <v/>
      </c>
      <c r="J6" s="47">
        <f>IFERROR(INDEX(Guests!$X:$X,MATCH(1,Guests!$AK:$AK,0)),"")</f>
        <v/>
      </c>
      <c r="K6" s="47">
        <f>IFERROR(INDEX(Guests!$B:$B,MATCH(1,Guests!$AK:$AK,0)),"")</f>
        <v/>
      </c>
    </row>
    <row r="7">
      <c r="A7" s="10" t="n">
        <v>2</v>
      </c>
      <c r="B7" s="10" t="n"/>
      <c r="C7" s="10" t="n"/>
      <c r="D7" s="47">
        <f>IF(A7="","",COUNTIFS(Guests!$L$6:$L$505,A7,Guests!$A$6:$A$505,"&lt;&gt;",Guests!$B$6:$B$505,"&lt;&gt;Declined"))</f>
        <v/>
      </c>
      <c r="E7" s="47">
        <f>IF(OR(A7="",C7=""),"",C7-D7)</f>
        <v/>
      </c>
      <c r="F7" s="47">
        <f>IF(OR(A7="",C7=""),"",IF(D7&gt;C7,"Over capacity",IF(D7=C7,"Full",IF(D7=0,"Empty","Seats left"))))</f>
        <v/>
      </c>
      <c r="H7" s="71" t="n">
        <v>2</v>
      </c>
      <c r="I7" s="47">
        <f>IFERROR(INDEX(Guests!$A:$A,MATCH(2,Guests!$AK:$AK,0)),"")</f>
        <v/>
      </c>
      <c r="J7" s="47">
        <f>IFERROR(INDEX(Guests!$X:$X,MATCH(2,Guests!$AK:$AK,0)),"")</f>
        <v/>
      </c>
      <c r="K7" s="47">
        <f>IFERROR(INDEX(Guests!$B:$B,MATCH(2,Guests!$AK:$AK,0)),"")</f>
        <v/>
      </c>
    </row>
    <row r="8">
      <c r="A8" s="10" t="n">
        <v>3</v>
      </c>
      <c r="B8" s="10" t="n"/>
      <c r="C8" s="10" t="n"/>
      <c r="D8" s="47">
        <f>IF(A8="","",COUNTIFS(Guests!$L$6:$L$505,A8,Guests!$A$6:$A$505,"&lt;&gt;",Guests!$B$6:$B$505,"&lt;&gt;Declined"))</f>
        <v/>
      </c>
      <c r="E8" s="47">
        <f>IF(OR(A8="",C8=""),"",C8-D8)</f>
        <v/>
      </c>
      <c r="F8" s="47">
        <f>IF(OR(A8="",C8=""),"",IF(D8&gt;C8,"Over capacity",IF(D8=C8,"Full",IF(D8=0,"Empty","Seats left"))))</f>
        <v/>
      </c>
      <c r="H8" s="71" t="n">
        <v>3</v>
      </c>
      <c r="I8" s="47">
        <f>IFERROR(INDEX(Guests!$A:$A,MATCH(3,Guests!$AK:$AK,0)),"")</f>
        <v/>
      </c>
      <c r="J8" s="47">
        <f>IFERROR(INDEX(Guests!$X:$X,MATCH(3,Guests!$AK:$AK,0)),"")</f>
        <v/>
      </c>
      <c r="K8" s="47">
        <f>IFERROR(INDEX(Guests!$B:$B,MATCH(3,Guests!$AK:$AK,0)),"")</f>
        <v/>
      </c>
    </row>
    <row r="9">
      <c r="A9" s="10" t="n">
        <v>4</v>
      </c>
      <c r="B9" s="10" t="n"/>
      <c r="C9" s="10" t="n"/>
      <c r="D9" s="47">
        <f>IF(A9="","",COUNTIFS(Guests!$L$6:$L$505,A9,Guests!$A$6:$A$505,"&lt;&gt;",Guests!$B$6:$B$505,"&lt;&gt;Declined"))</f>
        <v/>
      </c>
      <c r="E9" s="47">
        <f>IF(OR(A9="",C9=""),"",C9-D9)</f>
        <v/>
      </c>
      <c r="F9" s="47">
        <f>IF(OR(A9="",C9=""),"",IF(D9&gt;C9,"Over capacity",IF(D9=C9,"Full",IF(D9=0,"Empty","Seats left"))))</f>
        <v/>
      </c>
      <c r="H9" s="71" t="n">
        <v>4</v>
      </c>
      <c r="I9" s="47">
        <f>IFERROR(INDEX(Guests!$A:$A,MATCH(4,Guests!$AK:$AK,0)),"")</f>
        <v/>
      </c>
      <c r="J9" s="47">
        <f>IFERROR(INDEX(Guests!$X:$X,MATCH(4,Guests!$AK:$AK,0)),"")</f>
        <v/>
      </c>
      <c r="K9" s="47">
        <f>IFERROR(INDEX(Guests!$B:$B,MATCH(4,Guests!$AK:$AK,0)),"")</f>
        <v/>
      </c>
    </row>
    <row r="10">
      <c r="A10" s="10" t="n">
        <v>5</v>
      </c>
      <c r="B10" s="10" t="n"/>
      <c r="C10" s="10" t="n"/>
      <c r="D10" s="47">
        <f>IF(A10="","",COUNTIFS(Guests!$L$6:$L$505,A10,Guests!$A$6:$A$505,"&lt;&gt;",Guests!$B$6:$B$505,"&lt;&gt;Declined"))</f>
        <v/>
      </c>
      <c r="E10" s="47">
        <f>IF(OR(A10="",C10=""),"",C10-D10)</f>
        <v/>
      </c>
      <c r="F10" s="47">
        <f>IF(OR(A10="",C10=""),"",IF(D10&gt;C10,"Over capacity",IF(D10=C10,"Full",IF(D10=0,"Empty","Seats left"))))</f>
        <v/>
      </c>
      <c r="H10" s="71" t="n">
        <v>5</v>
      </c>
      <c r="I10" s="47">
        <f>IFERROR(INDEX(Guests!$A:$A,MATCH(5,Guests!$AK:$AK,0)),"")</f>
        <v/>
      </c>
      <c r="J10" s="47">
        <f>IFERROR(INDEX(Guests!$X:$X,MATCH(5,Guests!$AK:$AK,0)),"")</f>
        <v/>
      </c>
      <c r="K10" s="47">
        <f>IFERROR(INDEX(Guests!$B:$B,MATCH(5,Guests!$AK:$AK,0)),"")</f>
        <v/>
      </c>
    </row>
    <row r="11">
      <c r="A11" s="10" t="n">
        <v>6</v>
      </c>
      <c r="B11" s="10" t="n"/>
      <c r="C11" s="10" t="n"/>
      <c r="D11" s="47">
        <f>IF(A11="","",COUNTIFS(Guests!$L$6:$L$505,A11,Guests!$A$6:$A$505,"&lt;&gt;",Guests!$B$6:$B$505,"&lt;&gt;Declined"))</f>
        <v/>
      </c>
      <c r="E11" s="47">
        <f>IF(OR(A11="",C11=""),"",C11-D11)</f>
        <v/>
      </c>
      <c r="F11" s="47">
        <f>IF(OR(A11="",C11=""),"",IF(D11&gt;C11,"Over capacity",IF(D11=C11,"Full",IF(D11=0,"Empty","Seats left"))))</f>
        <v/>
      </c>
      <c r="H11" s="71" t="n">
        <v>6</v>
      </c>
      <c r="I11" s="47">
        <f>IFERROR(INDEX(Guests!$A:$A,MATCH(6,Guests!$AK:$AK,0)),"")</f>
        <v/>
      </c>
      <c r="J11" s="47">
        <f>IFERROR(INDEX(Guests!$X:$X,MATCH(6,Guests!$AK:$AK,0)),"")</f>
        <v/>
      </c>
      <c r="K11" s="47">
        <f>IFERROR(INDEX(Guests!$B:$B,MATCH(6,Guests!$AK:$AK,0)),"")</f>
        <v/>
      </c>
    </row>
    <row r="12">
      <c r="A12" s="10" t="n">
        <v>7</v>
      </c>
      <c r="B12" s="10" t="n"/>
      <c r="C12" s="10" t="n"/>
      <c r="D12" s="47">
        <f>IF(A12="","",COUNTIFS(Guests!$L$6:$L$505,A12,Guests!$A$6:$A$505,"&lt;&gt;",Guests!$B$6:$B$505,"&lt;&gt;Declined"))</f>
        <v/>
      </c>
      <c r="E12" s="47">
        <f>IF(OR(A12="",C12=""),"",C12-D12)</f>
        <v/>
      </c>
      <c r="F12" s="47">
        <f>IF(OR(A12="",C12=""),"",IF(D12&gt;C12,"Over capacity",IF(D12=C12,"Full",IF(D12=0,"Empty","Seats left"))))</f>
        <v/>
      </c>
      <c r="H12" s="71" t="n">
        <v>7</v>
      </c>
      <c r="I12" s="47">
        <f>IFERROR(INDEX(Guests!$A:$A,MATCH(7,Guests!$AK:$AK,0)),"")</f>
        <v/>
      </c>
      <c r="J12" s="47">
        <f>IFERROR(INDEX(Guests!$X:$X,MATCH(7,Guests!$AK:$AK,0)),"")</f>
        <v/>
      </c>
      <c r="K12" s="47">
        <f>IFERROR(INDEX(Guests!$B:$B,MATCH(7,Guests!$AK:$AK,0)),"")</f>
        <v/>
      </c>
    </row>
    <row r="13">
      <c r="A13" s="10" t="n">
        <v>8</v>
      </c>
      <c r="B13" s="10" t="n"/>
      <c r="C13" s="10" t="n"/>
      <c r="D13" s="47">
        <f>IF(A13="","",COUNTIFS(Guests!$L$6:$L$505,A13,Guests!$A$6:$A$505,"&lt;&gt;",Guests!$B$6:$B$505,"&lt;&gt;Declined"))</f>
        <v/>
      </c>
      <c r="E13" s="47">
        <f>IF(OR(A13="",C13=""),"",C13-D13)</f>
        <v/>
      </c>
      <c r="F13" s="47">
        <f>IF(OR(A13="",C13=""),"",IF(D13&gt;C13,"Over capacity",IF(D13=C13,"Full",IF(D13=0,"Empty","Seats left"))))</f>
        <v/>
      </c>
      <c r="H13" s="71" t="n">
        <v>8</v>
      </c>
      <c r="I13" s="47">
        <f>IFERROR(INDEX(Guests!$A:$A,MATCH(8,Guests!$AK:$AK,0)),"")</f>
        <v/>
      </c>
      <c r="J13" s="47">
        <f>IFERROR(INDEX(Guests!$X:$X,MATCH(8,Guests!$AK:$AK,0)),"")</f>
        <v/>
      </c>
      <c r="K13" s="47">
        <f>IFERROR(INDEX(Guests!$B:$B,MATCH(8,Guests!$AK:$AK,0)),"")</f>
        <v/>
      </c>
    </row>
    <row r="14">
      <c r="A14" s="10" t="n">
        <v>9</v>
      </c>
      <c r="B14" s="10" t="n"/>
      <c r="C14" s="10" t="n"/>
      <c r="D14" s="47">
        <f>IF(A14="","",COUNTIFS(Guests!$L$6:$L$505,A14,Guests!$A$6:$A$505,"&lt;&gt;",Guests!$B$6:$B$505,"&lt;&gt;Declined"))</f>
        <v/>
      </c>
      <c r="E14" s="47">
        <f>IF(OR(A14="",C14=""),"",C14-D14)</f>
        <v/>
      </c>
      <c r="F14" s="47">
        <f>IF(OR(A14="",C14=""),"",IF(D14&gt;C14,"Over capacity",IF(D14=C14,"Full",IF(D14=0,"Empty","Seats left"))))</f>
        <v/>
      </c>
      <c r="H14" s="71" t="n">
        <v>9</v>
      </c>
      <c r="I14" s="47">
        <f>IFERROR(INDEX(Guests!$A:$A,MATCH(9,Guests!$AK:$AK,0)),"")</f>
        <v/>
      </c>
      <c r="J14" s="47">
        <f>IFERROR(INDEX(Guests!$X:$X,MATCH(9,Guests!$AK:$AK,0)),"")</f>
        <v/>
      </c>
      <c r="K14" s="47">
        <f>IFERROR(INDEX(Guests!$B:$B,MATCH(9,Guests!$AK:$AK,0)),"")</f>
        <v/>
      </c>
    </row>
    <row r="15">
      <c r="A15" s="10" t="n">
        <v>10</v>
      </c>
      <c r="B15" s="10" t="n"/>
      <c r="C15" s="10" t="n"/>
      <c r="D15" s="47">
        <f>IF(A15="","",COUNTIFS(Guests!$L$6:$L$505,A15,Guests!$A$6:$A$505,"&lt;&gt;",Guests!$B$6:$B$505,"&lt;&gt;Declined"))</f>
        <v/>
      </c>
      <c r="E15" s="47">
        <f>IF(OR(A15="",C15=""),"",C15-D15)</f>
        <v/>
      </c>
      <c r="F15" s="47">
        <f>IF(OR(A15="",C15=""),"",IF(D15&gt;C15,"Over capacity",IF(D15=C15,"Full",IF(D15=0,"Empty","Seats left"))))</f>
        <v/>
      </c>
      <c r="H15" s="71" t="n">
        <v>10</v>
      </c>
      <c r="I15" s="47">
        <f>IFERROR(INDEX(Guests!$A:$A,MATCH(10,Guests!$AK:$AK,0)),"")</f>
        <v/>
      </c>
      <c r="J15" s="47">
        <f>IFERROR(INDEX(Guests!$X:$X,MATCH(10,Guests!$AK:$AK,0)),"")</f>
        <v/>
      </c>
      <c r="K15" s="47">
        <f>IFERROR(INDEX(Guests!$B:$B,MATCH(10,Guests!$AK:$AK,0)),"")</f>
        <v/>
      </c>
    </row>
    <row r="16">
      <c r="A16" s="10" t="n">
        <v>11</v>
      </c>
      <c r="B16" s="10" t="n"/>
      <c r="C16" s="10" t="n"/>
      <c r="D16" s="47">
        <f>IF(A16="","",COUNTIFS(Guests!$L$6:$L$505,A16,Guests!$A$6:$A$505,"&lt;&gt;",Guests!$B$6:$B$505,"&lt;&gt;Declined"))</f>
        <v/>
      </c>
      <c r="E16" s="47">
        <f>IF(OR(A16="",C16=""),"",C16-D16)</f>
        <v/>
      </c>
      <c r="F16" s="47">
        <f>IF(OR(A16="",C16=""),"",IF(D16&gt;C16,"Over capacity",IF(D16=C16,"Full",IF(D16=0,"Empty","Seats left"))))</f>
        <v/>
      </c>
      <c r="H16" s="71" t="n">
        <v>11</v>
      </c>
      <c r="I16" s="47">
        <f>IFERROR(INDEX(Guests!$A:$A,MATCH(11,Guests!$AK:$AK,0)),"")</f>
        <v/>
      </c>
      <c r="J16" s="47">
        <f>IFERROR(INDEX(Guests!$X:$X,MATCH(11,Guests!$AK:$AK,0)),"")</f>
        <v/>
      </c>
      <c r="K16" s="47">
        <f>IFERROR(INDEX(Guests!$B:$B,MATCH(11,Guests!$AK:$AK,0)),"")</f>
        <v/>
      </c>
    </row>
    <row r="17">
      <c r="A17" s="10" t="n">
        <v>12</v>
      </c>
      <c r="B17" s="10" t="n"/>
      <c r="C17" s="10" t="n"/>
      <c r="D17" s="47">
        <f>IF(A17="","",COUNTIFS(Guests!$L$6:$L$505,A17,Guests!$A$6:$A$505,"&lt;&gt;",Guests!$B$6:$B$505,"&lt;&gt;Declined"))</f>
        <v/>
      </c>
      <c r="E17" s="47">
        <f>IF(OR(A17="",C17=""),"",C17-D17)</f>
        <v/>
      </c>
      <c r="F17" s="47">
        <f>IF(OR(A17="",C17=""),"",IF(D17&gt;C17,"Over capacity",IF(D17=C17,"Full",IF(D17=0,"Empty","Seats left"))))</f>
        <v/>
      </c>
      <c r="H17" s="71" t="n">
        <v>12</v>
      </c>
      <c r="I17" s="47">
        <f>IFERROR(INDEX(Guests!$A:$A,MATCH(12,Guests!$AK:$AK,0)),"")</f>
        <v/>
      </c>
      <c r="J17" s="47">
        <f>IFERROR(INDEX(Guests!$X:$X,MATCH(12,Guests!$AK:$AK,0)),"")</f>
        <v/>
      </c>
      <c r="K17" s="47">
        <f>IFERROR(INDEX(Guests!$B:$B,MATCH(12,Guests!$AK:$AK,0)),"")</f>
        <v/>
      </c>
    </row>
    <row r="18">
      <c r="A18" s="10" t="n">
        <v>13</v>
      </c>
      <c r="B18" s="10" t="n"/>
      <c r="C18" s="10" t="n"/>
      <c r="D18" s="47">
        <f>IF(A18="","",COUNTIFS(Guests!$L$6:$L$505,A18,Guests!$A$6:$A$505,"&lt;&gt;",Guests!$B$6:$B$505,"&lt;&gt;Declined"))</f>
        <v/>
      </c>
      <c r="E18" s="47">
        <f>IF(OR(A18="",C18=""),"",C18-D18)</f>
        <v/>
      </c>
      <c r="F18" s="47">
        <f>IF(OR(A18="",C18=""),"",IF(D18&gt;C18,"Over capacity",IF(D18=C18,"Full",IF(D18=0,"Empty","Seats left"))))</f>
        <v/>
      </c>
      <c r="H18" s="71" t="n">
        <v>13</v>
      </c>
      <c r="I18" s="47">
        <f>IFERROR(INDEX(Guests!$A:$A,MATCH(13,Guests!$AK:$AK,0)),"")</f>
        <v/>
      </c>
      <c r="J18" s="47">
        <f>IFERROR(INDEX(Guests!$X:$X,MATCH(13,Guests!$AK:$AK,0)),"")</f>
        <v/>
      </c>
      <c r="K18" s="47">
        <f>IFERROR(INDEX(Guests!$B:$B,MATCH(13,Guests!$AK:$AK,0)),"")</f>
        <v/>
      </c>
    </row>
    <row r="19">
      <c r="A19" s="10" t="n">
        <v>14</v>
      </c>
      <c r="B19" s="10" t="n"/>
      <c r="C19" s="10" t="n"/>
      <c r="D19" s="47">
        <f>IF(A19="","",COUNTIFS(Guests!$L$6:$L$505,A19,Guests!$A$6:$A$505,"&lt;&gt;",Guests!$B$6:$B$505,"&lt;&gt;Declined"))</f>
        <v/>
      </c>
      <c r="E19" s="47">
        <f>IF(OR(A19="",C19=""),"",C19-D19)</f>
        <v/>
      </c>
      <c r="F19" s="47">
        <f>IF(OR(A19="",C19=""),"",IF(D19&gt;C19,"Over capacity",IF(D19=C19,"Full",IF(D19=0,"Empty","Seats left"))))</f>
        <v/>
      </c>
      <c r="H19" s="71" t="n">
        <v>14</v>
      </c>
      <c r="I19" s="47">
        <f>IFERROR(INDEX(Guests!$A:$A,MATCH(14,Guests!$AK:$AK,0)),"")</f>
        <v/>
      </c>
      <c r="J19" s="47">
        <f>IFERROR(INDEX(Guests!$X:$X,MATCH(14,Guests!$AK:$AK,0)),"")</f>
        <v/>
      </c>
      <c r="K19" s="47">
        <f>IFERROR(INDEX(Guests!$B:$B,MATCH(14,Guests!$AK:$AK,0)),"")</f>
        <v/>
      </c>
    </row>
    <row r="20">
      <c r="A20" s="10" t="n">
        <v>15</v>
      </c>
      <c r="B20" s="10" t="n"/>
      <c r="C20" s="10" t="n"/>
      <c r="D20" s="47">
        <f>IF(A20="","",COUNTIFS(Guests!$L$6:$L$505,A20,Guests!$A$6:$A$505,"&lt;&gt;",Guests!$B$6:$B$505,"&lt;&gt;Declined"))</f>
        <v/>
      </c>
      <c r="E20" s="47">
        <f>IF(OR(A20="",C20=""),"",C20-D20)</f>
        <v/>
      </c>
      <c r="F20" s="47">
        <f>IF(OR(A20="",C20=""),"",IF(D20&gt;C20,"Over capacity",IF(D20=C20,"Full",IF(D20=0,"Empty","Seats left"))))</f>
        <v/>
      </c>
      <c r="H20" s="71" t="n">
        <v>15</v>
      </c>
      <c r="I20" s="47">
        <f>IFERROR(INDEX(Guests!$A:$A,MATCH(15,Guests!$AK:$AK,0)),"")</f>
        <v/>
      </c>
      <c r="J20" s="47">
        <f>IFERROR(INDEX(Guests!$X:$X,MATCH(15,Guests!$AK:$AK,0)),"")</f>
        <v/>
      </c>
      <c r="K20" s="47">
        <f>IFERROR(INDEX(Guests!$B:$B,MATCH(15,Guests!$AK:$AK,0)),"")</f>
        <v/>
      </c>
    </row>
    <row r="21">
      <c r="A21" s="10" t="n">
        <v>16</v>
      </c>
      <c r="B21" s="10" t="n"/>
      <c r="C21" s="10" t="n"/>
      <c r="D21" s="47">
        <f>IF(A21="","",COUNTIFS(Guests!$L$6:$L$505,A21,Guests!$A$6:$A$505,"&lt;&gt;",Guests!$B$6:$B$505,"&lt;&gt;Declined"))</f>
        <v/>
      </c>
      <c r="E21" s="47">
        <f>IF(OR(A21="",C21=""),"",C21-D21)</f>
        <v/>
      </c>
      <c r="F21" s="47">
        <f>IF(OR(A21="",C21=""),"",IF(D21&gt;C21,"Over capacity",IF(D21=C21,"Full",IF(D21=0,"Empty","Seats left"))))</f>
        <v/>
      </c>
      <c r="H21" s="71" t="n">
        <v>16</v>
      </c>
      <c r="I21" s="47">
        <f>IFERROR(INDEX(Guests!$A:$A,MATCH(16,Guests!$AK:$AK,0)),"")</f>
        <v/>
      </c>
      <c r="J21" s="47">
        <f>IFERROR(INDEX(Guests!$X:$X,MATCH(16,Guests!$AK:$AK,0)),"")</f>
        <v/>
      </c>
      <c r="K21" s="47">
        <f>IFERROR(INDEX(Guests!$B:$B,MATCH(16,Guests!$AK:$AK,0)),"")</f>
        <v/>
      </c>
    </row>
    <row r="22">
      <c r="A22" s="10" t="n">
        <v>17</v>
      </c>
      <c r="B22" s="10" t="n"/>
      <c r="C22" s="10" t="n"/>
      <c r="D22" s="47">
        <f>IF(A22="","",COUNTIFS(Guests!$L$6:$L$505,A22,Guests!$A$6:$A$505,"&lt;&gt;",Guests!$B$6:$B$505,"&lt;&gt;Declined"))</f>
        <v/>
      </c>
      <c r="E22" s="47">
        <f>IF(OR(A22="",C22=""),"",C22-D22)</f>
        <v/>
      </c>
      <c r="F22" s="47">
        <f>IF(OR(A22="",C22=""),"",IF(D22&gt;C22,"Over capacity",IF(D22=C22,"Full",IF(D22=0,"Empty","Seats left"))))</f>
        <v/>
      </c>
      <c r="H22" s="71" t="n">
        <v>17</v>
      </c>
      <c r="I22" s="47">
        <f>IFERROR(INDEX(Guests!$A:$A,MATCH(17,Guests!$AK:$AK,0)),"")</f>
        <v/>
      </c>
      <c r="J22" s="47">
        <f>IFERROR(INDEX(Guests!$X:$X,MATCH(17,Guests!$AK:$AK,0)),"")</f>
        <v/>
      </c>
      <c r="K22" s="47">
        <f>IFERROR(INDEX(Guests!$B:$B,MATCH(17,Guests!$AK:$AK,0)),"")</f>
        <v/>
      </c>
    </row>
    <row r="23">
      <c r="A23" s="10" t="n">
        <v>18</v>
      </c>
      <c r="B23" s="10" t="n"/>
      <c r="C23" s="10" t="n"/>
      <c r="D23" s="47">
        <f>IF(A23="","",COUNTIFS(Guests!$L$6:$L$505,A23,Guests!$A$6:$A$505,"&lt;&gt;",Guests!$B$6:$B$505,"&lt;&gt;Declined"))</f>
        <v/>
      </c>
      <c r="E23" s="47">
        <f>IF(OR(A23="",C23=""),"",C23-D23)</f>
        <v/>
      </c>
      <c r="F23" s="47">
        <f>IF(OR(A23="",C23=""),"",IF(D23&gt;C23,"Over capacity",IF(D23=C23,"Full",IF(D23=0,"Empty","Seats left"))))</f>
        <v/>
      </c>
      <c r="H23" s="71" t="n">
        <v>18</v>
      </c>
      <c r="I23" s="47">
        <f>IFERROR(INDEX(Guests!$A:$A,MATCH(18,Guests!$AK:$AK,0)),"")</f>
        <v/>
      </c>
      <c r="J23" s="47">
        <f>IFERROR(INDEX(Guests!$X:$X,MATCH(18,Guests!$AK:$AK,0)),"")</f>
        <v/>
      </c>
      <c r="K23" s="47">
        <f>IFERROR(INDEX(Guests!$B:$B,MATCH(18,Guests!$AK:$AK,0)),"")</f>
        <v/>
      </c>
    </row>
    <row r="24">
      <c r="A24" s="10" t="n">
        <v>19</v>
      </c>
      <c r="B24" s="10" t="n"/>
      <c r="C24" s="10" t="n"/>
      <c r="D24" s="47">
        <f>IF(A24="","",COUNTIFS(Guests!$L$6:$L$505,A24,Guests!$A$6:$A$505,"&lt;&gt;",Guests!$B$6:$B$505,"&lt;&gt;Declined"))</f>
        <v/>
      </c>
      <c r="E24" s="47">
        <f>IF(OR(A24="",C24=""),"",C24-D24)</f>
        <v/>
      </c>
      <c r="F24" s="47">
        <f>IF(OR(A24="",C24=""),"",IF(D24&gt;C24,"Over capacity",IF(D24=C24,"Full",IF(D24=0,"Empty","Seats left"))))</f>
        <v/>
      </c>
      <c r="H24" s="71" t="n">
        <v>19</v>
      </c>
      <c r="I24" s="47">
        <f>IFERROR(INDEX(Guests!$A:$A,MATCH(19,Guests!$AK:$AK,0)),"")</f>
        <v/>
      </c>
      <c r="J24" s="47">
        <f>IFERROR(INDEX(Guests!$X:$X,MATCH(19,Guests!$AK:$AK,0)),"")</f>
        <v/>
      </c>
      <c r="K24" s="47">
        <f>IFERROR(INDEX(Guests!$B:$B,MATCH(19,Guests!$AK:$AK,0)),"")</f>
        <v/>
      </c>
    </row>
    <row r="25">
      <c r="A25" s="10" t="n">
        <v>20</v>
      </c>
      <c r="B25" s="10" t="n"/>
      <c r="C25" s="10" t="n"/>
      <c r="D25" s="47">
        <f>IF(A25="","",COUNTIFS(Guests!$L$6:$L$505,A25,Guests!$A$6:$A$505,"&lt;&gt;",Guests!$B$6:$B$505,"&lt;&gt;Declined"))</f>
        <v/>
      </c>
      <c r="E25" s="47">
        <f>IF(OR(A25="",C25=""),"",C25-D25)</f>
        <v/>
      </c>
      <c r="F25" s="47">
        <f>IF(OR(A25="",C25=""),"",IF(D25&gt;C25,"Over capacity",IF(D25=C25,"Full",IF(D25=0,"Empty","Seats left"))))</f>
        <v/>
      </c>
      <c r="H25" s="71" t="n">
        <v>20</v>
      </c>
      <c r="I25" s="47">
        <f>IFERROR(INDEX(Guests!$A:$A,MATCH(20,Guests!$AK:$AK,0)),"")</f>
        <v/>
      </c>
      <c r="J25" s="47">
        <f>IFERROR(INDEX(Guests!$X:$X,MATCH(20,Guests!$AK:$AK,0)),"")</f>
        <v/>
      </c>
      <c r="K25" s="47">
        <f>IFERROR(INDEX(Guests!$B:$B,MATCH(20,Guests!$AK:$AK,0)),"")</f>
        <v/>
      </c>
    </row>
    <row r="26">
      <c r="A26" s="10" t="n">
        <v>21</v>
      </c>
      <c r="B26" s="10" t="n"/>
      <c r="C26" s="10" t="n"/>
      <c r="D26" s="47">
        <f>IF(A26="","",COUNTIFS(Guests!$L$6:$L$505,A26,Guests!$A$6:$A$505,"&lt;&gt;",Guests!$B$6:$B$505,"&lt;&gt;Declined"))</f>
        <v/>
      </c>
      <c r="E26" s="47">
        <f>IF(OR(A26="",C26=""),"",C26-D26)</f>
        <v/>
      </c>
      <c r="F26" s="47">
        <f>IF(OR(A26="",C26=""),"",IF(D26&gt;C26,"Over capacity",IF(D26=C26,"Full",IF(D26=0,"Empty","Seats left"))))</f>
        <v/>
      </c>
    </row>
    <row r="27">
      <c r="A27" s="10" t="n">
        <v>22</v>
      </c>
      <c r="B27" s="10" t="n"/>
      <c r="C27" s="10" t="n"/>
      <c r="D27" s="47">
        <f>IF(A27="","",COUNTIFS(Guests!$L$6:$L$505,A27,Guests!$A$6:$A$505,"&lt;&gt;",Guests!$B$6:$B$505,"&lt;&gt;Declined"))</f>
        <v/>
      </c>
      <c r="E27" s="47">
        <f>IF(OR(A27="",C27=""),"",C27-D27)</f>
        <v/>
      </c>
      <c r="F27" s="47">
        <f>IF(OR(A27="",C27=""),"",IF(D27&gt;C27,"Over capacity",IF(D27=C27,"Full",IF(D27=0,"Empty","Seats left"))))</f>
        <v/>
      </c>
      <c r="H27" s="51" t="inlineStr">
        <is>
          <t>Attending, no table yet</t>
        </is>
      </c>
      <c r="K27" s="64">
        <f>COUNTIF(Guests!$B$6:$B$505,"Attending")-COUNTIFS(Guests!$B$6:$B$505,"Attending",Guests!$L$6:$L$505,"&lt;&gt;")</f>
        <v/>
      </c>
    </row>
    <row r="28">
      <c r="A28" s="10" t="n">
        <v>23</v>
      </c>
      <c r="B28" s="10" t="n"/>
      <c r="C28" s="10" t="n"/>
      <c r="D28" s="47">
        <f>IF(A28="","",COUNTIFS(Guests!$L$6:$L$505,A28,Guests!$A$6:$A$505,"&lt;&gt;",Guests!$B$6:$B$505,"&lt;&gt;Declined"))</f>
        <v/>
      </c>
      <c r="E28" s="47">
        <f>IF(OR(A28="",C28=""),"",C28-D28)</f>
        <v/>
      </c>
      <c r="F28" s="47">
        <f>IF(OR(A28="",C28=""),"",IF(D28&gt;C28,"Over capacity",IF(D28=C28,"Full",IF(D28=0,"Empty","Seats left"))))</f>
        <v/>
      </c>
      <c r="H28" s="51" t="inlineStr">
        <is>
          <t>Form guests not on Guests list</t>
        </is>
      </c>
      <c r="K28" s="64">
        <f>SUMIFS('Form Calc'!$X$2:$X$601,'Form Calc'!$W$2:$W$601,1,'Form Calc'!$G$2:$G$601,"Attending")</f>
        <v/>
      </c>
    </row>
    <row r="29">
      <c r="A29" s="10" t="n">
        <v>24</v>
      </c>
      <c r="B29" s="10" t="n"/>
      <c r="C29" s="10" t="n"/>
      <c r="D29" s="47">
        <f>IF(A29="","",COUNTIFS(Guests!$L$6:$L$505,A29,Guests!$A$6:$A$505,"&lt;&gt;",Guests!$B$6:$B$505,"&lt;&gt;Declined"))</f>
        <v/>
      </c>
      <c r="E29" s="47">
        <f>IF(OR(A29="",C29=""),"",C29-D29)</f>
        <v/>
      </c>
      <c r="F29" s="47">
        <f>IF(OR(A29="",C29=""),"",IF(D29&gt;C29,"Over capacity",IF(D29=C29,"Full",IF(D29=0,"Empty","Seats left"))))</f>
        <v/>
      </c>
    </row>
    <row r="30">
      <c r="A30" s="10" t="n">
        <v>25</v>
      </c>
      <c r="B30" s="10" t="n"/>
      <c r="C30" s="10" t="n"/>
      <c r="D30" s="47">
        <f>IF(A30="","",COUNTIFS(Guests!$L$6:$L$505,A30,Guests!$A$6:$A$505,"&lt;&gt;",Guests!$B$6:$B$505,"&lt;&gt;Declined"))</f>
        <v/>
      </c>
      <c r="E30" s="47">
        <f>IF(OR(A30="",C30=""),"",C30-D30)</f>
        <v/>
      </c>
      <c r="F30" s="47">
        <f>IF(OR(A30="",C30=""),"",IF(D30&gt;C30,"Over capacity",IF(D30=C30,"Full",IF(D30=0,"Empty","Seats left"))))</f>
        <v/>
      </c>
    </row>
    <row r="31">
      <c r="A31" s="10" t="n">
        <v>26</v>
      </c>
      <c r="B31" s="10" t="n"/>
      <c r="C31" s="10" t="n"/>
      <c r="D31" s="47">
        <f>IF(A31="","",COUNTIFS(Guests!$L$6:$L$505,A31,Guests!$A$6:$A$505,"&lt;&gt;",Guests!$B$6:$B$505,"&lt;&gt;Declined"))</f>
        <v/>
      </c>
      <c r="E31" s="47">
        <f>IF(OR(A31="",C31=""),"",C31-D31)</f>
        <v/>
      </c>
      <c r="F31" s="47">
        <f>IF(OR(A31="",C31=""),"",IF(D31&gt;C31,"Over capacity",IF(D31=C31,"Full",IF(D31=0,"Empty","Seats left"))))</f>
        <v/>
      </c>
    </row>
    <row r="32">
      <c r="A32" s="10" t="n">
        <v>27</v>
      </c>
      <c r="B32" s="10" t="n"/>
      <c r="C32" s="10" t="n"/>
      <c r="D32" s="47">
        <f>IF(A32="","",COUNTIFS(Guests!$L$6:$L$505,A32,Guests!$A$6:$A$505,"&lt;&gt;",Guests!$B$6:$B$505,"&lt;&gt;Declined"))</f>
        <v/>
      </c>
      <c r="E32" s="47">
        <f>IF(OR(A32="",C32=""),"",C32-D32)</f>
        <v/>
      </c>
      <c r="F32" s="47">
        <f>IF(OR(A32="",C32=""),"",IF(D32&gt;C32,"Over capacity",IF(D32=C32,"Full",IF(D32=0,"Empty","Seats left"))))</f>
        <v/>
      </c>
    </row>
    <row r="33">
      <c r="A33" s="10" t="n">
        <v>28</v>
      </c>
      <c r="B33" s="10" t="n"/>
      <c r="C33" s="10" t="n"/>
      <c r="D33" s="47">
        <f>IF(A33="","",COUNTIFS(Guests!$L$6:$L$505,A33,Guests!$A$6:$A$505,"&lt;&gt;",Guests!$B$6:$B$505,"&lt;&gt;Declined"))</f>
        <v/>
      </c>
      <c r="E33" s="47">
        <f>IF(OR(A33="",C33=""),"",C33-D33)</f>
        <v/>
      </c>
      <c r="F33" s="47">
        <f>IF(OR(A33="",C33=""),"",IF(D33&gt;C33,"Over capacity",IF(D33=C33,"Full",IF(D33=0,"Empty","Seats left"))))</f>
        <v/>
      </c>
    </row>
    <row r="34">
      <c r="A34" s="10" t="n">
        <v>29</v>
      </c>
      <c r="B34" s="10" t="n"/>
      <c r="C34" s="10" t="n"/>
      <c r="D34" s="47">
        <f>IF(A34="","",COUNTIFS(Guests!$L$6:$L$505,A34,Guests!$A$6:$A$505,"&lt;&gt;",Guests!$B$6:$B$505,"&lt;&gt;Declined"))</f>
        <v/>
      </c>
      <c r="E34" s="47">
        <f>IF(OR(A34="",C34=""),"",C34-D34)</f>
        <v/>
      </c>
      <c r="F34" s="47">
        <f>IF(OR(A34="",C34=""),"",IF(D34&gt;C34,"Over capacity",IF(D34=C34,"Full",IF(D34=0,"Empty","Seats left"))))</f>
        <v/>
      </c>
    </row>
    <row r="35">
      <c r="A35" s="10" t="n">
        <v>30</v>
      </c>
      <c r="B35" s="10" t="n"/>
      <c r="C35" s="10" t="n"/>
      <c r="D35" s="47">
        <f>IF(A35="","",COUNTIFS(Guests!$L$6:$L$505,A35,Guests!$A$6:$A$505,"&lt;&gt;",Guests!$B$6:$B$505,"&lt;&gt;Declined"))</f>
        <v/>
      </c>
      <c r="E35" s="47">
        <f>IF(OR(A35="",C35=""),"",C35-D35)</f>
        <v/>
      </c>
      <c r="F35" s="47">
        <f>IF(OR(A35="",C35=""),"",IF(D35&gt;C35,"Over capacity",IF(D35=C35,"Full",IF(D35=0,"Empty","Seats left"))))</f>
        <v/>
      </c>
    </row>
    <row r="36">
      <c r="A36" s="10" t="n">
        <v>31</v>
      </c>
      <c r="B36" s="10" t="n"/>
      <c r="C36" s="10" t="n"/>
      <c r="D36" s="47">
        <f>IF(A36="","",COUNTIFS(Guests!$L$6:$L$505,A36,Guests!$A$6:$A$505,"&lt;&gt;",Guests!$B$6:$B$505,"&lt;&gt;Declined"))</f>
        <v/>
      </c>
      <c r="E36" s="47">
        <f>IF(OR(A36="",C36=""),"",C36-D36)</f>
        <v/>
      </c>
      <c r="F36" s="47">
        <f>IF(OR(A36="",C36=""),"",IF(D36&gt;C36,"Over capacity",IF(D36=C36,"Full",IF(D36=0,"Empty","Seats left"))))</f>
        <v/>
      </c>
    </row>
    <row r="37">
      <c r="A37" s="10" t="n">
        <v>32</v>
      </c>
      <c r="B37" s="10" t="n"/>
      <c r="C37" s="10" t="n"/>
      <c r="D37" s="47">
        <f>IF(A37="","",COUNTIFS(Guests!$L$6:$L$505,A37,Guests!$A$6:$A$505,"&lt;&gt;",Guests!$B$6:$B$505,"&lt;&gt;Declined"))</f>
        <v/>
      </c>
      <c r="E37" s="47">
        <f>IF(OR(A37="",C37=""),"",C37-D37)</f>
        <v/>
      </c>
      <c r="F37" s="47">
        <f>IF(OR(A37="",C37=""),"",IF(D37&gt;C37,"Over capacity",IF(D37=C37,"Full",IF(D37=0,"Empty","Seats left"))))</f>
        <v/>
      </c>
    </row>
    <row r="38">
      <c r="A38" s="10" t="n">
        <v>33</v>
      </c>
      <c r="B38" s="10" t="n"/>
      <c r="C38" s="10" t="n"/>
      <c r="D38" s="47">
        <f>IF(A38="","",COUNTIFS(Guests!$L$6:$L$505,A38,Guests!$A$6:$A$505,"&lt;&gt;",Guests!$B$6:$B$505,"&lt;&gt;Declined"))</f>
        <v/>
      </c>
      <c r="E38" s="47">
        <f>IF(OR(A38="",C38=""),"",C38-D38)</f>
        <v/>
      </c>
      <c r="F38" s="47">
        <f>IF(OR(A38="",C38=""),"",IF(D38&gt;C38,"Over capacity",IF(D38=C38,"Full",IF(D38=0,"Empty","Seats left"))))</f>
        <v/>
      </c>
    </row>
    <row r="39">
      <c r="A39" s="10" t="n">
        <v>34</v>
      </c>
      <c r="B39" s="10" t="n"/>
      <c r="C39" s="10" t="n"/>
      <c r="D39" s="47">
        <f>IF(A39="","",COUNTIFS(Guests!$L$6:$L$505,A39,Guests!$A$6:$A$505,"&lt;&gt;",Guests!$B$6:$B$505,"&lt;&gt;Declined"))</f>
        <v/>
      </c>
      <c r="E39" s="47">
        <f>IF(OR(A39="",C39=""),"",C39-D39)</f>
        <v/>
      </c>
      <c r="F39" s="47">
        <f>IF(OR(A39="",C39=""),"",IF(D39&gt;C39,"Over capacity",IF(D39=C39,"Full",IF(D39=0,"Empty","Seats left"))))</f>
        <v/>
      </c>
    </row>
    <row r="40">
      <c r="A40" s="10" t="n">
        <v>35</v>
      </c>
      <c r="B40" s="10" t="n"/>
      <c r="C40" s="10" t="n"/>
      <c r="D40" s="47">
        <f>IF(A40="","",COUNTIFS(Guests!$L$6:$L$505,A40,Guests!$A$6:$A$505,"&lt;&gt;",Guests!$B$6:$B$505,"&lt;&gt;Declined"))</f>
        <v/>
      </c>
      <c r="E40" s="47">
        <f>IF(OR(A40="",C40=""),"",C40-D40)</f>
        <v/>
      </c>
      <c r="F40" s="47">
        <f>IF(OR(A40="",C40=""),"",IF(D40&gt;C40,"Over capacity",IF(D40=C40,"Full",IF(D40=0,"Empty","Seats left"))))</f>
        <v/>
      </c>
    </row>
    <row r="41">
      <c r="A41" s="10" t="n">
        <v>36</v>
      </c>
      <c r="B41" s="10" t="n"/>
      <c r="C41" s="10" t="n"/>
      <c r="D41" s="47">
        <f>IF(A41="","",COUNTIFS(Guests!$L$6:$L$505,A41,Guests!$A$6:$A$505,"&lt;&gt;",Guests!$B$6:$B$505,"&lt;&gt;Declined"))</f>
        <v/>
      </c>
      <c r="E41" s="47">
        <f>IF(OR(A41="",C41=""),"",C41-D41)</f>
        <v/>
      </c>
      <c r="F41" s="47">
        <f>IF(OR(A41="",C41=""),"",IF(D41&gt;C41,"Over capacity",IF(D41=C41,"Full",IF(D41=0,"Empty","Seats left"))))</f>
        <v/>
      </c>
    </row>
    <row r="42">
      <c r="A42" s="10" t="n">
        <v>37</v>
      </c>
      <c r="B42" s="10" t="n"/>
      <c r="C42" s="10" t="n"/>
      <c r="D42" s="47">
        <f>IF(A42="","",COUNTIFS(Guests!$L$6:$L$505,A42,Guests!$A$6:$A$505,"&lt;&gt;",Guests!$B$6:$B$505,"&lt;&gt;Declined"))</f>
        <v/>
      </c>
      <c r="E42" s="47">
        <f>IF(OR(A42="",C42=""),"",C42-D42)</f>
        <v/>
      </c>
      <c r="F42" s="47">
        <f>IF(OR(A42="",C42=""),"",IF(D42&gt;C42,"Over capacity",IF(D42=C42,"Full",IF(D42=0,"Empty","Seats left"))))</f>
        <v/>
      </c>
    </row>
    <row r="43">
      <c r="A43" s="10" t="n">
        <v>38</v>
      </c>
      <c r="B43" s="10" t="n"/>
      <c r="C43" s="10" t="n"/>
      <c r="D43" s="47">
        <f>IF(A43="","",COUNTIFS(Guests!$L$6:$L$505,A43,Guests!$A$6:$A$505,"&lt;&gt;",Guests!$B$6:$B$505,"&lt;&gt;Declined"))</f>
        <v/>
      </c>
      <c r="E43" s="47">
        <f>IF(OR(A43="",C43=""),"",C43-D43)</f>
        <v/>
      </c>
      <c r="F43" s="47">
        <f>IF(OR(A43="",C43=""),"",IF(D43&gt;C43,"Over capacity",IF(D43=C43,"Full",IF(D43=0,"Empty","Seats left"))))</f>
        <v/>
      </c>
    </row>
    <row r="44">
      <c r="A44" s="10" t="n">
        <v>39</v>
      </c>
      <c r="B44" s="10" t="n"/>
      <c r="C44" s="10" t="n"/>
      <c r="D44" s="47">
        <f>IF(A44="","",COUNTIFS(Guests!$L$6:$L$505,A44,Guests!$A$6:$A$505,"&lt;&gt;",Guests!$B$6:$B$505,"&lt;&gt;Declined"))</f>
        <v/>
      </c>
      <c r="E44" s="47">
        <f>IF(OR(A44="",C44=""),"",C44-D44)</f>
        <v/>
      </c>
      <c r="F44" s="47">
        <f>IF(OR(A44="",C44=""),"",IF(D44&gt;C44,"Over capacity",IF(D44=C44,"Full",IF(D44=0,"Empty","Seats left"))))</f>
        <v/>
      </c>
    </row>
    <row r="45">
      <c r="A45" s="10" t="n">
        <v>40</v>
      </c>
      <c r="B45" s="10" t="n"/>
      <c r="C45" s="10" t="n"/>
      <c r="D45" s="47">
        <f>IF(A45="","",COUNTIFS(Guests!$L$6:$L$505,A45,Guests!$A$6:$A$505,"&lt;&gt;",Guests!$B$6:$B$505,"&lt;&gt;Declined"))</f>
        <v/>
      </c>
      <c r="E45" s="47">
        <f>IF(OR(A45="",C45=""),"",C45-D45)</f>
        <v/>
      </c>
      <c r="F45" s="47">
        <f>IF(OR(A45="",C45=""),"",IF(D45&gt;C45,"Over capacity",IF(D45=C45,"Full",IF(D45=0,"Empty","Seats left"))))</f>
        <v/>
      </c>
    </row>
    <row r="46">
      <c r="A46" s="10" t="n">
        <v>41</v>
      </c>
      <c r="B46" s="10" t="n"/>
      <c r="C46" s="10" t="n"/>
      <c r="D46" s="47">
        <f>IF(A46="","",COUNTIFS(Guests!$L$6:$L$505,A46,Guests!$A$6:$A$505,"&lt;&gt;",Guests!$B$6:$B$505,"&lt;&gt;Declined"))</f>
        <v/>
      </c>
      <c r="E46" s="47">
        <f>IF(OR(A46="",C46=""),"",C46-D46)</f>
        <v/>
      </c>
      <c r="F46" s="47">
        <f>IF(OR(A46="",C46=""),"",IF(D46&gt;C46,"Over capacity",IF(D46=C46,"Full",IF(D46=0,"Empty","Seats left"))))</f>
        <v/>
      </c>
    </row>
    <row r="47">
      <c r="A47" s="10" t="n">
        <v>42</v>
      </c>
      <c r="B47" s="10" t="n"/>
      <c r="C47" s="10" t="n"/>
      <c r="D47" s="47">
        <f>IF(A47="","",COUNTIFS(Guests!$L$6:$L$505,A47,Guests!$A$6:$A$505,"&lt;&gt;",Guests!$B$6:$B$505,"&lt;&gt;Declined"))</f>
        <v/>
      </c>
      <c r="E47" s="47">
        <f>IF(OR(A47="",C47=""),"",C47-D47)</f>
        <v/>
      </c>
      <c r="F47" s="47">
        <f>IF(OR(A47="",C47=""),"",IF(D47&gt;C47,"Over capacity",IF(D47=C47,"Full",IF(D47=0,"Empty","Seats left"))))</f>
        <v/>
      </c>
    </row>
    <row r="48">
      <c r="A48" s="10" t="n">
        <v>43</v>
      </c>
      <c r="B48" s="10" t="n"/>
      <c r="C48" s="10" t="n"/>
      <c r="D48" s="47">
        <f>IF(A48="","",COUNTIFS(Guests!$L$6:$L$505,A48,Guests!$A$6:$A$505,"&lt;&gt;",Guests!$B$6:$B$505,"&lt;&gt;Declined"))</f>
        <v/>
      </c>
      <c r="E48" s="47">
        <f>IF(OR(A48="",C48=""),"",C48-D48)</f>
        <v/>
      </c>
      <c r="F48" s="47">
        <f>IF(OR(A48="",C48=""),"",IF(D48&gt;C48,"Over capacity",IF(D48=C48,"Full",IF(D48=0,"Empty","Seats left"))))</f>
        <v/>
      </c>
    </row>
    <row r="49">
      <c r="A49" s="10" t="n">
        <v>44</v>
      </c>
      <c r="B49" s="10" t="n"/>
      <c r="C49" s="10" t="n"/>
      <c r="D49" s="47">
        <f>IF(A49="","",COUNTIFS(Guests!$L$6:$L$505,A49,Guests!$A$6:$A$505,"&lt;&gt;",Guests!$B$6:$B$505,"&lt;&gt;Declined"))</f>
        <v/>
      </c>
      <c r="E49" s="47">
        <f>IF(OR(A49="",C49=""),"",C49-D49)</f>
        <v/>
      </c>
      <c r="F49" s="47">
        <f>IF(OR(A49="",C49=""),"",IF(D49&gt;C49,"Over capacity",IF(D49=C49,"Full",IF(D49=0,"Empty","Seats left"))))</f>
        <v/>
      </c>
    </row>
    <row r="50">
      <c r="A50" s="10" t="n">
        <v>45</v>
      </c>
      <c r="B50" s="10" t="n"/>
      <c r="C50" s="10" t="n"/>
      <c r="D50" s="47">
        <f>IF(A50="","",COUNTIFS(Guests!$L$6:$L$505,A50,Guests!$A$6:$A$505,"&lt;&gt;",Guests!$B$6:$B$505,"&lt;&gt;Declined"))</f>
        <v/>
      </c>
      <c r="E50" s="47">
        <f>IF(OR(A50="",C50=""),"",C50-D50)</f>
        <v/>
      </c>
      <c r="F50" s="47">
        <f>IF(OR(A50="",C50=""),"",IF(D50&gt;C50,"Over capacity",IF(D50=C50,"Full",IF(D50=0,"Empty","Seats left"))))</f>
        <v/>
      </c>
    </row>
    <row r="51">
      <c r="A51" s="10" t="n">
        <v>46</v>
      </c>
      <c r="B51" s="10" t="n"/>
      <c r="C51" s="10" t="n"/>
      <c r="D51" s="47">
        <f>IF(A51="","",COUNTIFS(Guests!$L$6:$L$505,A51,Guests!$A$6:$A$505,"&lt;&gt;",Guests!$B$6:$B$505,"&lt;&gt;Declined"))</f>
        <v/>
      </c>
      <c r="E51" s="47">
        <f>IF(OR(A51="",C51=""),"",C51-D51)</f>
        <v/>
      </c>
      <c r="F51" s="47">
        <f>IF(OR(A51="",C51=""),"",IF(D51&gt;C51,"Over capacity",IF(D51=C51,"Full",IF(D51=0,"Empty","Seats left"))))</f>
        <v/>
      </c>
    </row>
    <row r="52">
      <c r="A52" s="10" t="n">
        <v>47</v>
      </c>
      <c r="B52" s="10" t="n"/>
      <c r="C52" s="10" t="n"/>
      <c r="D52" s="47">
        <f>IF(A52="","",COUNTIFS(Guests!$L$6:$L$505,A52,Guests!$A$6:$A$505,"&lt;&gt;",Guests!$B$6:$B$505,"&lt;&gt;Declined"))</f>
        <v/>
      </c>
      <c r="E52" s="47">
        <f>IF(OR(A52="",C52=""),"",C52-D52)</f>
        <v/>
      </c>
      <c r="F52" s="47">
        <f>IF(OR(A52="",C52=""),"",IF(D52&gt;C52,"Over capacity",IF(D52=C52,"Full",IF(D52=0,"Empty","Seats left"))))</f>
        <v/>
      </c>
    </row>
    <row r="53">
      <c r="A53" s="10" t="n">
        <v>48</v>
      </c>
      <c r="B53" s="10" t="n"/>
      <c r="C53" s="10" t="n"/>
      <c r="D53" s="47">
        <f>IF(A53="","",COUNTIFS(Guests!$L$6:$L$505,A53,Guests!$A$6:$A$505,"&lt;&gt;",Guests!$B$6:$B$505,"&lt;&gt;Declined"))</f>
        <v/>
      </c>
      <c r="E53" s="47">
        <f>IF(OR(A53="",C53=""),"",C53-D53)</f>
        <v/>
      </c>
      <c r="F53" s="47">
        <f>IF(OR(A53="",C53=""),"",IF(D53&gt;C53,"Over capacity",IF(D53=C53,"Full",IF(D53=0,"Empty","Seats left"))))</f>
        <v/>
      </c>
    </row>
    <row r="54">
      <c r="A54" s="10" t="n">
        <v>49</v>
      </c>
      <c r="B54" s="10" t="n"/>
      <c r="C54" s="10" t="n"/>
      <c r="D54" s="47">
        <f>IF(A54="","",COUNTIFS(Guests!$L$6:$L$505,A54,Guests!$A$6:$A$505,"&lt;&gt;",Guests!$B$6:$B$505,"&lt;&gt;Declined"))</f>
        <v/>
      </c>
      <c r="E54" s="47">
        <f>IF(OR(A54="",C54=""),"",C54-D54)</f>
        <v/>
      </c>
      <c r="F54" s="47">
        <f>IF(OR(A54="",C54=""),"",IF(D54&gt;C54,"Over capacity",IF(D54=C54,"Full",IF(D54=0,"Empty","Seats left"))))</f>
        <v/>
      </c>
    </row>
    <row r="55">
      <c r="A55" s="10" t="n">
        <v>50</v>
      </c>
      <c r="B55" s="10" t="n"/>
      <c r="C55" s="10" t="n"/>
      <c r="D55" s="47">
        <f>IF(A55="","",COUNTIFS(Guests!$L$6:$L$505,A55,Guests!$A$6:$A$505,"&lt;&gt;",Guests!$B$6:$B$505,"&lt;&gt;Declined"))</f>
        <v/>
      </c>
      <c r="E55" s="47">
        <f>IF(OR(A55="",C55=""),"",C55-D55)</f>
        <v/>
      </c>
      <c r="F55" s="47">
        <f>IF(OR(A55="",C55=""),"",IF(D55&gt;C55,"Over capacity",IF(D55=C55,"Full",IF(D55=0,"Empty","Seats left"))))</f>
        <v/>
      </c>
    </row>
  </sheetData>
  <conditionalFormatting sqref="F6:F55">
    <cfRule type="expression" priority="1" dxfId="1" stopIfTrue="0">
      <formula>$F6="Over capacity"</formula>
    </cfRule>
    <cfRule type="expression" priority="2" dxfId="4" stopIfTrue="0">
      <formula>$F6="Full"</formula>
    </cfRule>
  </conditionalFormatting>
  <conditionalFormatting sqref="K6:K25">
    <cfRule type="expression" priority="3" dxfId="4" stopIfTrue="0">
      <formula>$K6="Attending"</formula>
    </cfRule>
    <cfRule type="expression" priority="4" dxfId="1" stopIfTrue="0">
      <formula>$K6="Declined"</formula>
    </cfRule>
    <cfRule type="expression" priority="5" dxfId="2" stopIfTrue="0">
      <formula>$K6="Not sure yet"</formula>
    </cfRule>
    <cfRule type="expression" priority="6" dxfId="3" stopIfTrue="0">
      <formula>$K6="Awaiting"</formula>
    </cfRule>
  </conditionalFormatting>
  <pageMargins left="0.5" right="0.5" top="0.6" bottom="0.6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E8C7C3"/>
    <outlinePr summaryBelow="1" summaryRight="1"/>
    <pageSetUpPr fitToPage="1"/>
  </sheetPr>
  <dimension ref="A1:J2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20" customWidth="1" min="5" max="5"/>
    <col width="26" customWidth="1" min="6" max="6"/>
    <col width="14" customWidth="1" min="7" max="7"/>
    <col width="18" customWidth="1" min="8" max="8"/>
    <col width="24" customWidth="1" min="9" max="9"/>
    <col hidden="1" width="13" customWidth="1" min="10" max="10"/>
  </cols>
  <sheetData>
    <row r="1" ht="30" customHeight="1">
      <c r="A1" s="1" t="inlineStr">
        <is>
          <t>Events</t>
        </is>
      </c>
    </row>
    <row r="2">
      <c r="A2" s="11" t="inlineStr">
        <is>
          <t>All your wedding-related events. The next ones show on the Dashboard.</t>
        </is>
      </c>
    </row>
    <row r="3"/>
    <row r="4"/>
    <row r="5" ht="30" customHeight="1">
      <c r="A5" s="43" t="inlineStr">
        <is>
          <t>Event</t>
        </is>
      </c>
      <c r="B5" s="43" t="inlineStr">
        <is>
          <t>Date</t>
        </is>
      </c>
      <c r="C5" s="43" t="inlineStr">
        <is>
          <t>Start</t>
        </is>
      </c>
      <c r="D5" s="43" t="inlineStr">
        <is>
          <t>End</t>
        </is>
      </c>
      <c r="E5" s="43" t="inlineStr">
        <is>
          <t>Location</t>
        </is>
      </c>
      <c r="F5" s="43" t="inlineStr">
        <is>
          <t>Address</t>
        </is>
      </c>
      <c r="G5" s="43" t="inlineStr">
        <is>
          <t>Dress code</t>
        </is>
      </c>
      <c r="H5" s="43" t="inlineStr">
        <is>
          <t>Who's invited</t>
        </is>
      </c>
      <c r="I5" s="43" t="inlineStr">
        <is>
          <t>Notes</t>
        </is>
      </c>
    </row>
    <row r="6">
      <c r="A6" s="10" t="inlineStr">
        <is>
          <t>Engagement party</t>
        </is>
      </c>
      <c r="B6" s="12" t="n"/>
      <c r="C6" s="13" t="n"/>
      <c r="D6" s="13" t="n"/>
      <c r="E6" s="10" t="n"/>
      <c r="F6" s="10" t="n"/>
      <c r="G6" s="10" t="n"/>
      <c r="H6" s="10" t="n"/>
      <c r="I6" s="10" t="n"/>
      <c r="J6" s="32">
        <f>IF(AND(A6&lt;&gt;"",B6&lt;&gt;""),IF(B6&gt;=TODAY(),B6+ROW()/100000,""),"")</f>
        <v/>
      </c>
    </row>
    <row r="7">
      <c r="A7" s="10" t="inlineStr">
        <is>
          <t>Wedding shower</t>
        </is>
      </c>
      <c r="B7" s="12" t="n"/>
      <c r="C7" s="13" t="n"/>
      <c r="D7" s="13" t="n"/>
      <c r="E7" s="10" t="n"/>
      <c r="F7" s="10" t="n"/>
      <c r="G7" s="10" t="n"/>
      <c r="H7" s="10" t="n"/>
      <c r="I7" s="10" t="n"/>
      <c r="J7" s="32">
        <f>IF(AND(A7&lt;&gt;"",B7&lt;&gt;""),IF(B7&gt;=TODAY(),B7+ROW()/100000,""),"")</f>
        <v/>
      </c>
    </row>
    <row r="8">
      <c r="A8" s="10" t="inlineStr">
        <is>
          <t>Bachelor / bachelorette party</t>
        </is>
      </c>
      <c r="B8" s="12" t="n"/>
      <c r="C8" s="13" t="n"/>
      <c r="D8" s="13" t="n"/>
      <c r="E8" s="10" t="n"/>
      <c r="F8" s="10" t="n"/>
      <c r="G8" s="10" t="n"/>
      <c r="H8" s="10" t="n"/>
      <c r="I8" s="10" t="n"/>
      <c r="J8" s="32">
        <f>IF(AND(A8&lt;&gt;"",B8&lt;&gt;""),IF(B8&gt;=TODAY(),B8+ROW()/100000,""),"")</f>
        <v/>
      </c>
    </row>
    <row r="9">
      <c r="A9" s="10" t="inlineStr">
        <is>
          <t>Rehearsal</t>
        </is>
      </c>
      <c r="B9" s="12" t="n"/>
      <c r="C9" s="13" t="n"/>
      <c r="D9" s="13" t="n"/>
      <c r="E9" s="10" t="n"/>
      <c r="F9" s="10" t="n"/>
      <c r="G9" s="10" t="n"/>
      <c r="H9" s="10" t="n"/>
      <c r="I9" s="10" t="n"/>
      <c r="J9" s="32">
        <f>IF(AND(A9&lt;&gt;"",B9&lt;&gt;""),IF(B9&gt;=TODAY(),B9+ROW()/100000,""),"")</f>
        <v/>
      </c>
    </row>
    <row r="10">
      <c r="A10" s="10" t="inlineStr">
        <is>
          <t>Rehearsal dinner</t>
        </is>
      </c>
      <c r="B10" s="12" t="n"/>
      <c r="C10" s="13" t="n"/>
      <c r="D10" s="13" t="n"/>
      <c r="E10" s="10" t="n"/>
      <c r="F10" s="10" t="n"/>
      <c r="G10" s="10" t="n"/>
      <c r="H10" s="10" t="n"/>
      <c r="I10" s="10" t="n"/>
      <c r="J10" s="32">
        <f>IF(AND(A10&lt;&gt;"",B10&lt;&gt;""),IF(B10&gt;=TODAY(),B10+ROW()/100000,""),"")</f>
        <v/>
      </c>
    </row>
    <row r="11">
      <c r="A11" s="10" t="inlineStr">
        <is>
          <t>Welcome drinks</t>
        </is>
      </c>
      <c r="B11" s="12" t="n"/>
      <c r="C11" s="13" t="n"/>
      <c r="D11" s="13" t="n"/>
      <c r="E11" s="10" t="n"/>
      <c r="F11" s="10" t="n"/>
      <c r="G11" s="10" t="n"/>
      <c r="H11" s="10" t="n"/>
      <c r="I11" s="10" t="n"/>
      <c r="J11" s="32">
        <f>IF(AND(A11&lt;&gt;"",B11&lt;&gt;""),IF(B11&gt;=TODAY(),B11+ROW()/100000,""),"")</f>
        <v/>
      </c>
    </row>
    <row r="12">
      <c r="A12" s="10" t="inlineStr">
        <is>
          <t>Ceremony</t>
        </is>
      </c>
      <c r="B12" s="12" t="n"/>
      <c r="C12" s="13" t="n"/>
      <c r="D12" s="13" t="n"/>
      <c r="E12" s="10" t="n"/>
      <c r="F12" s="10" t="n"/>
      <c r="G12" s="10" t="n"/>
      <c r="H12" s="10" t="n"/>
      <c r="I12" s="10" t="n"/>
      <c r="J12" s="32">
        <f>IF(AND(A12&lt;&gt;"",B12&lt;&gt;""),IF(B12&gt;=TODAY(),B12+ROW()/100000,""),"")</f>
        <v/>
      </c>
    </row>
    <row r="13">
      <c r="A13" s="10" t="inlineStr">
        <is>
          <t>Cocktail hour</t>
        </is>
      </c>
      <c r="B13" s="12" t="n"/>
      <c r="C13" s="13" t="n"/>
      <c r="D13" s="13" t="n"/>
      <c r="E13" s="10" t="n"/>
      <c r="F13" s="10" t="n"/>
      <c r="G13" s="10" t="n"/>
      <c r="H13" s="10" t="n"/>
      <c r="I13" s="10" t="n"/>
      <c r="J13" s="32">
        <f>IF(AND(A13&lt;&gt;"",B13&lt;&gt;""),IF(B13&gt;=TODAY(),B13+ROW()/100000,""),"")</f>
        <v/>
      </c>
    </row>
    <row r="14">
      <c r="A14" s="10" t="inlineStr">
        <is>
          <t>Reception</t>
        </is>
      </c>
      <c r="B14" s="12" t="n"/>
      <c r="C14" s="13" t="n"/>
      <c r="D14" s="13" t="n"/>
      <c r="E14" s="10" t="n"/>
      <c r="F14" s="10" t="n"/>
      <c r="G14" s="10" t="n"/>
      <c r="H14" s="10" t="n"/>
      <c r="I14" s="10" t="n"/>
      <c r="J14" s="32">
        <f>IF(AND(A14&lt;&gt;"",B14&lt;&gt;""),IF(B14&gt;=TODAY(),B14+ROW()/100000,""),"")</f>
        <v/>
      </c>
    </row>
    <row r="15">
      <c r="A15" s="10" t="inlineStr">
        <is>
          <t>After-party</t>
        </is>
      </c>
      <c r="B15" s="12" t="n"/>
      <c r="C15" s="13" t="n"/>
      <c r="D15" s="13" t="n"/>
      <c r="E15" s="10" t="n"/>
      <c r="F15" s="10" t="n"/>
      <c r="G15" s="10" t="n"/>
      <c r="H15" s="10" t="n"/>
      <c r="I15" s="10" t="n"/>
      <c r="J15" s="32">
        <f>IF(AND(A15&lt;&gt;"",B15&lt;&gt;""),IF(B15&gt;=TODAY(),B15+ROW()/100000,""),"")</f>
        <v/>
      </c>
    </row>
    <row r="16">
      <c r="A16" s="10" t="inlineStr">
        <is>
          <t>Farewell brunch</t>
        </is>
      </c>
      <c r="B16" s="12" t="n"/>
      <c r="C16" s="13" t="n"/>
      <c r="D16" s="13" t="n"/>
      <c r="E16" s="10" t="n"/>
      <c r="F16" s="10" t="n"/>
      <c r="G16" s="10" t="n"/>
      <c r="H16" s="10" t="n"/>
      <c r="I16" s="10" t="n"/>
      <c r="J16" s="32">
        <f>IF(AND(A16&lt;&gt;"",B16&lt;&gt;""),IF(B16&gt;=TODAY(),B16+ROW()/100000,""),"")</f>
        <v/>
      </c>
    </row>
    <row r="17">
      <c r="A17" s="10" t="n"/>
      <c r="B17" s="12" t="n"/>
      <c r="C17" s="13" t="n"/>
      <c r="D17" s="13" t="n"/>
      <c r="E17" s="10" t="n"/>
      <c r="F17" s="10" t="n"/>
      <c r="G17" s="10" t="n"/>
      <c r="H17" s="10" t="n"/>
      <c r="I17" s="10" t="n"/>
      <c r="J17" s="32">
        <f>IF(AND(A17&lt;&gt;"",B17&lt;&gt;""),IF(B17&gt;=TODAY(),B17+ROW()/100000,""),"")</f>
        <v/>
      </c>
    </row>
    <row r="18">
      <c r="A18" s="10" t="n"/>
      <c r="B18" s="12" t="n"/>
      <c r="C18" s="13" t="n"/>
      <c r="D18" s="13" t="n"/>
      <c r="E18" s="10" t="n"/>
      <c r="F18" s="10" t="n"/>
      <c r="G18" s="10" t="n"/>
      <c r="H18" s="10" t="n"/>
      <c r="I18" s="10" t="n"/>
      <c r="J18" s="32">
        <f>IF(AND(A18&lt;&gt;"",B18&lt;&gt;""),IF(B18&gt;=TODAY(),B18+ROW()/100000,""),"")</f>
        <v/>
      </c>
    </row>
    <row r="19">
      <c r="A19" s="10" t="n"/>
      <c r="B19" s="12" t="n"/>
      <c r="C19" s="13" t="n"/>
      <c r="D19" s="13" t="n"/>
      <c r="E19" s="10" t="n"/>
      <c r="F19" s="10" t="n"/>
      <c r="G19" s="10" t="n"/>
      <c r="H19" s="10" t="n"/>
      <c r="I19" s="10" t="n"/>
      <c r="J19" s="32">
        <f>IF(AND(A19&lt;&gt;"",B19&lt;&gt;""),IF(B19&gt;=TODAY(),B19+ROW()/100000,""),"")</f>
        <v/>
      </c>
    </row>
    <row r="20">
      <c r="A20" s="10" t="n"/>
      <c r="B20" s="12" t="n"/>
      <c r="C20" s="13" t="n"/>
      <c r="D20" s="13" t="n"/>
      <c r="E20" s="10" t="n"/>
      <c r="F20" s="10" t="n"/>
      <c r="G20" s="10" t="n"/>
      <c r="H20" s="10" t="n"/>
      <c r="I20" s="10" t="n"/>
      <c r="J20" s="32">
        <f>IF(AND(A20&lt;&gt;"",B20&lt;&gt;""),IF(B20&gt;=TODAY(),B20+ROW()/100000,""),"")</f>
        <v/>
      </c>
    </row>
    <row r="21">
      <c r="A21" s="10" t="n"/>
      <c r="B21" s="12" t="n"/>
      <c r="C21" s="13" t="n"/>
      <c r="D21" s="13" t="n"/>
      <c r="E21" s="10" t="n"/>
      <c r="F21" s="10" t="n"/>
      <c r="G21" s="10" t="n"/>
      <c r="H21" s="10" t="n"/>
      <c r="I21" s="10" t="n"/>
      <c r="J21" s="32">
        <f>IF(AND(A21&lt;&gt;"",B21&lt;&gt;""),IF(B21&gt;=TODAY(),B21+ROW()/100000,""),"")</f>
        <v/>
      </c>
    </row>
    <row r="22">
      <c r="A22" s="10" t="n"/>
      <c r="B22" s="12" t="n"/>
      <c r="C22" s="13" t="n"/>
      <c r="D22" s="13" t="n"/>
      <c r="E22" s="10" t="n"/>
      <c r="F22" s="10" t="n"/>
      <c r="G22" s="10" t="n"/>
      <c r="H22" s="10" t="n"/>
      <c r="I22" s="10" t="n"/>
      <c r="J22" s="32">
        <f>IF(AND(A22&lt;&gt;"",B22&lt;&gt;""),IF(B22&gt;=TODAY(),B22+ROW()/100000,""),"")</f>
        <v/>
      </c>
    </row>
    <row r="23">
      <c r="A23" s="10" t="n"/>
      <c r="B23" s="12" t="n"/>
      <c r="C23" s="13" t="n"/>
      <c r="D23" s="13" t="n"/>
      <c r="E23" s="10" t="n"/>
      <c r="F23" s="10" t="n"/>
      <c r="G23" s="10" t="n"/>
      <c r="H23" s="10" t="n"/>
      <c r="I23" s="10" t="n"/>
      <c r="J23" s="32">
        <f>IF(AND(A23&lt;&gt;"",B23&lt;&gt;""),IF(B23&gt;=TODAY(),B23+ROW()/100000,""),"")</f>
        <v/>
      </c>
    </row>
    <row r="24">
      <c r="A24" s="10" t="n"/>
      <c r="B24" s="12" t="n"/>
      <c r="C24" s="13" t="n"/>
      <c r="D24" s="13" t="n"/>
      <c r="E24" s="10" t="n"/>
      <c r="F24" s="10" t="n"/>
      <c r="G24" s="10" t="n"/>
      <c r="H24" s="10" t="n"/>
      <c r="I24" s="10" t="n"/>
      <c r="J24" s="32">
        <f>IF(AND(A24&lt;&gt;"",B24&lt;&gt;""),IF(B24&gt;=TODAY(),B24+ROW()/100000,""),"")</f>
        <v/>
      </c>
    </row>
    <row r="25">
      <c r="A25" s="10" t="n"/>
      <c r="B25" s="12" t="n"/>
      <c r="C25" s="13" t="n"/>
      <c r="D25" s="13" t="n"/>
      <c r="E25" s="10" t="n"/>
      <c r="F25" s="10" t="n"/>
      <c r="G25" s="10" t="n"/>
      <c r="H25" s="10" t="n"/>
      <c r="I25" s="10" t="n"/>
      <c r="J25" s="32">
        <f>IF(AND(A25&lt;&gt;"",B25&lt;&gt;""),IF(B25&gt;=TODAY(),B25+ROW()/100000,""),"")</f>
        <v/>
      </c>
    </row>
  </sheetData>
  <conditionalFormatting sqref="A6:I25">
    <cfRule type="expression" priority="1" dxfId="6" stopIfTrue="0">
      <formula>AND($B6&lt;&gt;"",$B6&lt;TODAY())</formula>
    </cfRule>
  </conditionalFormatting>
  <pageMargins left="0.5" right="0.5" top="0.6" bottom="0.6" header="0.5" footer="0.5"/>
  <pageSetup orientation="portrait" fitToHeight="0" fitToWidth="1"/>
</worksheet>
</file>

<file path=xl/worksheets/sheet12.xml><?xml version="1.0" encoding="utf-8"?>
<worksheet xmlns="http://schemas.openxmlformats.org/spreadsheetml/2006/main">
  <sheetPr>
    <tabColor rgb="00C9D3E0"/>
    <outlinePr summaryBelow="1" summaryRight="1"/>
    <pageSetUpPr fitToPage="1"/>
  </sheetPr>
  <dimension ref="A1:J3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14" customWidth="1" min="3" max="3"/>
    <col width="24" customWidth="1" min="4" max="4"/>
    <col width="10" customWidth="1" min="5" max="5"/>
    <col width="9" customWidth="1" min="6" max="6"/>
    <col width="9" customWidth="1" min="7" max="7"/>
    <col width="12" customWidth="1" min="8" max="8"/>
    <col width="10" customWidth="1" min="9" max="9"/>
    <col width="24" customWidth="1" min="10" max="10"/>
  </cols>
  <sheetData>
    <row r="1" ht="30" customHeight="1">
      <c r="A1" s="1" t="inlineStr">
        <is>
          <t>Stay &amp; Travel</t>
        </is>
      </c>
    </row>
    <row r="2">
      <c r="A2" s="11" t="inlineStr">
        <is>
          <t>Hotel room blocks for guests and transportation plans. Cut-off within 14 days turns amber.</t>
        </is>
      </c>
    </row>
    <row r="3"/>
    <row r="4"/>
    <row r="5" ht="30" customHeight="1">
      <c r="A5" s="43" t="inlineStr">
        <is>
          <t>Hotel</t>
        </is>
      </c>
      <c r="B5" s="43" t="inlineStr">
        <is>
          <t>Address</t>
        </is>
      </c>
      <c r="C5" s="43" t="inlineStr">
        <is>
          <t>Phone</t>
        </is>
      </c>
      <c r="D5" s="43" t="inlineStr">
        <is>
          <t>Booking link / code</t>
        </is>
      </c>
      <c r="E5" s="43" t="inlineStr">
        <is>
          <t>Group rate</t>
        </is>
      </c>
      <c r="F5" s="43" t="inlineStr">
        <is>
          <t>Rooms held</t>
        </is>
      </c>
      <c r="G5" s="43" t="inlineStr">
        <is>
          <t>Rooms booked</t>
        </is>
      </c>
      <c r="H5" s="43" t="inlineStr">
        <is>
          <t>Cut-off date</t>
        </is>
      </c>
      <c r="I5" s="43" t="inlineStr">
        <is>
          <t>Days to cut-off</t>
        </is>
      </c>
      <c r="J5" s="43" t="inlineStr">
        <is>
          <t>Notes</t>
        </is>
      </c>
    </row>
    <row r="6">
      <c r="A6" s="10" t="n"/>
      <c r="B6" s="10" t="n"/>
      <c r="C6" s="58" t="n"/>
      <c r="D6" s="10" t="n"/>
      <c r="E6" s="14" t="n"/>
      <c r="F6" s="72" t="n"/>
      <c r="G6" s="72" t="n"/>
      <c r="H6" s="12" t="n"/>
      <c r="I6" s="57">
        <f>IF(H6="","",H6-TODAY())</f>
        <v/>
      </c>
      <c r="J6" s="10" t="n"/>
    </row>
    <row r="7">
      <c r="A7" s="10" t="n"/>
      <c r="B7" s="10" t="n"/>
      <c r="C7" s="58" t="n"/>
      <c r="D7" s="10" t="n"/>
      <c r="E7" s="14" t="n"/>
      <c r="F7" s="72" t="n"/>
      <c r="G7" s="72" t="n"/>
      <c r="H7" s="12" t="n"/>
      <c r="I7" s="57">
        <f>IF(H7="","",H7-TODAY())</f>
        <v/>
      </c>
      <c r="J7" s="10" t="n"/>
    </row>
    <row r="8">
      <c r="A8" s="10" t="n"/>
      <c r="B8" s="10" t="n"/>
      <c r="C8" s="58" t="n"/>
      <c r="D8" s="10" t="n"/>
      <c r="E8" s="14" t="n"/>
      <c r="F8" s="72" t="n"/>
      <c r="G8" s="72" t="n"/>
      <c r="H8" s="12" t="n"/>
      <c r="I8" s="57">
        <f>IF(H8="","",H8-TODAY())</f>
        <v/>
      </c>
      <c r="J8" s="10" t="n"/>
    </row>
    <row r="9">
      <c r="A9" s="10" t="n"/>
      <c r="B9" s="10" t="n"/>
      <c r="C9" s="58" t="n"/>
      <c r="D9" s="10" t="n"/>
      <c r="E9" s="14" t="n"/>
      <c r="F9" s="72" t="n"/>
      <c r="G9" s="72" t="n"/>
      <c r="H9" s="12" t="n"/>
      <c r="I9" s="57">
        <f>IF(H9="","",H9-TODAY())</f>
        <v/>
      </c>
      <c r="J9" s="10" t="n"/>
    </row>
    <row r="10">
      <c r="A10" s="10" t="n"/>
      <c r="B10" s="10" t="n"/>
      <c r="C10" s="58" t="n"/>
      <c r="D10" s="10" t="n"/>
      <c r="E10" s="14" t="n"/>
      <c r="F10" s="72" t="n"/>
      <c r="G10" s="72" t="n"/>
      <c r="H10" s="12" t="n"/>
      <c r="I10" s="57">
        <f>IF(H10="","",H10-TODAY())</f>
        <v/>
      </c>
      <c r="J10" s="10" t="n"/>
    </row>
    <row r="11">
      <c r="A11" s="10" t="n"/>
      <c r="B11" s="10" t="n"/>
      <c r="C11" s="58" t="n"/>
      <c r="D11" s="10" t="n"/>
      <c r="E11" s="14" t="n"/>
      <c r="F11" s="72" t="n"/>
      <c r="G11" s="72" t="n"/>
      <c r="H11" s="12" t="n"/>
      <c r="I11" s="57">
        <f>IF(H11="","",H11-TODAY())</f>
        <v/>
      </c>
      <c r="J11" s="10" t="n"/>
    </row>
    <row r="12">
      <c r="A12" s="10" t="n"/>
      <c r="B12" s="10" t="n"/>
      <c r="C12" s="58" t="n"/>
      <c r="D12" s="10" t="n"/>
      <c r="E12" s="14" t="n"/>
      <c r="F12" s="72" t="n"/>
      <c r="G12" s="72" t="n"/>
      <c r="H12" s="12" t="n"/>
      <c r="I12" s="57">
        <f>IF(H12="","",H12-TODAY())</f>
        <v/>
      </c>
      <c r="J12" s="10" t="n"/>
    </row>
    <row r="13">
      <c r="A13" s="10" t="n"/>
      <c r="B13" s="10" t="n"/>
      <c r="C13" s="58" t="n"/>
      <c r="D13" s="10" t="n"/>
      <c r="E13" s="14" t="n"/>
      <c r="F13" s="72" t="n"/>
      <c r="G13" s="72" t="n"/>
      <c r="H13" s="12" t="n"/>
      <c r="I13" s="57">
        <f>IF(H13="","",H13-TODAY())</f>
        <v/>
      </c>
      <c r="J13" s="10" t="n"/>
    </row>
    <row r="14">
      <c r="A14" s="10" t="n"/>
      <c r="B14" s="10" t="n"/>
      <c r="C14" s="58" t="n"/>
      <c r="D14" s="10" t="n"/>
      <c r="E14" s="14" t="n"/>
      <c r="F14" s="72" t="n"/>
      <c r="G14" s="72" t="n"/>
      <c r="H14" s="12" t="n"/>
      <c r="I14" s="57">
        <f>IF(H14="","",H14-TODAY())</f>
        <v/>
      </c>
      <c r="J14" s="10" t="n"/>
    </row>
    <row r="15">
      <c r="A15" s="10" t="n"/>
      <c r="B15" s="10" t="n"/>
      <c r="C15" s="58" t="n"/>
      <c r="D15" s="10" t="n"/>
      <c r="E15" s="14" t="n"/>
      <c r="F15" s="72" t="n"/>
      <c r="G15" s="72" t="n"/>
      <c r="H15" s="12" t="n"/>
      <c r="I15" s="57">
        <f>IF(H15="","",H15-TODAY())</f>
        <v/>
      </c>
      <c r="J15" s="10" t="n"/>
    </row>
    <row r="16"/>
    <row r="17"/>
    <row r="18">
      <c r="A18" s="73" t="inlineStr">
        <is>
          <t>Transportation</t>
        </is>
      </c>
      <c r="B18" s="73" t="inlineStr">
        <is>
          <t>Date</t>
        </is>
      </c>
      <c r="C18" s="73" t="inlineStr">
        <is>
          <t>Pickup time</t>
        </is>
      </c>
      <c r="D18" s="73" t="inlineStr">
        <is>
          <t>From</t>
        </is>
      </c>
      <c r="E18" s="73" t="inlineStr">
        <is>
          <t>To</t>
        </is>
      </c>
      <c r="F18" s="73" t="inlineStr">
        <is>
          <t>Company / driver</t>
        </is>
      </c>
      <c r="G18" s="73" t="inlineStr">
        <is>
          <t>Phone</t>
        </is>
      </c>
      <c r="H18" s="73" t="inlineStr">
        <is>
          <t>Seats</t>
        </is>
      </c>
      <c r="I18" s="73" t="inlineStr">
        <is>
          <t>Notes</t>
        </is>
      </c>
    </row>
    <row r="19">
      <c r="A19" s="10" t="n"/>
      <c r="B19" s="12" t="n"/>
      <c r="C19" s="13" t="n"/>
      <c r="D19" s="10" t="n"/>
      <c r="E19" s="10" t="n"/>
      <c r="F19" s="10" t="n"/>
      <c r="G19" s="58" t="n"/>
      <c r="H19" s="72" t="n"/>
      <c r="I19" s="10" t="n"/>
    </row>
    <row r="20">
      <c r="A20" s="10" t="n"/>
      <c r="B20" s="12" t="n"/>
      <c r="C20" s="13" t="n"/>
      <c r="D20" s="10" t="n"/>
      <c r="E20" s="10" t="n"/>
      <c r="F20" s="10" t="n"/>
      <c r="G20" s="58" t="n"/>
      <c r="H20" s="72" t="n"/>
      <c r="I20" s="10" t="n"/>
    </row>
    <row r="21">
      <c r="A21" s="10" t="n"/>
      <c r="B21" s="12" t="n"/>
      <c r="C21" s="13" t="n"/>
      <c r="D21" s="10" t="n"/>
      <c r="E21" s="10" t="n"/>
      <c r="F21" s="10" t="n"/>
      <c r="G21" s="58" t="n"/>
      <c r="H21" s="72" t="n"/>
      <c r="I21" s="10" t="n"/>
    </row>
    <row r="22">
      <c r="A22" s="10" t="n"/>
      <c r="B22" s="12" t="n"/>
      <c r="C22" s="13" t="n"/>
      <c r="D22" s="10" t="n"/>
      <c r="E22" s="10" t="n"/>
      <c r="F22" s="10" t="n"/>
      <c r="G22" s="58" t="n"/>
      <c r="H22" s="72" t="n"/>
      <c r="I22" s="10" t="n"/>
    </row>
    <row r="23">
      <c r="A23" s="10" t="n"/>
      <c r="B23" s="12" t="n"/>
      <c r="C23" s="13" t="n"/>
      <c r="D23" s="10" t="n"/>
      <c r="E23" s="10" t="n"/>
      <c r="F23" s="10" t="n"/>
      <c r="G23" s="58" t="n"/>
      <c r="H23" s="72" t="n"/>
      <c r="I23" s="10" t="n"/>
    </row>
    <row r="24">
      <c r="A24" s="10" t="n"/>
      <c r="B24" s="12" t="n"/>
      <c r="C24" s="13" t="n"/>
      <c r="D24" s="10" t="n"/>
      <c r="E24" s="10" t="n"/>
      <c r="F24" s="10" t="n"/>
      <c r="G24" s="58" t="n"/>
      <c r="H24" s="72" t="n"/>
      <c r="I24" s="10" t="n"/>
    </row>
    <row r="25">
      <c r="A25" s="10" t="n"/>
      <c r="B25" s="12" t="n"/>
      <c r="C25" s="13" t="n"/>
      <c r="D25" s="10" t="n"/>
      <c r="E25" s="10" t="n"/>
      <c r="F25" s="10" t="n"/>
      <c r="G25" s="58" t="n"/>
      <c r="H25" s="72" t="n"/>
      <c r="I25" s="10" t="n"/>
    </row>
    <row r="26">
      <c r="A26" s="10" t="n"/>
      <c r="B26" s="12" t="n"/>
      <c r="C26" s="13" t="n"/>
      <c r="D26" s="10" t="n"/>
      <c r="E26" s="10" t="n"/>
      <c r="F26" s="10" t="n"/>
      <c r="G26" s="58" t="n"/>
      <c r="H26" s="72" t="n"/>
      <c r="I26" s="10" t="n"/>
    </row>
    <row r="27">
      <c r="A27" s="10" t="n"/>
      <c r="B27" s="12" t="n"/>
      <c r="C27" s="13" t="n"/>
      <c r="D27" s="10" t="n"/>
      <c r="E27" s="10" t="n"/>
      <c r="F27" s="10" t="n"/>
      <c r="G27" s="58" t="n"/>
      <c r="H27" s="72" t="n"/>
      <c r="I27" s="10" t="n"/>
    </row>
    <row r="28">
      <c r="A28" s="10" t="n"/>
      <c r="B28" s="12" t="n"/>
      <c r="C28" s="13" t="n"/>
      <c r="D28" s="10" t="n"/>
      <c r="E28" s="10" t="n"/>
      <c r="F28" s="10" t="n"/>
      <c r="G28" s="58" t="n"/>
      <c r="H28" s="72" t="n"/>
      <c r="I28" s="10" t="n"/>
    </row>
    <row r="29">
      <c r="A29" s="10" t="n"/>
      <c r="B29" s="12" t="n"/>
      <c r="C29" s="13" t="n"/>
      <c r="D29" s="10" t="n"/>
      <c r="E29" s="10" t="n"/>
      <c r="F29" s="10" t="n"/>
      <c r="G29" s="58" t="n"/>
      <c r="H29" s="72" t="n"/>
      <c r="I29" s="10" t="n"/>
    </row>
    <row r="30">
      <c r="A30" s="10" t="n"/>
      <c r="B30" s="12" t="n"/>
      <c r="C30" s="13" t="n"/>
      <c r="D30" s="10" t="n"/>
      <c r="E30" s="10" t="n"/>
      <c r="F30" s="10" t="n"/>
      <c r="G30" s="58" t="n"/>
      <c r="H30" s="72" t="n"/>
      <c r="I30" s="10" t="n"/>
    </row>
    <row r="31">
      <c r="A31" s="10" t="n"/>
      <c r="B31" s="12" t="n"/>
      <c r="C31" s="13" t="n"/>
      <c r="D31" s="10" t="n"/>
      <c r="E31" s="10" t="n"/>
      <c r="F31" s="10" t="n"/>
      <c r="G31" s="58" t="n"/>
      <c r="H31" s="72" t="n"/>
      <c r="I31" s="10" t="n"/>
    </row>
    <row r="32">
      <c r="A32" s="10" t="n"/>
      <c r="B32" s="12" t="n"/>
      <c r="C32" s="13" t="n"/>
      <c r="D32" s="10" t="n"/>
      <c r="E32" s="10" t="n"/>
      <c r="F32" s="10" t="n"/>
      <c r="G32" s="58" t="n"/>
      <c r="H32" s="72" t="n"/>
      <c r="I32" s="10" t="n"/>
    </row>
    <row r="33">
      <c r="A33" s="10" t="n"/>
      <c r="B33" s="12" t="n"/>
      <c r="C33" s="13" t="n"/>
      <c r="D33" s="10" t="n"/>
      <c r="E33" s="10" t="n"/>
      <c r="F33" s="10" t="n"/>
      <c r="G33" s="58" t="n"/>
      <c r="H33" s="72" t="n"/>
      <c r="I33" s="10" t="n"/>
    </row>
  </sheetData>
  <conditionalFormatting sqref="A6:J15">
    <cfRule type="expression" priority="1" dxfId="0" stopIfTrue="0">
      <formula>AND($H6&lt;&gt;"",$H6-TODAY()&gt;=0,$H6-TODAY()&lt;=14)</formula>
    </cfRule>
  </conditionalFormatting>
  <pageMargins left="0.5" right="0.5" top="0.6" bottom="0.6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E8C7C3"/>
    <outlinePr summaryBelow="1" summaryRight="1"/>
    <pageSetUpPr fitToPage="1"/>
  </sheetPr>
  <dimension ref="A1:F4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44" customWidth="1" min="3" max="3"/>
    <col width="16" customWidth="1" min="4" max="4"/>
    <col width="18" customWidth="1" min="5" max="5"/>
    <col width="26" customWidth="1" min="6" max="6"/>
  </cols>
  <sheetData>
    <row r="1" ht="30" customHeight="1">
      <c r="A1" s="1" t="inlineStr">
        <is>
          <t>Wedding-Day Timeline</t>
        </is>
      </c>
    </row>
    <row r="2">
      <c r="A2" s="11" t="inlineStr">
        <is>
          <t>Type the first start time and each duration — every other time updates. Use 0 minutes for things that happen at the same time.</t>
        </is>
      </c>
    </row>
    <row r="3">
      <c r="C3" s="11">
        <f>IF('Start Here'!$B$8="","","Ceremony time on Start Here: "&amp;TEXT('Start Here'!$B$8,"h:mm AM/PM")&amp;" — adjust durations so the Ceremony row matches.")</f>
        <v/>
      </c>
    </row>
    <row r="4"/>
    <row r="5" ht="30" customHeight="1">
      <c r="A5" s="43" t="inlineStr">
        <is>
          <t>Start</t>
        </is>
      </c>
      <c r="B5" s="43" t="inlineStr">
        <is>
          <t>Minutes</t>
        </is>
      </c>
      <c r="C5" s="43" t="inlineStr">
        <is>
          <t>Activity</t>
        </is>
      </c>
      <c r="D5" s="43" t="inlineStr">
        <is>
          <t>Who</t>
        </is>
      </c>
      <c r="E5" s="43" t="inlineStr">
        <is>
          <t>Location</t>
        </is>
      </c>
      <c r="F5" s="43" t="inlineStr">
        <is>
          <t>Notes</t>
        </is>
      </c>
    </row>
    <row r="6">
      <c r="A6" s="13" t="n">
        <v>0.375</v>
      </c>
      <c r="B6" s="10" t="n">
        <v>150</v>
      </c>
      <c r="C6" s="10" t="inlineStr">
        <is>
          <t>Hair &amp; makeup begins</t>
        </is>
      </c>
      <c r="D6" s="10" t="n"/>
      <c r="E6" s="10" t="n"/>
      <c r="F6" s="10" t="n"/>
    </row>
    <row r="7">
      <c r="A7" s="74">
        <f>IF(C7="","",A6+N(B6)/1440)</f>
        <v/>
      </c>
      <c r="B7" s="10" t="n">
        <v>30</v>
      </c>
      <c r="C7" s="10" t="inlineStr">
        <is>
          <t>Lunch &amp; hydrate</t>
        </is>
      </c>
      <c r="D7" s="10" t="n"/>
      <c r="E7" s="10" t="n"/>
      <c r="F7" s="10" t="n"/>
    </row>
    <row r="8">
      <c r="A8" s="74">
        <f>IF(C8="","",A7+N(B7)/1440)</f>
        <v/>
      </c>
      <c r="B8" s="10" t="n">
        <v>60</v>
      </c>
      <c r="C8" s="10" t="inlineStr">
        <is>
          <t>Photographer arrives: details &amp; getting-ready photos</t>
        </is>
      </c>
      <c r="D8" s="10" t="n"/>
      <c r="E8" s="10" t="n"/>
      <c r="F8" s="10" t="n"/>
    </row>
    <row r="9">
      <c r="A9" s="74">
        <f>IF(C9="","",A8+N(B8)/1440)</f>
        <v/>
      </c>
      <c r="B9" s="10" t="n">
        <v>30</v>
      </c>
      <c r="C9" s="10" t="inlineStr">
        <is>
          <t>Get dressed</t>
        </is>
      </c>
      <c r="D9" s="10" t="n"/>
      <c r="E9" s="10" t="n"/>
      <c r="F9" s="10" t="n"/>
    </row>
    <row r="10">
      <c r="A10" s="74">
        <f>IF(C10="","",A9+N(B9)/1440)</f>
        <v/>
      </c>
      <c r="B10" s="10" t="n">
        <v>30</v>
      </c>
      <c r="C10" s="10" t="inlineStr">
        <is>
          <t>First look / private moment</t>
        </is>
      </c>
      <c r="D10" s="10" t="n"/>
      <c r="E10" s="10" t="n"/>
      <c r="F10" s="10" t="n"/>
    </row>
    <row r="11">
      <c r="A11" s="74">
        <f>IF(C11="","",A10+N(B10)/1440)</f>
        <v/>
      </c>
      <c r="B11" s="10" t="n">
        <v>75</v>
      </c>
      <c r="C11" s="10" t="inlineStr">
        <is>
          <t>Wedding party &amp; family photos</t>
        </is>
      </c>
      <c r="D11" s="10" t="n"/>
      <c r="E11" s="10" t="n"/>
      <c r="F11" s="10" t="n"/>
    </row>
    <row r="12">
      <c r="A12" s="74">
        <f>IF(C12="","",A11+N(B11)/1440)</f>
        <v/>
      </c>
      <c r="B12" s="10" t="n">
        <v>30</v>
      </c>
      <c r="C12" s="10" t="inlineStr">
        <is>
          <t>Freshen up &amp; tuck away before ceremony</t>
        </is>
      </c>
      <c r="D12" s="10" t="n"/>
      <c r="E12" s="10" t="n"/>
      <c r="F12" s="10" t="n"/>
    </row>
    <row r="13">
      <c r="A13" s="74">
        <f>IF(C13="","",A12+N(B12)/1440)</f>
        <v/>
      </c>
      <c r="B13" s="10" t="n">
        <v>15</v>
      </c>
      <c r="C13" s="10" t="inlineStr">
        <is>
          <t>Guests arrive &amp; are seated</t>
        </is>
      </c>
      <c r="D13" s="10" t="n"/>
      <c r="E13" s="10" t="n"/>
      <c r="F13" s="10" t="n"/>
    </row>
    <row r="14">
      <c r="A14" s="74">
        <f>IF(C14="","",A13+N(B13)/1440)</f>
        <v/>
      </c>
      <c r="B14" s="10" t="n">
        <v>30</v>
      </c>
      <c r="C14" s="10" t="inlineStr">
        <is>
          <t>Ceremony</t>
        </is>
      </c>
      <c r="D14" s="10" t="n"/>
      <c r="E14" s="10" t="n"/>
      <c r="F14" s="10" t="n"/>
    </row>
    <row r="15">
      <c r="A15" s="74">
        <f>IF(C15="","",A14+N(B14)/1440)</f>
        <v/>
      </c>
      <c r="B15" s="10" t="n">
        <v>15</v>
      </c>
      <c r="C15" s="10" t="inlineStr">
        <is>
          <t>Recessional &amp; congratulations</t>
        </is>
      </c>
      <c r="D15" s="10" t="n"/>
      <c r="E15" s="10" t="n"/>
      <c r="F15" s="10" t="n"/>
    </row>
    <row r="16">
      <c r="A16" s="74">
        <f>IF(C16="","",A15+N(B15)/1440)</f>
        <v/>
      </c>
      <c r="B16" s="10" t="n">
        <v>60</v>
      </c>
      <c r="C16" s="10" t="inlineStr">
        <is>
          <t>Cocktail hour</t>
        </is>
      </c>
      <c r="D16" s="10" t="n"/>
      <c r="E16" s="10" t="n"/>
      <c r="F16" s="10" t="n"/>
    </row>
    <row r="17">
      <c r="A17" s="74">
        <f>IF(C17="","",A16+N(B16)/1440)</f>
        <v/>
      </c>
      <c r="B17" s="10" t="n">
        <v>15</v>
      </c>
      <c r="C17" s="10" t="inlineStr">
        <is>
          <t>Grand entrance</t>
        </is>
      </c>
      <c r="D17" s="10" t="n"/>
      <c r="E17" s="10" t="n"/>
      <c r="F17" s="10" t="n"/>
    </row>
    <row r="18">
      <c r="A18" s="74">
        <f>IF(C18="","",A17+N(B17)/1440)</f>
        <v/>
      </c>
      <c r="B18" s="10" t="n">
        <v>10</v>
      </c>
      <c r="C18" s="10" t="inlineStr">
        <is>
          <t>Welcome &amp; blessing / toast</t>
        </is>
      </c>
      <c r="D18" s="10" t="n"/>
      <c r="E18" s="10" t="n"/>
      <c r="F18" s="10" t="n"/>
    </row>
    <row r="19">
      <c r="A19" s="74">
        <f>IF(C19="","",A18+N(B18)/1440)</f>
        <v/>
      </c>
      <c r="B19" s="10" t="n">
        <v>60</v>
      </c>
      <c r="C19" s="10" t="inlineStr">
        <is>
          <t>Dinner service</t>
        </is>
      </c>
      <c r="D19" s="10" t="n"/>
      <c r="E19" s="10" t="n"/>
      <c r="F19" s="10" t="n"/>
    </row>
    <row r="20">
      <c r="A20" s="74">
        <f>IF(C20="","",A19+N(B19)/1440)</f>
        <v/>
      </c>
      <c r="B20" s="10" t="n">
        <v>20</v>
      </c>
      <c r="C20" s="10" t="inlineStr">
        <is>
          <t>Toasts &amp; speeches</t>
        </is>
      </c>
      <c r="D20" s="10" t="n"/>
      <c r="E20" s="10" t="n"/>
      <c r="F20" s="10" t="n"/>
    </row>
    <row r="21">
      <c r="A21" s="74">
        <f>IF(C21="","",A20+N(B20)/1440)</f>
        <v/>
      </c>
      <c r="B21" s="10" t="n">
        <v>5</v>
      </c>
      <c r="C21" s="10" t="inlineStr">
        <is>
          <t>First dance</t>
        </is>
      </c>
      <c r="D21" s="10" t="n"/>
      <c r="E21" s="10" t="n"/>
      <c r="F21" s="10" t="n"/>
    </row>
    <row r="22">
      <c r="A22" s="74">
        <f>IF(C22="","",A21+N(B21)/1440)</f>
        <v/>
      </c>
      <c r="B22" s="10" t="n">
        <v>10</v>
      </c>
      <c r="C22" s="10" t="inlineStr">
        <is>
          <t>Parent dances</t>
        </is>
      </c>
      <c r="D22" s="10" t="n"/>
      <c r="E22" s="10" t="n"/>
      <c r="F22" s="10" t="n"/>
    </row>
    <row r="23">
      <c r="A23" s="74">
        <f>IF(C23="","",A22+N(B22)/1440)</f>
        <v/>
      </c>
      <c r="B23" s="10" t="n">
        <v>45</v>
      </c>
      <c r="C23" s="10" t="inlineStr">
        <is>
          <t>Dance floor opens</t>
        </is>
      </c>
      <c r="D23" s="10" t="n"/>
      <c r="E23" s="10" t="n"/>
      <c r="F23" s="10" t="n"/>
    </row>
    <row r="24">
      <c r="A24" s="74">
        <f>IF(C24="","",A23+N(B23)/1440)</f>
        <v/>
      </c>
      <c r="B24" s="10" t="n">
        <v>15</v>
      </c>
      <c r="C24" s="10" t="inlineStr">
        <is>
          <t>Cake cutting</t>
        </is>
      </c>
      <c r="D24" s="10" t="n"/>
      <c r="E24" s="10" t="n"/>
      <c r="F24" s="10" t="n"/>
    </row>
    <row r="25">
      <c r="A25" s="74">
        <f>IF(C25="","",A24+N(B24)/1440)</f>
        <v/>
      </c>
      <c r="B25" s="10" t="n">
        <v>60</v>
      </c>
      <c r="C25" s="10" t="inlineStr">
        <is>
          <t>Dancing continues</t>
        </is>
      </c>
      <c r="D25" s="10" t="n"/>
      <c r="E25" s="10" t="n"/>
      <c r="F25" s="10" t="n"/>
    </row>
    <row r="26">
      <c r="A26" s="74">
        <f>IF(C26="","",A25+N(B25)/1440)</f>
        <v/>
      </c>
      <c r="B26" s="10" t="n">
        <v>10</v>
      </c>
      <c r="C26" s="10" t="inlineStr">
        <is>
          <t>Special moment (bouquet toss, surprise, etc.)</t>
        </is>
      </c>
      <c r="D26" s="10" t="n"/>
      <c r="E26" s="10" t="n"/>
      <c r="F26" s="10" t="n"/>
    </row>
    <row r="27">
      <c r="A27" s="74">
        <f>IF(C27="","",A26+N(B26)/1440)</f>
        <v/>
      </c>
      <c r="B27" s="10" t="n">
        <v>5</v>
      </c>
      <c r="C27" s="10" t="inlineStr">
        <is>
          <t>Last dance</t>
        </is>
      </c>
      <c r="D27" s="10" t="n"/>
      <c r="E27" s="10" t="n"/>
      <c r="F27" s="10" t="n"/>
    </row>
    <row r="28">
      <c r="A28" s="74">
        <f>IF(C28="","",A27+N(B27)/1440)</f>
        <v/>
      </c>
      <c r="B28" s="10" t="n">
        <v>15</v>
      </c>
      <c r="C28" s="10" t="inlineStr">
        <is>
          <t>Grand exit</t>
        </is>
      </c>
      <c r="D28" s="10" t="n"/>
      <c r="E28" s="10" t="n"/>
      <c r="F28" s="10" t="n"/>
    </row>
    <row r="29">
      <c r="A29" s="74">
        <f>IF(C29="","",A28+N(B28)/1440)</f>
        <v/>
      </c>
      <c r="B29" s="10" t="n">
        <v>45</v>
      </c>
      <c r="C29" s="10" t="inlineStr">
        <is>
          <t>Vendor load-out &amp; collect personal items</t>
        </is>
      </c>
      <c r="D29" s="10" t="n"/>
      <c r="E29" s="10" t="n"/>
      <c r="F29" s="10" t="n"/>
    </row>
    <row r="30">
      <c r="A30" s="74">
        <f>IF(C30="","",A29+N(B29)/1440)</f>
        <v/>
      </c>
      <c r="B30" s="10" t="n"/>
      <c r="C30" s="10" t="n"/>
      <c r="D30" s="10" t="n"/>
      <c r="E30" s="10" t="n"/>
      <c r="F30" s="10" t="n"/>
    </row>
    <row r="31">
      <c r="A31" s="74">
        <f>IF(C31="","",A30+N(B30)/1440)</f>
        <v/>
      </c>
      <c r="B31" s="10" t="n"/>
      <c r="C31" s="10" t="n"/>
      <c r="D31" s="10" t="n"/>
      <c r="E31" s="10" t="n"/>
      <c r="F31" s="10" t="n"/>
    </row>
    <row r="32">
      <c r="A32" s="74">
        <f>IF(C32="","",A31+N(B31)/1440)</f>
        <v/>
      </c>
      <c r="B32" s="10" t="n"/>
      <c r="C32" s="10" t="n"/>
      <c r="D32" s="10" t="n"/>
      <c r="E32" s="10" t="n"/>
      <c r="F32" s="10" t="n"/>
    </row>
    <row r="33">
      <c r="A33" s="74">
        <f>IF(C33="","",A32+N(B32)/1440)</f>
        <v/>
      </c>
      <c r="B33" s="10" t="n"/>
      <c r="C33" s="10" t="n"/>
      <c r="D33" s="10" t="n"/>
      <c r="E33" s="10" t="n"/>
      <c r="F33" s="10" t="n"/>
    </row>
    <row r="34">
      <c r="A34" s="74">
        <f>IF(C34="","",A33+N(B33)/1440)</f>
        <v/>
      </c>
      <c r="B34" s="10" t="n"/>
      <c r="C34" s="10" t="n"/>
      <c r="D34" s="10" t="n"/>
      <c r="E34" s="10" t="n"/>
      <c r="F34" s="10" t="n"/>
    </row>
    <row r="35">
      <c r="A35" s="74">
        <f>IF(C35="","",A34+N(B34)/1440)</f>
        <v/>
      </c>
      <c r="B35" s="10" t="n"/>
      <c r="C35" s="10" t="n"/>
      <c r="D35" s="10" t="n"/>
      <c r="E35" s="10" t="n"/>
      <c r="F35" s="10" t="n"/>
    </row>
    <row r="36">
      <c r="A36" s="74">
        <f>IF(C36="","",A35+N(B35)/1440)</f>
        <v/>
      </c>
      <c r="B36" s="10" t="n"/>
      <c r="C36" s="10" t="n"/>
      <c r="D36" s="10" t="n"/>
      <c r="E36" s="10" t="n"/>
      <c r="F36" s="10" t="n"/>
    </row>
    <row r="37">
      <c r="A37" s="74">
        <f>IF(C37="","",A36+N(B36)/1440)</f>
        <v/>
      </c>
      <c r="B37" s="10" t="n"/>
      <c r="C37" s="10" t="n"/>
      <c r="D37" s="10" t="n"/>
      <c r="E37" s="10" t="n"/>
      <c r="F37" s="10" t="n"/>
    </row>
    <row r="38">
      <c r="A38" s="74">
        <f>IF(C38="","",A37+N(B37)/1440)</f>
        <v/>
      </c>
      <c r="B38" s="10" t="n"/>
      <c r="C38" s="10" t="n"/>
      <c r="D38" s="10" t="n"/>
      <c r="E38" s="10" t="n"/>
      <c r="F38" s="10" t="n"/>
    </row>
    <row r="39">
      <c r="A39" s="74">
        <f>IF(C39="","",A38+N(B38)/1440)</f>
        <v/>
      </c>
      <c r="B39" s="10" t="n"/>
      <c r="C39" s="10" t="n"/>
      <c r="D39" s="10" t="n"/>
      <c r="E39" s="10" t="n"/>
      <c r="F39" s="10" t="n"/>
    </row>
    <row r="40">
      <c r="A40" s="74">
        <f>IF(C40="","",A39+N(B39)/1440)</f>
        <v/>
      </c>
      <c r="B40" s="10" t="n"/>
      <c r="C40" s="10" t="n"/>
      <c r="D40" s="10" t="n"/>
      <c r="E40" s="10" t="n"/>
      <c r="F40" s="10" t="n"/>
    </row>
    <row r="41">
      <c r="A41" s="74">
        <f>IF(C41="","",A40+N(B40)/1440)</f>
        <v/>
      </c>
      <c r="B41" s="10" t="n"/>
      <c r="C41" s="10" t="n"/>
      <c r="D41" s="10" t="n"/>
      <c r="E41" s="10" t="n"/>
      <c r="F41" s="10" t="n"/>
    </row>
    <row r="42">
      <c r="A42" s="74">
        <f>IF(C42="","",A41+N(B41)/1440)</f>
        <v/>
      </c>
      <c r="B42" s="10" t="n"/>
      <c r="C42" s="10" t="n"/>
      <c r="D42" s="10" t="n"/>
      <c r="E42" s="10" t="n"/>
      <c r="F42" s="10" t="n"/>
    </row>
    <row r="43">
      <c r="A43" s="74">
        <f>IF(C43="","",A42+N(B42)/1440)</f>
        <v/>
      </c>
      <c r="B43" s="10" t="n"/>
      <c r="C43" s="10" t="n"/>
      <c r="D43" s="10" t="n"/>
      <c r="E43" s="10" t="n"/>
      <c r="F43" s="10" t="n"/>
    </row>
    <row r="44">
      <c r="A44" s="74">
        <f>IF(C44="","",A43+N(B43)/1440)</f>
        <v/>
      </c>
      <c r="B44" s="10" t="n"/>
      <c r="C44" s="10" t="n"/>
      <c r="D44" s="10" t="n"/>
      <c r="E44" s="10" t="n"/>
      <c r="F44" s="10" t="n"/>
    </row>
    <row r="45">
      <c r="A45" s="74">
        <f>IF(C45="","",A44+N(B44)/1440)</f>
        <v/>
      </c>
      <c r="B45" s="10" t="n"/>
      <c r="C45" s="10" t="n"/>
      <c r="D45" s="10" t="n"/>
      <c r="E45" s="10" t="n"/>
      <c r="F45" s="10" t="n"/>
    </row>
  </sheetData>
  <conditionalFormatting sqref="A6:F45">
    <cfRule type="expression" priority="1" dxfId="9" stopIfTrue="0">
      <formula>$C6="Ceremony"</formula>
    </cfRule>
  </conditionalFormatting>
  <pageMargins left="0.5" right="0.5" top="0.6" bottom="0.6" header="0.5" footer="0.5"/>
  <pageSetup orientation="portrait" fitToHeight="0" fitToWidth="1"/>
</worksheet>
</file>

<file path=xl/worksheets/sheet14.xml><?xml version="1.0" encoding="utf-8"?>
<worksheet xmlns="http://schemas.openxmlformats.org/spreadsheetml/2006/main">
  <sheetPr>
    <tabColor rgb="00E8C7C3"/>
    <outlinePr summaryBelow="1" summaryRight="1"/>
    <pageSetUpPr fitToPage="1"/>
  </sheetPr>
  <dimension ref="A1:E8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9" customWidth="1" min="3" max="3"/>
    <col width="16" customWidth="1" min="4" max="4"/>
    <col width="26" customWidth="1" min="5" max="5"/>
  </cols>
  <sheetData>
    <row r="1" ht="30" customHeight="1">
      <c r="A1" s="1" t="inlineStr">
        <is>
          <t>Day-Of Kit</t>
        </is>
      </c>
    </row>
    <row r="2">
      <c r="A2" s="11" t="inlineStr">
        <is>
          <t>Tick ✓ as you pack. Packed items turn grey.</t>
        </is>
      </c>
    </row>
    <row r="3">
      <c r="A3" s="42">
        <f>COUNTIF(C6:C85,"✓")&amp;" of "&amp;SUMPRODUCT(--(A6:A85&lt;&gt;""))&amp;" packed  "&amp;REPT("█",ROUND(MIN(1,MAX(0,IF(SUMPRODUCT(--(A6:A85&lt;&gt;""))=0,0,COUNTIF(C6:C85,"✓")/SUMPRODUCT(--(A6:A85&lt;&gt;"")))))*15,0))&amp;REPT("░",15-ROUND(MIN(1,MAX(0,IF(SUMPRODUCT(--(A6:A85&lt;&gt;""))=0,0,COUNTIF(C6:C85,"✓")/SUMPRODUCT(--(A6:A85&lt;&gt;"")))))*15,0))</f>
        <v/>
      </c>
    </row>
    <row r="4"/>
    <row r="5" ht="30" customHeight="1">
      <c r="A5" s="43" t="inlineStr">
        <is>
          <t>Item</t>
        </is>
      </c>
      <c r="B5" s="43" t="inlineStr">
        <is>
          <t>Category</t>
        </is>
      </c>
      <c r="C5" s="43" t="inlineStr">
        <is>
          <t>Packed ✓</t>
        </is>
      </c>
      <c r="D5" s="43" t="inlineStr">
        <is>
          <t>Who brings it</t>
        </is>
      </c>
      <c r="E5" s="43" t="inlineStr">
        <is>
          <t>Notes</t>
        </is>
      </c>
    </row>
    <row r="6">
      <c r="A6" s="10" t="inlineStr">
        <is>
          <t>Marriage license</t>
        </is>
      </c>
      <c r="B6" s="10" t="inlineStr">
        <is>
          <t>Paperwork</t>
        </is>
      </c>
      <c r="C6" s="56" t="n"/>
      <c r="D6" s="10" t="n"/>
      <c r="E6" s="10" t="n"/>
    </row>
    <row r="7">
      <c r="A7" s="10" t="inlineStr">
        <is>
          <t>Wedding rings</t>
        </is>
      </c>
      <c r="B7" s="10" t="inlineStr">
        <is>
          <t>Ceremony</t>
        </is>
      </c>
      <c r="C7" s="56" t="n"/>
      <c r="D7" s="10" t="n"/>
      <c r="E7" s="10" t="n"/>
    </row>
    <row r="8">
      <c r="A8" s="10" t="inlineStr">
        <is>
          <t>Vows &amp; readings</t>
        </is>
      </c>
      <c r="B8" s="10" t="inlineStr">
        <is>
          <t>Ceremony</t>
        </is>
      </c>
      <c r="C8" s="56" t="n"/>
      <c r="D8" s="10" t="n"/>
      <c r="E8" s="10" t="n"/>
    </row>
    <row r="9">
      <c r="A9" s="10" t="inlineStr">
        <is>
          <t>Vendor contact list</t>
        </is>
      </c>
      <c r="B9" s="10" t="inlineStr">
        <is>
          <t>Paperwork</t>
        </is>
      </c>
      <c r="C9" s="56" t="n"/>
      <c r="D9" s="10" t="n"/>
      <c r="E9" s="10" t="n"/>
    </row>
    <row r="10">
      <c r="A10" s="10" t="inlineStr">
        <is>
          <t>Day-of timeline copies</t>
        </is>
      </c>
      <c r="B10" s="10" t="inlineStr">
        <is>
          <t>Paperwork</t>
        </is>
      </c>
      <c r="C10" s="56" t="n"/>
      <c r="D10" s="10" t="n"/>
      <c r="E10" s="10" t="n"/>
    </row>
    <row r="11">
      <c r="A11" s="10" t="inlineStr">
        <is>
          <t>Tip envelopes</t>
        </is>
      </c>
      <c r="B11" s="10" t="inlineStr">
        <is>
          <t>Paperwork</t>
        </is>
      </c>
      <c r="C11" s="56" t="n"/>
      <c r="D11" s="10" t="n"/>
      <c r="E11" s="10" t="n"/>
    </row>
    <row r="12">
      <c r="A12" s="10" t="inlineStr">
        <is>
          <t>Final payment checks</t>
        </is>
      </c>
      <c r="B12" s="10" t="inlineStr">
        <is>
          <t>Paperwork</t>
        </is>
      </c>
      <c r="C12" s="56" t="n"/>
      <c r="D12" s="10" t="n"/>
      <c r="E12" s="10" t="n"/>
    </row>
    <row r="13">
      <c r="A13" s="10" t="inlineStr">
        <is>
          <t>Officiant fee</t>
        </is>
      </c>
      <c r="B13" s="10" t="inlineStr">
        <is>
          <t>Paperwork</t>
        </is>
      </c>
      <c r="C13" s="56" t="n"/>
      <c r="D13" s="10" t="n"/>
      <c r="E13" s="10" t="n"/>
    </row>
    <row r="14">
      <c r="A14" s="10" t="inlineStr">
        <is>
          <t>Photo ID &amp; insurance cards</t>
        </is>
      </c>
      <c r="B14" s="10" t="inlineStr">
        <is>
          <t>Paperwork</t>
        </is>
      </c>
      <c r="C14" s="56" t="n"/>
      <c r="D14" s="10" t="n"/>
      <c r="E14" s="10" t="n"/>
    </row>
    <row r="15">
      <c r="A15" s="10" t="inlineStr">
        <is>
          <t>Emergency phone numbers list</t>
        </is>
      </c>
      <c r="B15" s="10" t="inlineStr">
        <is>
          <t>Paperwork</t>
        </is>
      </c>
      <c r="C15" s="56" t="n"/>
      <c r="D15" s="10" t="n"/>
      <c r="E15" s="10" t="n"/>
    </row>
    <row r="16">
      <c r="A16" s="10" t="inlineStr">
        <is>
          <t>Phone charger</t>
        </is>
      </c>
      <c r="B16" s="10" t="inlineStr">
        <is>
          <t>Tech</t>
        </is>
      </c>
      <c r="C16" s="56" t="n"/>
      <c r="D16" s="10" t="n"/>
      <c r="E16" s="10" t="n"/>
    </row>
    <row r="17">
      <c r="A17" s="10" t="inlineStr">
        <is>
          <t>Portable power bank</t>
        </is>
      </c>
      <c r="B17" s="10" t="inlineStr">
        <is>
          <t>Tech</t>
        </is>
      </c>
      <c r="C17" s="56" t="n"/>
      <c r="D17" s="10" t="n"/>
      <c r="E17" s="10" t="n"/>
    </row>
    <row r="18">
      <c r="A18" s="10" t="inlineStr">
        <is>
          <t>Extension cord</t>
        </is>
      </c>
      <c r="B18" s="10" t="inlineStr">
        <is>
          <t>Tech</t>
        </is>
      </c>
      <c r="C18" s="56" t="n"/>
      <c r="D18" s="10" t="n"/>
      <c r="E18" s="10" t="n"/>
    </row>
    <row r="19">
      <c r="A19" s="10" t="inlineStr">
        <is>
          <t>Bluetooth speaker</t>
        </is>
      </c>
      <c r="B19" s="10" t="inlineStr">
        <is>
          <t>Tech</t>
        </is>
      </c>
      <c r="C19" s="56" t="n"/>
      <c r="D19" s="10" t="n"/>
      <c r="E19" s="10" t="n"/>
    </row>
    <row r="20">
      <c r="A20" s="10" t="inlineStr">
        <is>
          <t>Sewing kit</t>
        </is>
      </c>
      <c r="B20" s="10" t="inlineStr">
        <is>
          <t>Attire fixes</t>
        </is>
      </c>
      <c r="C20" s="56" t="n"/>
      <c r="D20" s="10" t="n"/>
      <c r="E20" s="10" t="n"/>
    </row>
    <row r="21">
      <c r="A21" s="10" t="inlineStr">
        <is>
          <t>Safety pins</t>
        </is>
      </c>
      <c r="B21" s="10" t="inlineStr">
        <is>
          <t>Attire fixes</t>
        </is>
      </c>
      <c r="C21" s="56" t="n"/>
      <c r="D21" s="10" t="n"/>
      <c r="E21" s="10" t="n"/>
    </row>
    <row r="22">
      <c r="A22" s="10" t="inlineStr">
        <is>
          <t>Double-sided fashion tape</t>
        </is>
      </c>
      <c r="B22" s="10" t="inlineStr">
        <is>
          <t>Attire fixes</t>
        </is>
      </c>
      <c r="C22" s="56" t="n"/>
      <c r="D22" s="10" t="n"/>
      <c r="E22" s="10" t="n"/>
    </row>
    <row r="23">
      <c r="A23" s="10" t="inlineStr">
        <is>
          <t>Stain-remover pen</t>
        </is>
      </c>
      <c r="B23" s="10" t="inlineStr">
        <is>
          <t>Attire fixes</t>
        </is>
      </c>
      <c r="C23" s="56" t="n"/>
      <c r="D23" s="10" t="n"/>
      <c r="E23" s="10" t="n"/>
    </row>
    <row r="24">
      <c r="A24" s="10" t="inlineStr">
        <is>
          <t>Lint roller</t>
        </is>
      </c>
      <c r="B24" s="10" t="inlineStr">
        <is>
          <t>Attire fixes</t>
        </is>
      </c>
      <c r="C24" s="56" t="n"/>
      <c r="D24" s="10" t="n"/>
      <c r="E24" s="10" t="n"/>
    </row>
    <row r="25">
      <c r="A25" s="10" t="inlineStr">
        <is>
          <t>Mini scissors</t>
        </is>
      </c>
      <c r="B25" s="10" t="inlineStr">
        <is>
          <t>Attire fixes</t>
        </is>
      </c>
      <c r="C25" s="56" t="n"/>
      <c r="D25" s="10" t="n"/>
      <c r="E25" s="10" t="n"/>
    </row>
    <row r="26">
      <c r="A26" s="10" t="inlineStr">
        <is>
          <t>Clear nail polish</t>
        </is>
      </c>
      <c r="B26" s="10" t="inlineStr">
        <is>
          <t>Attire fixes</t>
        </is>
      </c>
      <c r="C26" s="56" t="n"/>
      <c r="D26" s="10" t="n"/>
      <c r="E26" s="10" t="n"/>
    </row>
    <row r="27">
      <c r="A27" s="10" t="inlineStr">
        <is>
          <t>Static guard</t>
        </is>
      </c>
      <c r="B27" s="10" t="inlineStr">
        <is>
          <t>Attire fixes</t>
        </is>
      </c>
      <c r="C27" s="56" t="n"/>
      <c r="D27" s="10" t="n"/>
      <c r="E27" s="10" t="n"/>
    </row>
    <row r="28">
      <c r="A28" s="10" t="inlineStr">
        <is>
          <t>Travel steamer</t>
        </is>
      </c>
      <c r="B28" s="10" t="inlineStr">
        <is>
          <t>Attire fixes</t>
        </is>
      </c>
      <c r="C28" s="56" t="n"/>
      <c r="D28" s="10" t="n"/>
      <c r="E28" s="10" t="n"/>
    </row>
    <row r="29">
      <c r="A29" s="10" t="inlineStr">
        <is>
          <t>Extra buttons</t>
        </is>
      </c>
      <c r="B29" s="10" t="inlineStr">
        <is>
          <t>Attire fixes</t>
        </is>
      </c>
      <c r="C29" s="56" t="n"/>
      <c r="D29" s="10" t="n"/>
      <c r="E29" s="10" t="n"/>
    </row>
    <row r="30">
      <c r="A30" s="10" t="inlineStr">
        <is>
          <t>Bobby pins</t>
        </is>
      </c>
      <c r="B30" s="10" t="inlineStr">
        <is>
          <t>Beauty</t>
        </is>
      </c>
      <c r="C30" s="56" t="n"/>
      <c r="D30" s="10" t="n"/>
      <c r="E30" s="10" t="n"/>
    </row>
    <row r="31">
      <c r="A31" s="10" t="inlineStr">
        <is>
          <t>Hair spray</t>
        </is>
      </c>
      <c r="B31" s="10" t="inlineStr">
        <is>
          <t>Beauty</t>
        </is>
      </c>
      <c r="C31" s="56" t="n"/>
      <c r="D31" s="10" t="n"/>
      <c r="E31" s="10" t="n"/>
    </row>
    <row r="32">
      <c r="A32" s="10" t="inlineStr">
        <is>
          <t>Hair ties</t>
        </is>
      </c>
      <c r="B32" s="10" t="inlineStr">
        <is>
          <t>Beauty</t>
        </is>
      </c>
      <c r="C32" s="56" t="n"/>
      <c r="D32" s="10" t="n"/>
      <c r="E32" s="10" t="n"/>
    </row>
    <row r="33">
      <c r="A33" s="10" t="inlineStr">
        <is>
          <t>Brush &amp; comb</t>
        </is>
      </c>
      <c r="B33" s="10" t="inlineStr">
        <is>
          <t>Beauty</t>
        </is>
      </c>
      <c r="C33" s="56" t="n"/>
      <c r="D33" s="10" t="n"/>
      <c r="E33" s="10" t="n"/>
    </row>
    <row r="34">
      <c r="A34" s="10" t="inlineStr">
        <is>
          <t>Makeup touch-up kit</t>
        </is>
      </c>
      <c r="B34" s="10" t="inlineStr">
        <is>
          <t>Beauty</t>
        </is>
      </c>
      <c r="C34" s="56" t="n"/>
      <c r="D34" s="10" t="n"/>
      <c r="E34" s="10" t="n"/>
    </row>
    <row r="35">
      <c r="A35" s="10" t="inlineStr">
        <is>
          <t>Lipstick / lip balm</t>
        </is>
      </c>
      <c r="B35" s="10" t="inlineStr">
        <is>
          <t>Beauty</t>
        </is>
      </c>
      <c r="C35" s="56" t="n"/>
      <c r="D35" s="10" t="n"/>
      <c r="E35" s="10" t="n"/>
    </row>
    <row r="36">
      <c r="A36" s="10" t="inlineStr">
        <is>
          <t>Blotting papers</t>
        </is>
      </c>
      <c r="B36" s="10" t="inlineStr">
        <is>
          <t>Beauty</t>
        </is>
      </c>
      <c r="C36" s="56" t="n"/>
      <c r="D36" s="10" t="n"/>
      <c r="E36" s="10" t="n"/>
    </row>
    <row r="37">
      <c r="A37" s="10" t="inlineStr">
        <is>
          <t>Deodorant</t>
        </is>
      </c>
      <c r="B37" s="10" t="inlineStr">
        <is>
          <t>Beauty</t>
        </is>
      </c>
      <c r="C37" s="56" t="n"/>
      <c r="D37" s="10" t="n"/>
      <c r="E37" s="10" t="n"/>
    </row>
    <row r="38">
      <c r="A38" s="10" t="inlineStr">
        <is>
          <t>Perfume / cologne</t>
        </is>
      </c>
      <c r="B38" s="10" t="inlineStr">
        <is>
          <t>Beauty</t>
        </is>
      </c>
      <c r="C38" s="56" t="n"/>
      <c r="D38" s="10" t="n"/>
      <c r="E38" s="10" t="n"/>
    </row>
    <row r="39">
      <c r="A39" s="10" t="inlineStr">
        <is>
          <t>Breath mints</t>
        </is>
      </c>
      <c r="B39" s="10" t="inlineStr">
        <is>
          <t>Beauty</t>
        </is>
      </c>
      <c r="C39" s="56" t="n"/>
      <c r="D39" s="10" t="n"/>
      <c r="E39" s="10" t="n"/>
    </row>
    <row r="40">
      <c r="A40" s="10" t="inlineStr">
        <is>
          <t>Toothbrush &amp; toothpaste</t>
        </is>
      </c>
      <c r="B40" s="10" t="inlineStr">
        <is>
          <t>Beauty</t>
        </is>
      </c>
      <c r="C40" s="56" t="n"/>
      <c r="D40" s="10" t="n"/>
      <c r="E40" s="10" t="n"/>
    </row>
    <row r="41">
      <c r="A41" s="10" t="inlineStr">
        <is>
          <t>Mouthwash</t>
        </is>
      </c>
      <c r="B41" s="10" t="inlineStr">
        <is>
          <t>Beauty</t>
        </is>
      </c>
      <c r="C41" s="56" t="n"/>
      <c r="D41" s="10" t="n"/>
      <c r="E41" s="10" t="n"/>
    </row>
    <row r="42">
      <c r="A42" s="10" t="inlineStr">
        <is>
          <t>Tissues</t>
        </is>
      </c>
      <c r="B42" s="10" t="inlineStr">
        <is>
          <t>Comfort</t>
        </is>
      </c>
      <c r="C42" s="56" t="n"/>
      <c r="D42" s="10" t="n"/>
      <c r="E42" s="10" t="n"/>
    </row>
    <row r="43">
      <c r="A43" s="10" t="inlineStr">
        <is>
          <t>Pain reliever</t>
        </is>
      </c>
      <c r="B43" s="10" t="inlineStr">
        <is>
          <t>First aid</t>
        </is>
      </c>
      <c r="C43" s="56" t="n"/>
      <c r="D43" s="10" t="n"/>
      <c r="E43" s="10" t="n"/>
    </row>
    <row r="44">
      <c r="A44" s="10" t="inlineStr">
        <is>
          <t>Antacid</t>
        </is>
      </c>
      <c r="B44" s="10" t="inlineStr">
        <is>
          <t>First aid</t>
        </is>
      </c>
      <c r="C44" s="56" t="n"/>
      <c r="D44" s="10" t="n"/>
      <c r="E44" s="10" t="n"/>
    </row>
    <row r="45">
      <c r="A45" s="10" t="inlineStr">
        <is>
          <t>Allergy medicine</t>
        </is>
      </c>
      <c r="B45" s="10" t="inlineStr">
        <is>
          <t>First aid</t>
        </is>
      </c>
      <c r="C45" s="56" t="n"/>
      <c r="D45" s="10" t="n"/>
      <c r="E45" s="10" t="n"/>
    </row>
    <row r="46">
      <c r="A46" s="10" t="inlineStr">
        <is>
          <t>Band-aids &amp; blister pads</t>
        </is>
      </c>
      <c r="B46" s="10" t="inlineStr">
        <is>
          <t>First aid</t>
        </is>
      </c>
      <c r="C46" s="56" t="n"/>
      <c r="D46" s="10" t="n"/>
      <c r="E46" s="10" t="n"/>
    </row>
    <row r="47">
      <c r="A47" s="10" t="inlineStr">
        <is>
          <t>Eye drops</t>
        </is>
      </c>
      <c r="B47" s="10" t="inlineStr">
        <is>
          <t>First aid</t>
        </is>
      </c>
      <c r="C47" s="56" t="n"/>
      <c r="D47" s="10" t="n"/>
      <c r="E47" s="10" t="n"/>
    </row>
    <row r="48">
      <c r="A48" s="10" t="inlineStr">
        <is>
          <t>Feminine products</t>
        </is>
      </c>
      <c r="B48" s="10" t="inlineStr">
        <is>
          <t>First aid</t>
        </is>
      </c>
      <c r="C48" s="56" t="n"/>
      <c r="D48" s="10" t="n"/>
      <c r="E48" s="10" t="n"/>
    </row>
    <row r="49">
      <c r="A49" s="10" t="inlineStr">
        <is>
          <t>Contact lens solution</t>
        </is>
      </c>
      <c r="B49" s="10" t="inlineStr">
        <is>
          <t>First aid</t>
        </is>
      </c>
      <c r="C49" s="56" t="n"/>
      <c r="D49" s="10" t="n"/>
      <c r="E49" s="10" t="n"/>
    </row>
    <row r="50">
      <c r="A50" s="10" t="inlineStr">
        <is>
          <t>Sunscreen</t>
        </is>
      </c>
      <c r="B50" s="10" t="inlineStr">
        <is>
          <t>Comfort</t>
        </is>
      </c>
      <c r="C50" s="56" t="n"/>
      <c r="D50" s="10" t="n"/>
      <c r="E50" s="10" t="n"/>
    </row>
    <row r="51">
      <c r="A51" s="10" t="inlineStr">
        <is>
          <t>Bug spray</t>
        </is>
      </c>
      <c r="B51" s="10" t="inlineStr">
        <is>
          <t>Comfort</t>
        </is>
      </c>
      <c r="C51" s="56" t="n"/>
      <c r="D51" s="10" t="n"/>
      <c r="E51" s="10" t="n"/>
    </row>
    <row r="52">
      <c r="A52" s="10" t="inlineStr">
        <is>
          <t>Umbrella</t>
        </is>
      </c>
      <c r="B52" s="10" t="inlineStr">
        <is>
          <t>Comfort</t>
        </is>
      </c>
      <c r="C52" s="56" t="n"/>
      <c r="D52" s="10" t="n"/>
      <c r="E52" s="10" t="n"/>
    </row>
    <row r="53">
      <c r="A53" s="10" t="inlineStr">
        <is>
          <t>Comfortable shoes / flip-flops</t>
        </is>
      </c>
      <c r="B53" s="10" t="inlineStr">
        <is>
          <t>Comfort</t>
        </is>
      </c>
      <c r="C53" s="56" t="n"/>
      <c r="D53" s="10" t="n"/>
      <c r="E53" s="10" t="n"/>
    </row>
    <row r="54">
      <c r="A54" s="10" t="inlineStr">
        <is>
          <t>Water bottles</t>
        </is>
      </c>
      <c r="B54" s="10" t="inlineStr">
        <is>
          <t>Comfort</t>
        </is>
      </c>
      <c r="C54" s="56" t="n"/>
      <c r="D54" s="10" t="n"/>
      <c r="E54" s="10" t="n"/>
    </row>
    <row r="55">
      <c r="A55" s="10" t="inlineStr">
        <is>
          <t>Snacks / protein bars</t>
        </is>
      </c>
      <c r="B55" s="10" t="inlineStr">
        <is>
          <t>Comfort</t>
        </is>
      </c>
      <c r="C55" s="56" t="n"/>
      <c r="D55" s="10" t="n"/>
      <c r="E55" s="10" t="n"/>
    </row>
    <row r="56">
      <c r="A56" s="10" t="inlineStr">
        <is>
          <t>Straws (protect lipstick)</t>
        </is>
      </c>
      <c r="B56" s="10" t="inlineStr">
        <is>
          <t>Comfort</t>
        </is>
      </c>
      <c r="C56" s="56" t="n"/>
      <c r="D56" s="10" t="n"/>
      <c r="E56" s="10" t="n"/>
    </row>
    <row r="57">
      <c r="A57" s="10" t="inlineStr">
        <is>
          <t>Wrap or shawl</t>
        </is>
      </c>
      <c r="B57" s="10" t="inlineStr">
        <is>
          <t>Comfort</t>
        </is>
      </c>
      <c r="C57" s="56" t="n"/>
      <c r="D57" s="10" t="n"/>
      <c r="E57" s="10" t="n"/>
    </row>
    <row r="58">
      <c r="A58" s="10" t="inlineStr">
        <is>
          <t>Cash in small bills</t>
        </is>
      </c>
      <c r="B58" s="10" t="inlineStr">
        <is>
          <t>Paperwork</t>
        </is>
      </c>
      <c r="C58" s="56" t="n"/>
      <c r="D58" s="10" t="n"/>
      <c r="E58" s="10" t="n"/>
    </row>
    <row r="59">
      <c r="A59" s="10" t="inlineStr">
        <is>
          <t>Pens &amp; a marker</t>
        </is>
      </c>
      <c r="B59" s="10" t="inlineStr">
        <is>
          <t>Reception</t>
        </is>
      </c>
      <c r="C59" s="56" t="n"/>
      <c r="D59" s="10" t="n"/>
      <c r="E59" s="10" t="n"/>
    </row>
    <row r="60">
      <c r="A60" s="10" t="inlineStr">
        <is>
          <t>Tape &amp; glue dots</t>
        </is>
      </c>
      <c r="B60" s="10" t="inlineStr">
        <is>
          <t>Reception</t>
        </is>
      </c>
      <c r="C60" s="56" t="n"/>
      <c r="D60" s="10" t="n"/>
      <c r="E60" s="10" t="n"/>
    </row>
    <row r="61">
      <c r="A61" s="10" t="inlineStr">
        <is>
          <t>Guest book &amp; pen</t>
        </is>
      </c>
      <c r="B61" s="10" t="inlineStr">
        <is>
          <t>Reception</t>
        </is>
      </c>
      <c r="C61" s="56" t="n"/>
      <c r="D61" s="10" t="n"/>
      <c r="E61" s="10" t="n"/>
    </row>
    <row r="62">
      <c r="A62" s="10" t="inlineStr">
        <is>
          <t>Card box</t>
        </is>
      </c>
      <c r="B62" s="10" t="inlineStr">
        <is>
          <t>Reception</t>
        </is>
      </c>
      <c r="C62" s="56" t="n"/>
      <c r="D62" s="10" t="n"/>
      <c r="E62" s="10" t="n"/>
    </row>
    <row r="63">
      <c r="A63" s="10" t="inlineStr">
        <is>
          <t>Cake knife &amp; server</t>
        </is>
      </c>
      <c r="B63" s="10" t="inlineStr">
        <is>
          <t>Reception</t>
        </is>
      </c>
      <c r="C63" s="56" t="n"/>
      <c r="D63" s="10" t="n"/>
      <c r="E63" s="10" t="n"/>
    </row>
    <row r="64">
      <c r="A64" s="10" t="inlineStr">
        <is>
          <t>Toasting glasses</t>
        </is>
      </c>
      <c r="B64" s="10" t="inlineStr">
        <is>
          <t>Reception</t>
        </is>
      </c>
      <c r="C64" s="56" t="n"/>
      <c r="D64" s="10" t="n"/>
      <c r="E64" s="10" t="n"/>
    </row>
    <row r="65">
      <c r="A65" s="10" t="inlineStr">
        <is>
          <t>Change of clothes for exit</t>
        </is>
      </c>
      <c r="B65" s="10" t="inlineStr">
        <is>
          <t>Attire fixes</t>
        </is>
      </c>
      <c r="C65" s="56" t="n"/>
      <c r="D65" s="10" t="n"/>
      <c r="E65" s="10" t="n"/>
    </row>
    <row r="66">
      <c r="A66" s="10" t="inlineStr">
        <is>
          <t>Sunglasses / glasses</t>
        </is>
      </c>
      <c r="B66" s="10" t="inlineStr">
        <is>
          <t>Comfort</t>
        </is>
      </c>
      <c r="C66" s="56" t="n"/>
      <c r="D66" s="10" t="n"/>
      <c r="E66" s="10" t="n"/>
    </row>
    <row r="67">
      <c r="A67" s="10" t="inlineStr">
        <is>
          <t>Unity ceremony items</t>
        </is>
      </c>
      <c r="B67" s="10" t="inlineStr">
        <is>
          <t>Ceremony</t>
        </is>
      </c>
      <c r="C67" s="56" t="n"/>
      <c r="D67" s="10" t="n"/>
      <c r="E67" s="10" t="n"/>
    </row>
    <row r="68">
      <c r="A68" s="10" t="n"/>
      <c r="B68" s="10" t="n"/>
      <c r="C68" s="56" t="n"/>
      <c r="D68" s="10" t="n"/>
      <c r="E68" s="10" t="n"/>
    </row>
    <row r="69">
      <c r="A69" s="10" t="n"/>
      <c r="B69" s="10" t="n"/>
      <c r="C69" s="56" t="n"/>
      <c r="D69" s="10" t="n"/>
      <c r="E69" s="10" t="n"/>
    </row>
    <row r="70">
      <c r="A70" s="10" t="n"/>
      <c r="B70" s="10" t="n"/>
      <c r="C70" s="56" t="n"/>
      <c r="D70" s="10" t="n"/>
      <c r="E70" s="10" t="n"/>
    </row>
    <row r="71">
      <c r="A71" s="10" t="n"/>
      <c r="B71" s="10" t="n"/>
      <c r="C71" s="56" t="n"/>
      <c r="D71" s="10" t="n"/>
      <c r="E71" s="10" t="n"/>
    </row>
    <row r="72">
      <c r="A72" s="10" t="n"/>
      <c r="B72" s="10" t="n"/>
      <c r="C72" s="56" t="n"/>
      <c r="D72" s="10" t="n"/>
      <c r="E72" s="10" t="n"/>
    </row>
    <row r="73">
      <c r="A73" s="10" t="n"/>
      <c r="B73" s="10" t="n"/>
      <c r="C73" s="56" t="n"/>
      <c r="D73" s="10" t="n"/>
      <c r="E73" s="10" t="n"/>
    </row>
    <row r="74">
      <c r="A74" s="10" t="n"/>
      <c r="B74" s="10" t="n"/>
      <c r="C74" s="56" t="n"/>
      <c r="D74" s="10" t="n"/>
      <c r="E74" s="10" t="n"/>
    </row>
    <row r="75">
      <c r="A75" s="10" t="n"/>
      <c r="B75" s="10" t="n"/>
      <c r="C75" s="56" t="n"/>
      <c r="D75" s="10" t="n"/>
      <c r="E75" s="10" t="n"/>
    </row>
    <row r="76">
      <c r="A76" s="10" t="n"/>
      <c r="B76" s="10" t="n"/>
      <c r="C76" s="56" t="n"/>
      <c r="D76" s="10" t="n"/>
      <c r="E76" s="10" t="n"/>
    </row>
    <row r="77">
      <c r="A77" s="10" t="n"/>
      <c r="B77" s="10" t="n"/>
      <c r="C77" s="56" t="n"/>
      <c r="D77" s="10" t="n"/>
      <c r="E77" s="10" t="n"/>
    </row>
    <row r="78">
      <c r="A78" s="10" t="n"/>
      <c r="B78" s="10" t="n"/>
      <c r="C78" s="56" t="n"/>
      <c r="D78" s="10" t="n"/>
      <c r="E78" s="10" t="n"/>
    </row>
    <row r="79">
      <c r="A79" s="10" t="n"/>
      <c r="B79" s="10" t="n"/>
      <c r="C79" s="56" t="n"/>
      <c r="D79" s="10" t="n"/>
      <c r="E79" s="10" t="n"/>
    </row>
    <row r="80">
      <c r="A80" s="10" t="n"/>
      <c r="B80" s="10" t="n"/>
      <c r="C80" s="56" t="n"/>
      <c r="D80" s="10" t="n"/>
      <c r="E80" s="10" t="n"/>
    </row>
    <row r="81">
      <c r="A81" s="10" t="n"/>
      <c r="B81" s="10" t="n"/>
      <c r="C81" s="56" t="n"/>
      <c r="D81" s="10" t="n"/>
      <c r="E81" s="10" t="n"/>
    </row>
    <row r="82">
      <c r="A82" s="10" t="n"/>
      <c r="B82" s="10" t="n"/>
      <c r="C82" s="56" t="n"/>
      <c r="D82" s="10" t="n"/>
      <c r="E82" s="10" t="n"/>
    </row>
    <row r="83">
      <c r="A83" s="10" t="n"/>
      <c r="B83" s="10" t="n"/>
      <c r="C83" s="56" t="n"/>
      <c r="D83" s="10" t="n"/>
      <c r="E83" s="10" t="n"/>
    </row>
    <row r="84">
      <c r="A84" s="10" t="n"/>
      <c r="B84" s="10" t="n"/>
      <c r="C84" s="56" t="n"/>
      <c r="D84" s="10" t="n"/>
      <c r="E84" s="10" t="n"/>
    </row>
    <row r="85">
      <c r="A85" s="10" t="n"/>
      <c r="B85" s="10" t="n"/>
      <c r="C85" s="56" t="n"/>
      <c r="D85" s="10" t="n"/>
      <c r="E85" s="10" t="n"/>
    </row>
  </sheetData>
  <conditionalFormatting sqref="A6:E85">
    <cfRule type="expression" priority="1" dxfId="5" stopIfTrue="0">
      <formula>$C6="✓"</formula>
    </cfRule>
  </conditionalFormatting>
  <dataValidations count="3">
    <dataValidation sqref="B6:B85" showDropDown="0" showInputMessage="0" showErrorMessage="0" allowBlank="1" type="list">
      <formula1>=Lists!$K$5:$K$16</formula1>
    </dataValidation>
    <dataValidation sqref="C6:C85" showDropDown="0" showInputMessage="0" showErrorMessage="0" allowBlank="1" type="list">
      <formula1>=Lists!$M$5:$M$5</formula1>
    </dataValidation>
    <dataValidation sqref="D6:D85" showDropDown="0" showInputMessage="0" showErrorMessage="0" allowBlank="1" type="list">
      <formula1>=Lists!$H$5:$H$16</formula1>
    </dataValidation>
  </dataValidations>
  <pageMargins left="0.5" right="0.5" top="0.6" bottom="0.6" header="0.5" footer="0.5"/>
  <pageSetup orientation="portrait" fitToHeight="0" fitToWidth="1"/>
</worksheet>
</file>

<file path=xl/worksheets/sheet15.xml><?xml version="1.0" encoding="utf-8"?>
<worksheet xmlns="http://schemas.openxmlformats.org/spreadsheetml/2006/main">
  <sheetPr>
    <tabColor rgb="00D9CBA6"/>
    <outlinePr summaryBelow="1" summaryRight="1"/>
    <pageSetUpPr fitToPage="1"/>
  </sheetPr>
  <dimension ref="A1:J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12" customWidth="1" min="3" max="3"/>
    <col width="12" customWidth="1" min="4" max="4"/>
    <col width="10" customWidth="1" min="5" max="5"/>
    <col width="10" customWidth="1" min="6" max="6"/>
    <col width="12" customWidth="1" min="7" max="7"/>
    <col width="10" customWidth="1" min="8" max="8"/>
    <col width="16" customWidth="1" min="9" max="9"/>
    <col width="28" customWidth="1" min="10" max="10"/>
  </cols>
  <sheetData>
    <row r="1" ht="30" customHeight="1">
      <c r="A1" s="1" t="inlineStr">
        <is>
          <t>Gifts &amp; Thank-Yous</t>
        </is>
      </c>
    </row>
    <row r="2">
      <c r="A2" s="11" t="inlineStr">
        <is>
          <t>Log each gift. Thank-yous not sent 21+ days after receiving turn amber.</t>
        </is>
      </c>
    </row>
    <row r="3">
      <c r="A3" s="42">
        <f>SUMPRODUCT(--(A6:A305&lt;&gt;""))&amp;" gifts · "&amp;COUNTIF(F6:F305,"✓")&amp;" thanked · "&amp;COUNTIF(I6:I305,"Overdue (21+ days)")&amp;" overdue"</f>
        <v/>
      </c>
    </row>
    <row r="4"/>
    <row r="5" ht="30" customHeight="1">
      <c r="A5" s="43" t="inlineStr">
        <is>
          <t>From</t>
        </is>
      </c>
      <c r="B5" s="43" t="inlineStr">
        <is>
          <t>Gift</t>
        </is>
      </c>
      <c r="C5" s="43" t="inlineStr">
        <is>
          <t>Event</t>
        </is>
      </c>
      <c r="D5" s="43" t="inlineStr">
        <is>
          <t>Received</t>
        </is>
      </c>
      <c r="E5" s="43" t="inlineStr">
        <is>
          <t>Value</t>
        </is>
      </c>
      <c r="F5" s="43" t="inlineStr">
        <is>
          <t>Thank-you ✓</t>
        </is>
      </c>
      <c r="G5" s="43" t="inlineStr">
        <is>
          <t>Sent on</t>
        </is>
      </c>
      <c r="H5" s="43" t="inlineStr">
        <is>
          <t>Days waiting</t>
        </is>
      </c>
      <c r="I5" s="43" t="inlineStr">
        <is>
          <t>Status</t>
        </is>
      </c>
      <c r="J5" s="43" t="inlineStr">
        <is>
          <t>Address / notes</t>
        </is>
      </c>
    </row>
    <row r="6">
      <c r="A6" s="10" t="n"/>
      <c r="B6" s="10" t="n"/>
      <c r="C6" s="10" t="n"/>
      <c r="D6" s="12" t="n"/>
      <c r="E6" s="14" t="n"/>
      <c r="F6" s="56" t="n"/>
      <c r="G6" s="12" t="n"/>
      <c r="H6" s="57">
        <f>IF(OR(A6="",D6="",F6="✓"),"",TODAY()-D6)</f>
        <v/>
      </c>
      <c r="I6" s="47">
        <f>IF(A6="","",IF(F6="✓","Thanked",IF(D6="","To thank",IF(TODAY()-D6&gt;21,"Overdue (21+ days)","To thank"))))</f>
        <v/>
      </c>
      <c r="J6" s="10" t="n"/>
    </row>
    <row r="7">
      <c r="A7" s="10" t="n"/>
      <c r="B7" s="10" t="n"/>
      <c r="C7" s="10" t="n"/>
      <c r="D7" s="12" t="n"/>
      <c r="E7" s="14" t="n"/>
      <c r="F7" s="56" t="n"/>
      <c r="G7" s="12" t="n"/>
      <c r="H7" s="57">
        <f>IF(OR(A7="",D7="",F7="✓"),"",TODAY()-D7)</f>
        <v/>
      </c>
      <c r="I7" s="47">
        <f>IF(A7="","",IF(F7="✓","Thanked",IF(D7="","To thank",IF(TODAY()-D7&gt;21,"Overdue (21+ days)","To thank"))))</f>
        <v/>
      </c>
      <c r="J7" s="10" t="n"/>
    </row>
    <row r="8">
      <c r="A8" s="10" t="n"/>
      <c r="B8" s="10" t="n"/>
      <c r="C8" s="10" t="n"/>
      <c r="D8" s="12" t="n"/>
      <c r="E8" s="14" t="n"/>
      <c r="F8" s="56" t="n"/>
      <c r="G8" s="12" t="n"/>
      <c r="H8" s="57">
        <f>IF(OR(A8="",D8="",F8="✓"),"",TODAY()-D8)</f>
        <v/>
      </c>
      <c r="I8" s="47">
        <f>IF(A8="","",IF(F8="✓","Thanked",IF(D8="","To thank",IF(TODAY()-D8&gt;21,"Overdue (21+ days)","To thank"))))</f>
        <v/>
      </c>
      <c r="J8" s="10" t="n"/>
    </row>
    <row r="9">
      <c r="A9" s="10" t="n"/>
      <c r="B9" s="10" t="n"/>
      <c r="C9" s="10" t="n"/>
      <c r="D9" s="12" t="n"/>
      <c r="E9" s="14" t="n"/>
      <c r="F9" s="56" t="n"/>
      <c r="G9" s="12" t="n"/>
      <c r="H9" s="57">
        <f>IF(OR(A9="",D9="",F9="✓"),"",TODAY()-D9)</f>
        <v/>
      </c>
      <c r="I9" s="47">
        <f>IF(A9="","",IF(F9="✓","Thanked",IF(D9="","To thank",IF(TODAY()-D9&gt;21,"Overdue (21+ days)","To thank"))))</f>
        <v/>
      </c>
      <c r="J9" s="10" t="n"/>
    </row>
    <row r="10">
      <c r="A10" s="10" t="n"/>
      <c r="B10" s="10" t="n"/>
      <c r="C10" s="10" t="n"/>
      <c r="D10" s="12" t="n"/>
      <c r="E10" s="14" t="n"/>
      <c r="F10" s="56" t="n"/>
      <c r="G10" s="12" t="n"/>
      <c r="H10" s="57">
        <f>IF(OR(A10="",D10="",F10="✓"),"",TODAY()-D10)</f>
        <v/>
      </c>
      <c r="I10" s="47">
        <f>IF(A10="","",IF(F10="✓","Thanked",IF(D10="","To thank",IF(TODAY()-D10&gt;21,"Overdue (21+ days)","To thank"))))</f>
        <v/>
      </c>
      <c r="J10" s="10" t="n"/>
    </row>
    <row r="11">
      <c r="A11" s="10" t="n"/>
      <c r="B11" s="10" t="n"/>
      <c r="C11" s="10" t="n"/>
      <c r="D11" s="12" t="n"/>
      <c r="E11" s="14" t="n"/>
      <c r="F11" s="56" t="n"/>
      <c r="G11" s="12" t="n"/>
      <c r="H11" s="57">
        <f>IF(OR(A11="",D11="",F11="✓"),"",TODAY()-D11)</f>
        <v/>
      </c>
      <c r="I11" s="47">
        <f>IF(A11="","",IF(F11="✓","Thanked",IF(D11="","To thank",IF(TODAY()-D11&gt;21,"Overdue (21+ days)","To thank"))))</f>
        <v/>
      </c>
      <c r="J11" s="10" t="n"/>
    </row>
    <row r="12">
      <c r="A12" s="10" t="n"/>
      <c r="B12" s="10" t="n"/>
      <c r="C12" s="10" t="n"/>
      <c r="D12" s="12" t="n"/>
      <c r="E12" s="14" t="n"/>
      <c r="F12" s="56" t="n"/>
      <c r="G12" s="12" t="n"/>
      <c r="H12" s="57">
        <f>IF(OR(A12="",D12="",F12="✓"),"",TODAY()-D12)</f>
        <v/>
      </c>
      <c r="I12" s="47">
        <f>IF(A12="","",IF(F12="✓","Thanked",IF(D12="","To thank",IF(TODAY()-D12&gt;21,"Overdue (21+ days)","To thank"))))</f>
        <v/>
      </c>
      <c r="J12" s="10" t="n"/>
    </row>
    <row r="13">
      <c r="A13" s="10" t="n"/>
      <c r="B13" s="10" t="n"/>
      <c r="C13" s="10" t="n"/>
      <c r="D13" s="12" t="n"/>
      <c r="E13" s="14" t="n"/>
      <c r="F13" s="56" t="n"/>
      <c r="G13" s="12" t="n"/>
      <c r="H13" s="57">
        <f>IF(OR(A13="",D13="",F13="✓"),"",TODAY()-D13)</f>
        <v/>
      </c>
      <c r="I13" s="47">
        <f>IF(A13="","",IF(F13="✓","Thanked",IF(D13="","To thank",IF(TODAY()-D13&gt;21,"Overdue (21+ days)","To thank"))))</f>
        <v/>
      </c>
      <c r="J13" s="10" t="n"/>
    </row>
    <row r="14">
      <c r="A14" s="10" t="n"/>
      <c r="B14" s="10" t="n"/>
      <c r="C14" s="10" t="n"/>
      <c r="D14" s="12" t="n"/>
      <c r="E14" s="14" t="n"/>
      <c r="F14" s="56" t="n"/>
      <c r="G14" s="12" t="n"/>
      <c r="H14" s="57">
        <f>IF(OR(A14="",D14="",F14="✓"),"",TODAY()-D14)</f>
        <v/>
      </c>
      <c r="I14" s="47">
        <f>IF(A14="","",IF(F14="✓","Thanked",IF(D14="","To thank",IF(TODAY()-D14&gt;21,"Overdue (21+ days)","To thank"))))</f>
        <v/>
      </c>
      <c r="J14" s="10" t="n"/>
    </row>
    <row r="15">
      <c r="A15" s="10" t="n"/>
      <c r="B15" s="10" t="n"/>
      <c r="C15" s="10" t="n"/>
      <c r="D15" s="12" t="n"/>
      <c r="E15" s="14" t="n"/>
      <c r="F15" s="56" t="n"/>
      <c r="G15" s="12" t="n"/>
      <c r="H15" s="57">
        <f>IF(OR(A15="",D15="",F15="✓"),"",TODAY()-D15)</f>
        <v/>
      </c>
      <c r="I15" s="47">
        <f>IF(A15="","",IF(F15="✓","Thanked",IF(D15="","To thank",IF(TODAY()-D15&gt;21,"Overdue (21+ days)","To thank"))))</f>
        <v/>
      </c>
      <c r="J15" s="10" t="n"/>
    </row>
    <row r="16">
      <c r="A16" s="10" t="n"/>
      <c r="B16" s="10" t="n"/>
      <c r="C16" s="10" t="n"/>
      <c r="D16" s="12" t="n"/>
      <c r="E16" s="14" t="n"/>
      <c r="F16" s="56" t="n"/>
      <c r="G16" s="12" t="n"/>
      <c r="H16" s="57">
        <f>IF(OR(A16="",D16="",F16="✓"),"",TODAY()-D16)</f>
        <v/>
      </c>
      <c r="I16" s="47">
        <f>IF(A16="","",IF(F16="✓","Thanked",IF(D16="","To thank",IF(TODAY()-D16&gt;21,"Overdue (21+ days)","To thank"))))</f>
        <v/>
      </c>
      <c r="J16" s="10" t="n"/>
    </row>
    <row r="17">
      <c r="A17" s="10" t="n"/>
      <c r="B17" s="10" t="n"/>
      <c r="C17" s="10" t="n"/>
      <c r="D17" s="12" t="n"/>
      <c r="E17" s="14" t="n"/>
      <c r="F17" s="56" t="n"/>
      <c r="G17" s="12" t="n"/>
      <c r="H17" s="57">
        <f>IF(OR(A17="",D17="",F17="✓"),"",TODAY()-D17)</f>
        <v/>
      </c>
      <c r="I17" s="47">
        <f>IF(A17="","",IF(F17="✓","Thanked",IF(D17="","To thank",IF(TODAY()-D17&gt;21,"Overdue (21+ days)","To thank"))))</f>
        <v/>
      </c>
      <c r="J17" s="10" t="n"/>
    </row>
    <row r="18">
      <c r="A18" s="10" t="n"/>
      <c r="B18" s="10" t="n"/>
      <c r="C18" s="10" t="n"/>
      <c r="D18" s="12" t="n"/>
      <c r="E18" s="14" t="n"/>
      <c r="F18" s="56" t="n"/>
      <c r="G18" s="12" t="n"/>
      <c r="H18" s="57">
        <f>IF(OR(A18="",D18="",F18="✓"),"",TODAY()-D18)</f>
        <v/>
      </c>
      <c r="I18" s="47">
        <f>IF(A18="","",IF(F18="✓","Thanked",IF(D18="","To thank",IF(TODAY()-D18&gt;21,"Overdue (21+ days)","To thank"))))</f>
        <v/>
      </c>
      <c r="J18" s="10" t="n"/>
    </row>
    <row r="19">
      <c r="A19" s="10" t="n"/>
      <c r="B19" s="10" t="n"/>
      <c r="C19" s="10" t="n"/>
      <c r="D19" s="12" t="n"/>
      <c r="E19" s="14" t="n"/>
      <c r="F19" s="56" t="n"/>
      <c r="G19" s="12" t="n"/>
      <c r="H19" s="57">
        <f>IF(OR(A19="",D19="",F19="✓"),"",TODAY()-D19)</f>
        <v/>
      </c>
      <c r="I19" s="47">
        <f>IF(A19="","",IF(F19="✓","Thanked",IF(D19="","To thank",IF(TODAY()-D19&gt;21,"Overdue (21+ days)","To thank"))))</f>
        <v/>
      </c>
      <c r="J19" s="10" t="n"/>
    </row>
    <row r="20">
      <c r="A20" s="10" t="n"/>
      <c r="B20" s="10" t="n"/>
      <c r="C20" s="10" t="n"/>
      <c r="D20" s="12" t="n"/>
      <c r="E20" s="14" t="n"/>
      <c r="F20" s="56" t="n"/>
      <c r="G20" s="12" t="n"/>
      <c r="H20" s="57">
        <f>IF(OR(A20="",D20="",F20="✓"),"",TODAY()-D20)</f>
        <v/>
      </c>
      <c r="I20" s="47">
        <f>IF(A20="","",IF(F20="✓","Thanked",IF(D20="","To thank",IF(TODAY()-D20&gt;21,"Overdue (21+ days)","To thank"))))</f>
        <v/>
      </c>
      <c r="J20" s="10" t="n"/>
    </row>
    <row r="21">
      <c r="A21" s="10" t="n"/>
      <c r="B21" s="10" t="n"/>
      <c r="C21" s="10" t="n"/>
      <c r="D21" s="12" t="n"/>
      <c r="E21" s="14" t="n"/>
      <c r="F21" s="56" t="n"/>
      <c r="G21" s="12" t="n"/>
      <c r="H21" s="57">
        <f>IF(OR(A21="",D21="",F21="✓"),"",TODAY()-D21)</f>
        <v/>
      </c>
      <c r="I21" s="47">
        <f>IF(A21="","",IF(F21="✓","Thanked",IF(D21="","To thank",IF(TODAY()-D21&gt;21,"Overdue (21+ days)","To thank"))))</f>
        <v/>
      </c>
      <c r="J21" s="10" t="n"/>
    </row>
    <row r="22">
      <c r="A22" s="10" t="n"/>
      <c r="B22" s="10" t="n"/>
      <c r="C22" s="10" t="n"/>
      <c r="D22" s="12" t="n"/>
      <c r="E22" s="14" t="n"/>
      <c r="F22" s="56" t="n"/>
      <c r="G22" s="12" t="n"/>
      <c r="H22" s="57">
        <f>IF(OR(A22="",D22="",F22="✓"),"",TODAY()-D22)</f>
        <v/>
      </c>
      <c r="I22" s="47">
        <f>IF(A22="","",IF(F22="✓","Thanked",IF(D22="","To thank",IF(TODAY()-D22&gt;21,"Overdue (21+ days)","To thank"))))</f>
        <v/>
      </c>
      <c r="J22" s="10" t="n"/>
    </row>
    <row r="23">
      <c r="A23" s="10" t="n"/>
      <c r="B23" s="10" t="n"/>
      <c r="C23" s="10" t="n"/>
      <c r="D23" s="12" t="n"/>
      <c r="E23" s="14" t="n"/>
      <c r="F23" s="56" t="n"/>
      <c r="G23" s="12" t="n"/>
      <c r="H23" s="57">
        <f>IF(OR(A23="",D23="",F23="✓"),"",TODAY()-D23)</f>
        <v/>
      </c>
      <c r="I23" s="47">
        <f>IF(A23="","",IF(F23="✓","Thanked",IF(D23="","To thank",IF(TODAY()-D23&gt;21,"Overdue (21+ days)","To thank"))))</f>
        <v/>
      </c>
      <c r="J23" s="10" t="n"/>
    </row>
    <row r="24">
      <c r="A24" s="10" t="n"/>
      <c r="B24" s="10" t="n"/>
      <c r="C24" s="10" t="n"/>
      <c r="D24" s="12" t="n"/>
      <c r="E24" s="14" t="n"/>
      <c r="F24" s="56" t="n"/>
      <c r="G24" s="12" t="n"/>
      <c r="H24" s="57">
        <f>IF(OR(A24="",D24="",F24="✓"),"",TODAY()-D24)</f>
        <v/>
      </c>
      <c r="I24" s="47">
        <f>IF(A24="","",IF(F24="✓","Thanked",IF(D24="","To thank",IF(TODAY()-D24&gt;21,"Overdue (21+ days)","To thank"))))</f>
        <v/>
      </c>
      <c r="J24" s="10" t="n"/>
    </row>
    <row r="25">
      <c r="A25" s="10" t="n"/>
      <c r="B25" s="10" t="n"/>
      <c r="C25" s="10" t="n"/>
      <c r="D25" s="12" t="n"/>
      <c r="E25" s="14" t="n"/>
      <c r="F25" s="56" t="n"/>
      <c r="G25" s="12" t="n"/>
      <c r="H25" s="57">
        <f>IF(OR(A25="",D25="",F25="✓"),"",TODAY()-D25)</f>
        <v/>
      </c>
      <c r="I25" s="47">
        <f>IF(A25="","",IF(F25="✓","Thanked",IF(D25="","To thank",IF(TODAY()-D25&gt;21,"Overdue (21+ days)","To thank"))))</f>
        <v/>
      </c>
      <c r="J25" s="10" t="n"/>
    </row>
    <row r="26">
      <c r="A26" s="10" t="n"/>
      <c r="B26" s="10" t="n"/>
      <c r="C26" s="10" t="n"/>
      <c r="D26" s="12" t="n"/>
      <c r="E26" s="14" t="n"/>
      <c r="F26" s="56" t="n"/>
      <c r="G26" s="12" t="n"/>
      <c r="H26" s="57">
        <f>IF(OR(A26="",D26="",F26="✓"),"",TODAY()-D26)</f>
        <v/>
      </c>
      <c r="I26" s="47">
        <f>IF(A26="","",IF(F26="✓","Thanked",IF(D26="","To thank",IF(TODAY()-D26&gt;21,"Overdue (21+ days)","To thank"))))</f>
        <v/>
      </c>
      <c r="J26" s="10" t="n"/>
    </row>
    <row r="27">
      <c r="A27" s="10" t="n"/>
      <c r="B27" s="10" t="n"/>
      <c r="C27" s="10" t="n"/>
      <c r="D27" s="12" t="n"/>
      <c r="E27" s="14" t="n"/>
      <c r="F27" s="56" t="n"/>
      <c r="G27" s="12" t="n"/>
      <c r="H27" s="57">
        <f>IF(OR(A27="",D27="",F27="✓"),"",TODAY()-D27)</f>
        <v/>
      </c>
      <c r="I27" s="47">
        <f>IF(A27="","",IF(F27="✓","Thanked",IF(D27="","To thank",IF(TODAY()-D27&gt;21,"Overdue (21+ days)","To thank"))))</f>
        <v/>
      </c>
      <c r="J27" s="10" t="n"/>
    </row>
    <row r="28">
      <c r="A28" s="10" t="n"/>
      <c r="B28" s="10" t="n"/>
      <c r="C28" s="10" t="n"/>
      <c r="D28" s="12" t="n"/>
      <c r="E28" s="14" t="n"/>
      <c r="F28" s="56" t="n"/>
      <c r="G28" s="12" t="n"/>
      <c r="H28" s="57">
        <f>IF(OR(A28="",D28="",F28="✓"),"",TODAY()-D28)</f>
        <v/>
      </c>
      <c r="I28" s="47">
        <f>IF(A28="","",IF(F28="✓","Thanked",IF(D28="","To thank",IF(TODAY()-D28&gt;21,"Overdue (21+ days)","To thank"))))</f>
        <v/>
      </c>
      <c r="J28" s="10" t="n"/>
    </row>
    <row r="29">
      <c r="A29" s="10" t="n"/>
      <c r="B29" s="10" t="n"/>
      <c r="C29" s="10" t="n"/>
      <c r="D29" s="12" t="n"/>
      <c r="E29" s="14" t="n"/>
      <c r="F29" s="56" t="n"/>
      <c r="G29" s="12" t="n"/>
      <c r="H29" s="57">
        <f>IF(OR(A29="",D29="",F29="✓"),"",TODAY()-D29)</f>
        <v/>
      </c>
      <c r="I29" s="47">
        <f>IF(A29="","",IF(F29="✓","Thanked",IF(D29="","To thank",IF(TODAY()-D29&gt;21,"Overdue (21+ days)","To thank"))))</f>
        <v/>
      </c>
      <c r="J29" s="10" t="n"/>
    </row>
    <row r="30">
      <c r="A30" s="10" t="n"/>
      <c r="B30" s="10" t="n"/>
      <c r="C30" s="10" t="n"/>
      <c r="D30" s="12" t="n"/>
      <c r="E30" s="14" t="n"/>
      <c r="F30" s="56" t="n"/>
      <c r="G30" s="12" t="n"/>
      <c r="H30" s="57">
        <f>IF(OR(A30="",D30="",F30="✓"),"",TODAY()-D30)</f>
        <v/>
      </c>
      <c r="I30" s="47">
        <f>IF(A30="","",IF(F30="✓","Thanked",IF(D30="","To thank",IF(TODAY()-D30&gt;21,"Overdue (21+ days)","To thank"))))</f>
        <v/>
      </c>
      <c r="J30" s="10" t="n"/>
    </row>
    <row r="31">
      <c r="A31" s="10" t="n"/>
      <c r="B31" s="10" t="n"/>
      <c r="C31" s="10" t="n"/>
      <c r="D31" s="12" t="n"/>
      <c r="E31" s="14" t="n"/>
      <c r="F31" s="56" t="n"/>
      <c r="G31" s="12" t="n"/>
      <c r="H31" s="57">
        <f>IF(OR(A31="",D31="",F31="✓"),"",TODAY()-D31)</f>
        <v/>
      </c>
      <c r="I31" s="47">
        <f>IF(A31="","",IF(F31="✓","Thanked",IF(D31="","To thank",IF(TODAY()-D31&gt;21,"Overdue (21+ days)","To thank"))))</f>
        <v/>
      </c>
      <c r="J31" s="10" t="n"/>
    </row>
    <row r="32">
      <c r="A32" s="10" t="n"/>
      <c r="B32" s="10" t="n"/>
      <c r="C32" s="10" t="n"/>
      <c r="D32" s="12" t="n"/>
      <c r="E32" s="14" t="n"/>
      <c r="F32" s="56" t="n"/>
      <c r="G32" s="12" t="n"/>
      <c r="H32" s="57">
        <f>IF(OR(A32="",D32="",F32="✓"),"",TODAY()-D32)</f>
        <v/>
      </c>
      <c r="I32" s="47">
        <f>IF(A32="","",IF(F32="✓","Thanked",IF(D32="","To thank",IF(TODAY()-D32&gt;21,"Overdue (21+ days)","To thank"))))</f>
        <v/>
      </c>
      <c r="J32" s="10" t="n"/>
    </row>
    <row r="33">
      <c r="A33" s="10" t="n"/>
      <c r="B33" s="10" t="n"/>
      <c r="C33" s="10" t="n"/>
      <c r="D33" s="12" t="n"/>
      <c r="E33" s="14" t="n"/>
      <c r="F33" s="56" t="n"/>
      <c r="G33" s="12" t="n"/>
      <c r="H33" s="57">
        <f>IF(OR(A33="",D33="",F33="✓"),"",TODAY()-D33)</f>
        <v/>
      </c>
      <c r="I33" s="47">
        <f>IF(A33="","",IF(F33="✓","Thanked",IF(D33="","To thank",IF(TODAY()-D33&gt;21,"Overdue (21+ days)","To thank"))))</f>
        <v/>
      </c>
      <c r="J33" s="10" t="n"/>
    </row>
    <row r="34">
      <c r="A34" s="10" t="n"/>
      <c r="B34" s="10" t="n"/>
      <c r="C34" s="10" t="n"/>
      <c r="D34" s="12" t="n"/>
      <c r="E34" s="14" t="n"/>
      <c r="F34" s="56" t="n"/>
      <c r="G34" s="12" t="n"/>
      <c r="H34" s="57">
        <f>IF(OR(A34="",D34="",F34="✓"),"",TODAY()-D34)</f>
        <v/>
      </c>
      <c r="I34" s="47">
        <f>IF(A34="","",IF(F34="✓","Thanked",IF(D34="","To thank",IF(TODAY()-D34&gt;21,"Overdue (21+ days)","To thank"))))</f>
        <v/>
      </c>
      <c r="J34" s="10" t="n"/>
    </row>
    <row r="35">
      <c r="A35" s="10" t="n"/>
      <c r="B35" s="10" t="n"/>
      <c r="C35" s="10" t="n"/>
      <c r="D35" s="12" t="n"/>
      <c r="E35" s="14" t="n"/>
      <c r="F35" s="56" t="n"/>
      <c r="G35" s="12" t="n"/>
      <c r="H35" s="57">
        <f>IF(OR(A35="",D35="",F35="✓"),"",TODAY()-D35)</f>
        <v/>
      </c>
      <c r="I35" s="47">
        <f>IF(A35="","",IF(F35="✓","Thanked",IF(D35="","To thank",IF(TODAY()-D35&gt;21,"Overdue (21+ days)","To thank"))))</f>
        <v/>
      </c>
      <c r="J35" s="10" t="n"/>
    </row>
    <row r="36">
      <c r="A36" s="10" t="n"/>
      <c r="B36" s="10" t="n"/>
      <c r="C36" s="10" t="n"/>
      <c r="D36" s="12" t="n"/>
      <c r="E36" s="14" t="n"/>
      <c r="F36" s="56" t="n"/>
      <c r="G36" s="12" t="n"/>
      <c r="H36" s="57">
        <f>IF(OR(A36="",D36="",F36="✓"),"",TODAY()-D36)</f>
        <v/>
      </c>
      <c r="I36" s="47">
        <f>IF(A36="","",IF(F36="✓","Thanked",IF(D36="","To thank",IF(TODAY()-D36&gt;21,"Overdue (21+ days)","To thank"))))</f>
        <v/>
      </c>
      <c r="J36" s="10" t="n"/>
    </row>
    <row r="37">
      <c r="A37" s="10" t="n"/>
      <c r="B37" s="10" t="n"/>
      <c r="C37" s="10" t="n"/>
      <c r="D37" s="12" t="n"/>
      <c r="E37" s="14" t="n"/>
      <c r="F37" s="56" t="n"/>
      <c r="G37" s="12" t="n"/>
      <c r="H37" s="57">
        <f>IF(OR(A37="",D37="",F37="✓"),"",TODAY()-D37)</f>
        <v/>
      </c>
      <c r="I37" s="47">
        <f>IF(A37="","",IF(F37="✓","Thanked",IF(D37="","To thank",IF(TODAY()-D37&gt;21,"Overdue (21+ days)","To thank"))))</f>
        <v/>
      </c>
      <c r="J37" s="10" t="n"/>
    </row>
    <row r="38">
      <c r="A38" s="10" t="n"/>
      <c r="B38" s="10" t="n"/>
      <c r="C38" s="10" t="n"/>
      <c r="D38" s="12" t="n"/>
      <c r="E38" s="14" t="n"/>
      <c r="F38" s="56" t="n"/>
      <c r="G38" s="12" t="n"/>
      <c r="H38" s="57">
        <f>IF(OR(A38="",D38="",F38="✓"),"",TODAY()-D38)</f>
        <v/>
      </c>
      <c r="I38" s="47">
        <f>IF(A38="","",IF(F38="✓","Thanked",IF(D38="","To thank",IF(TODAY()-D38&gt;21,"Overdue (21+ days)","To thank"))))</f>
        <v/>
      </c>
      <c r="J38" s="10" t="n"/>
    </row>
    <row r="39">
      <c r="A39" s="10" t="n"/>
      <c r="B39" s="10" t="n"/>
      <c r="C39" s="10" t="n"/>
      <c r="D39" s="12" t="n"/>
      <c r="E39" s="14" t="n"/>
      <c r="F39" s="56" t="n"/>
      <c r="G39" s="12" t="n"/>
      <c r="H39" s="57">
        <f>IF(OR(A39="",D39="",F39="✓"),"",TODAY()-D39)</f>
        <v/>
      </c>
      <c r="I39" s="47">
        <f>IF(A39="","",IF(F39="✓","Thanked",IF(D39="","To thank",IF(TODAY()-D39&gt;21,"Overdue (21+ days)","To thank"))))</f>
        <v/>
      </c>
      <c r="J39" s="10" t="n"/>
    </row>
    <row r="40">
      <c r="A40" s="10" t="n"/>
      <c r="B40" s="10" t="n"/>
      <c r="C40" s="10" t="n"/>
      <c r="D40" s="12" t="n"/>
      <c r="E40" s="14" t="n"/>
      <c r="F40" s="56" t="n"/>
      <c r="G40" s="12" t="n"/>
      <c r="H40" s="57">
        <f>IF(OR(A40="",D40="",F40="✓"),"",TODAY()-D40)</f>
        <v/>
      </c>
      <c r="I40" s="47">
        <f>IF(A40="","",IF(F40="✓","Thanked",IF(D40="","To thank",IF(TODAY()-D40&gt;21,"Overdue (21+ days)","To thank"))))</f>
        <v/>
      </c>
      <c r="J40" s="10" t="n"/>
    </row>
    <row r="41">
      <c r="A41" s="10" t="n"/>
      <c r="B41" s="10" t="n"/>
      <c r="C41" s="10" t="n"/>
      <c r="D41" s="12" t="n"/>
      <c r="E41" s="14" t="n"/>
      <c r="F41" s="56" t="n"/>
      <c r="G41" s="12" t="n"/>
      <c r="H41" s="57">
        <f>IF(OR(A41="",D41="",F41="✓"),"",TODAY()-D41)</f>
        <v/>
      </c>
      <c r="I41" s="47">
        <f>IF(A41="","",IF(F41="✓","Thanked",IF(D41="","To thank",IF(TODAY()-D41&gt;21,"Overdue (21+ days)","To thank"))))</f>
        <v/>
      </c>
      <c r="J41" s="10" t="n"/>
    </row>
    <row r="42">
      <c r="A42" s="10" t="n"/>
      <c r="B42" s="10" t="n"/>
      <c r="C42" s="10" t="n"/>
      <c r="D42" s="12" t="n"/>
      <c r="E42" s="14" t="n"/>
      <c r="F42" s="56" t="n"/>
      <c r="G42" s="12" t="n"/>
      <c r="H42" s="57">
        <f>IF(OR(A42="",D42="",F42="✓"),"",TODAY()-D42)</f>
        <v/>
      </c>
      <c r="I42" s="47">
        <f>IF(A42="","",IF(F42="✓","Thanked",IF(D42="","To thank",IF(TODAY()-D42&gt;21,"Overdue (21+ days)","To thank"))))</f>
        <v/>
      </c>
      <c r="J42" s="10" t="n"/>
    </row>
    <row r="43">
      <c r="A43" s="10" t="n"/>
      <c r="B43" s="10" t="n"/>
      <c r="C43" s="10" t="n"/>
      <c r="D43" s="12" t="n"/>
      <c r="E43" s="14" t="n"/>
      <c r="F43" s="56" t="n"/>
      <c r="G43" s="12" t="n"/>
      <c r="H43" s="57">
        <f>IF(OR(A43="",D43="",F43="✓"),"",TODAY()-D43)</f>
        <v/>
      </c>
      <c r="I43" s="47">
        <f>IF(A43="","",IF(F43="✓","Thanked",IF(D43="","To thank",IF(TODAY()-D43&gt;21,"Overdue (21+ days)","To thank"))))</f>
        <v/>
      </c>
      <c r="J43" s="10" t="n"/>
    </row>
    <row r="44">
      <c r="A44" s="10" t="n"/>
      <c r="B44" s="10" t="n"/>
      <c r="C44" s="10" t="n"/>
      <c r="D44" s="12" t="n"/>
      <c r="E44" s="14" t="n"/>
      <c r="F44" s="56" t="n"/>
      <c r="G44" s="12" t="n"/>
      <c r="H44" s="57">
        <f>IF(OR(A44="",D44="",F44="✓"),"",TODAY()-D44)</f>
        <v/>
      </c>
      <c r="I44" s="47">
        <f>IF(A44="","",IF(F44="✓","Thanked",IF(D44="","To thank",IF(TODAY()-D44&gt;21,"Overdue (21+ days)","To thank"))))</f>
        <v/>
      </c>
      <c r="J44" s="10" t="n"/>
    </row>
    <row r="45">
      <c r="A45" s="10" t="n"/>
      <c r="B45" s="10" t="n"/>
      <c r="C45" s="10" t="n"/>
      <c r="D45" s="12" t="n"/>
      <c r="E45" s="14" t="n"/>
      <c r="F45" s="56" t="n"/>
      <c r="G45" s="12" t="n"/>
      <c r="H45" s="57">
        <f>IF(OR(A45="",D45="",F45="✓"),"",TODAY()-D45)</f>
        <v/>
      </c>
      <c r="I45" s="47">
        <f>IF(A45="","",IF(F45="✓","Thanked",IF(D45="","To thank",IF(TODAY()-D45&gt;21,"Overdue (21+ days)","To thank"))))</f>
        <v/>
      </c>
      <c r="J45" s="10" t="n"/>
    </row>
    <row r="46">
      <c r="A46" s="10" t="n"/>
      <c r="B46" s="10" t="n"/>
      <c r="C46" s="10" t="n"/>
      <c r="D46" s="12" t="n"/>
      <c r="E46" s="14" t="n"/>
      <c r="F46" s="56" t="n"/>
      <c r="G46" s="12" t="n"/>
      <c r="H46" s="57">
        <f>IF(OR(A46="",D46="",F46="✓"),"",TODAY()-D46)</f>
        <v/>
      </c>
      <c r="I46" s="47">
        <f>IF(A46="","",IF(F46="✓","Thanked",IF(D46="","To thank",IF(TODAY()-D46&gt;21,"Overdue (21+ days)","To thank"))))</f>
        <v/>
      </c>
      <c r="J46" s="10" t="n"/>
    </row>
    <row r="47">
      <c r="A47" s="10" t="n"/>
      <c r="B47" s="10" t="n"/>
      <c r="C47" s="10" t="n"/>
      <c r="D47" s="12" t="n"/>
      <c r="E47" s="14" t="n"/>
      <c r="F47" s="56" t="n"/>
      <c r="G47" s="12" t="n"/>
      <c r="H47" s="57">
        <f>IF(OR(A47="",D47="",F47="✓"),"",TODAY()-D47)</f>
        <v/>
      </c>
      <c r="I47" s="47">
        <f>IF(A47="","",IF(F47="✓","Thanked",IF(D47="","To thank",IF(TODAY()-D47&gt;21,"Overdue (21+ days)","To thank"))))</f>
        <v/>
      </c>
      <c r="J47" s="10" t="n"/>
    </row>
    <row r="48">
      <c r="A48" s="10" t="n"/>
      <c r="B48" s="10" t="n"/>
      <c r="C48" s="10" t="n"/>
      <c r="D48" s="12" t="n"/>
      <c r="E48" s="14" t="n"/>
      <c r="F48" s="56" t="n"/>
      <c r="G48" s="12" t="n"/>
      <c r="H48" s="57">
        <f>IF(OR(A48="",D48="",F48="✓"),"",TODAY()-D48)</f>
        <v/>
      </c>
      <c r="I48" s="47">
        <f>IF(A48="","",IF(F48="✓","Thanked",IF(D48="","To thank",IF(TODAY()-D48&gt;21,"Overdue (21+ days)","To thank"))))</f>
        <v/>
      </c>
      <c r="J48" s="10" t="n"/>
    </row>
    <row r="49">
      <c r="A49" s="10" t="n"/>
      <c r="B49" s="10" t="n"/>
      <c r="C49" s="10" t="n"/>
      <c r="D49" s="12" t="n"/>
      <c r="E49" s="14" t="n"/>
      <c r="F49" s="56" t="n"/>
      <c r="G49" s="12" t="n"/>
      <c r="H49" s="57">
        <f>IF(OR(A49="",D49="",F49="✓"),"",TODAY()-D49)</f>
        <v/>
      </c>
      <c r="I49" s="47">
        <f>IF(A49="","",IF(F49="✓","Thanked",IF(D49="","To thank",IF(TODAY()-D49&gt;21,"Overdue (21+ days)","To thank"))))</f>
        <v/>
      </c>
      <c r="J49" s="10" t="n"/>
    </row>
    <row r="50">
      <c r="A50" s="10" t="n"/>
      <c r="B50" s="10" t="n"/>
      <c r="C50" s="10" t="n"/>
      <c r="D50" s="12" t="n"/>
      <c r="E50" s="14" t="n"/>
      <c r="F50" s="56" t="n"/>
      <c r="G50" s="12" t="n"/>
      <c r="H50" s="57">
        <f>IF(OR(A50="",D50="",F50="✓"),"",TODAY()-D50)</f>
        <v/>
      </c>
      <c r="I50" s="47">
        <f>IF(A50="","",IF(F50="✓","Thanked",IF(D50="","To thank",IF(TODAY()-D50&gt;21,"Overdue (21+ days)","To thank"))))</f>
        <v/>
      </c>
      <c r="J50" s="10" t="n"/>
    </row>
    <row r="51">
      <c r="A51" s="10" t="n"/>
      <c r="B51" s="10" t="n"/>
      <c r="C51" s="10" t="n"/>
      <c r="D51" s="12" t="n"/>
      <c r="E51" s="14" t="n"/>
      <c r="F51" s="56" t="n"/>
      <c r="G51" s="12" t="n"/>
      <c r="H51" s="57">
        <f>IF(OR(A51="",D51="",F51="✓"),"",TODAY()-D51)</f>
        <v/>
      </c>
      <c r="I51" s="47">
        <f>IF(A51="","",IF(F51="✓","Thanked",IF(D51="","To thank",IF(TODAY()-D51&gt;21,"Overdue (21+ days)","To thank"))))</f>
        <v/>
      </c>
      <c r="J51" s="10" t="n"/>
    </row>
    <row r="52">
      <c r="A52" s="10" t="n"/>
      <c r="B52" s="10" t="n"/>
      <c r="C52" s="10" t="n"/>
      <c r="D52" s="12" t="n"/>
      <c r="E52" s="14" t="n"/>
      <c r="F52" s="56" t="n"/>
      <c r="G52" s="12" t="n"/>
      <c r="H52" s="57">
        <f>IF(OR(A52="",D52="",F52="✓"),"",TODAY()-D52)</f>
        <v/>
      </c>
      <c r="I52" s="47">
        <f>IF(A52="","",IF(F52="✓","Thanked",IF(D52="","To thank",IF(TODAY()-D52&gt;21,"Overdue (21+ days)","To thank"))))</f>
        <v/>
      </c>
      <c r="J52" s="10" t="n"/>
    </row>
    <row r="53">
      <c r="A53" s="10" t="n"/>
      <c r="B53" s="10" t="n"/>
      <c r="C53" s="10" t="n"/>
      <c r="D53" s="12" t="n"/>
      <c r="E53" s="14" t="n"/>
      <c r="F53" s="56" t="n"/>
      <c r="G53" s="12" t="n"/>
      <c r="H53" s="57">
        <f>IF(OR(A53="",D53="",F53="✓"),"",TODAY()-D53)</f>
        <v/>
      </c>
      <c r="I53" s="47">
        <f>IF(A53="","",IF(F53="✓","Thanked",IF(D53="","To thank",IF(TODAY()-D53&gt;21,"Overdue (21+ days)","To thank"))))</f>
        <v/>
      </c>
      <c r="J53" s="10" t="n"/>
    </row>
    <row r="54">
      <c r="A54" s="10" t="n"/>
      <c r="B54" s="10" t="n"/>
      <c r="C54" s="10" t="n"/>
      <c r="D54" s="12" t="n"/>
      <c r="E54" s="14" t="n"/>
      <c r="F54" s="56" t="n"/>
      <c r="G54" s="12" t="n"/>
      <c r="H54" s="57">
        <f>IF(OR(A54="",D54="",F54="✓"),"",TODAY()-D54)</f>
        <v/>
      </c>
      <c r="I54" s="47">
        <f>IF(A54="","",IF(F54="✓","Thanked",IF(D54="","To thank",IF(TODAY()-D54&gt;21,"Overdue (21+ days)","To thank"))))</f>
        <v/>
      </c>
      <c r="J54" s="10" t="n"/>
    </row>
    <row r="55">
      <c r="A55" s="10" t="n"/>
      <c r="B55" s="10" t="n"/>
      <c r="C55" s="10" t="n"/>
      <c r="D55" s="12" t="n"/>
      <c r="E55" s="14" t="n"/>
      <c r="F55" s="56" t="n"/>
      <c r="G55" s="12" t="n"/>
      <c r="H55" s="57">
        <f>IF(OR(A55="",D55="",F55="✓"),"",TODAY()-D55)</f>
        <v/>
      </c>
      <c r="I55" s="47">
        <f>IF(A55="","",IF(F55="✓","Thanked",IF(D55="","To thank",IF(TODAY()-D55&gt;21,"Overdue (21+ days)","To thank"))))</f>
        <v/>
      </c>
      <c r="J55" s="10" t="n"/>
    </row>
    <row r="56">
      <c r="A56" s="10" t="n"/>
      <c r="B56" s="10" t="n"/>
      <c r="C56" s="10" t="n"/>
      <c r="D56" s="12" t="n"/>
      <c r="E56" s="14" t="n"/>
      <c r="F56" s="56" t="n"/>
      <c r="G56" s="12" t="n"/>
      <c r="H56" s="57">
        <f>IF(OR(A56="",D56="",F56="✓"),"",TODAY()-D56)</f>
        <v/>
      </c>
      <c r="I56" s="47">
        <f>IF(A56="","",IF(F56="✓","Thanked",IF(D56="","To thank",IF(TODAY()-D56&gt;21,"Overdue (21+ days)","To thank"))))</f>
        <v/>
      </c>
      <c r="J56" s="10" t="n"/>
    </row>
    <row r="57">
      <c r="A57" s="10" t="n"/>
      <c r="B57" s="10" t="n"/>
      <c r="C57" s="10" t="n"/>
      <c r="D57" s="12" t="n"/>
      <c r="E57" s="14" t="n"/>
      <c r="F57" s="56" t="n"/>
      <c r="G57" s="12" t="n"/>
      <c r="H57" s="57">
        <f>IF(OR(A57="",D57="",F57="✓"),"",TODAY()-D57)</f>
        <v/>
      </c>
      <c r="I57" s="47">
        <f>IF(A57="","",IF(F57="✓","Thanked",IF(D57="","To thank",IF(TODAY()-D57&gt;21,"Overdue (21+ days)","To thank"))))</f>
        <v/>
      </c>
      <c r="J57" s="10" t="n"/>
    </row>
    <row r="58">
      <c r="A58" s="10" t="n"/>
      <c r="B58" s="10" t="n"/>
      <c r="C58" s="10" t="n"/>
      <c r="D58" s="12" t="n"/>
      <c r="E58" s="14" t="n"/>
      <c r="F58" s="56" t="n"/>
      <c r="G58" s="12" t="n"/>
      <c r="H58" s="57">
        <f>IF(OR(A58="",D58="",F58="✓"),"",TODAY()-D58)</f>
        <v/>
      </c>
      <c r="I58" s="47">
        <f>IF(A58="","",IF(F58="✓","Thanked",IF(D58="","To thank",IF(TODAY()-D58&gt;21,"Overdue (21+ days)","To thank"))))</f>
        <v/>
      </c>
      <c r="J58" s="10" t="n"/>
    </row>
    <row r="59">
      <c r="A59" s="10" t="n"/>
      <c r="B59" s="10" t="n"/>
      <c r="C59" s="10" t="n"/>
      <c r="D59" s="12" t="n"/>
      <c r="E59" s="14" t="n"/>
      <c r="F59" s="56" t="n"/>
      <c r="G59" s="12" t="n"/>
      <c r="H59" s="57">
        <f>IF(OR(A59="",D59="",F59="✓"),"",TODAY()-D59)</f>
        <v/>
      </c>
      <c r="I59" s="47">
        <f>IF(A59="","",IF(F59="✓","Thanked",IF(D59="","To thank",IF(TODAY()-D59&gt;21,"Overdue (21+ days)","To thank"))))</f>
        <v/>
      </c>
      <c r="J59" s="10" t="n"/>
    </row>
    <row r="60">
      <c r="A60" s="10" t="n"/>
      <c r="B60" s="10" t="n"/>
      <c r="C60" s="10" t="n"/>
      <c r="D60" s="12" t="n"/>
      <c r="E60" s="14" t="n"/>
      <c r="F60" s="56" t="n"/>
      <c r="G60" s="12" t="n"/>
      <c r="H60" s="57">
        <f>IF(OR(A60="",D60="",F60="✓"),"",TODAY()-D60)</f>
        <v/>
      </c>
      <c r="I60" s="47">
        <f>IF(A60="","",IF(F60="✓","Thanked",IF(D60="","To thank",IF(TODAY()-D60&gt;21,"Overdue (21+ days)","To thank"))))</f>
        <v/>
      </c>
      <c r="J60" s="10" t="n"/>
    </row>
    <row r="61">
      <c r="A61" s="10" t="n"/>
      <c r="B61" s="10" t="n"/>
      <c r="C61" s="10" t="n"/>
      <c r="D61" s="12" t="n"/>
      <c r="E61" s="14" t="n"/>
      <c r="F61" s="56" t="n"/>
      <c r="G61" s="12" t="n"/>
      <c r="H61" s="57">
        <f>IF(OR(A61="",D61="",F61="✓"),"",TODAY()-D61)</f>
        <v/>
      </c>
      <c r="I61" s="47">
        <f>IF(A61="","",IF(F61="✓","Thanked",IF(D61="","To thank",IF(TODAY()-D61&gt;21,"Overdue (21+ days)","To thank"))))</f>
        <v/>
      </c>
      <c r="J61" s="10" t="n"/>
    </row>
    <row r="62">
      <c r="A62" s="10" t="n"/>
      <c r="B62" s="10" t="n"/>
      <c r="C62" s="10" t="n"/>
      <c r="D62" s="12" t="n"/>
      <c r="E62" s="14" t="n"/>
      <c r="F62" s="56" t="n"/>
      <c r="G62" s="12" t="n"/>
      <c r="H62" s="57">
        <f>IF(OR(A62="",D62="",F62="✓"),"",TODAY()-D62)</f>
        <v/>
      </c>
      <c r="I62" s="47">
        <f>IF(A62="","",IF(F62="✓","Thanked",IF(D62="","To thank",IF(TODAY()-D62&gt;21,"Overdue (21+ days)","To thank"))))</f>
        <v/>
      </c>
      <c r="J62" s="10" t="n"/>
    </row>
    <row r="63">
      <c r="A63" s="10" t="n"/>
      <c r="B63" s="10" t="n"/>
      <c r="C63" s="10" t="n"/>
      <c r="D63" s="12" t="n"/>
      <c r="E63" s="14" t="n"/>
      <c r="F63" s="56" t="n"/>
      <c r="G63" s="12" t="n"/>
      <c r="H63" s="57">
        <f>IF(OR(A63="",D63="",F63="✓"),"",TODAY()-D63)</f>
        <v/>
      </c>
      <c r="I63" s="47">
        <f>IF(A63="","",IF(F63="✓","Thanked",IF(D63="","To thank",IF(TODAY()-D63&gt;21,"Overdue (21+ days)","To thank"))))</f>
        <v/>
      </c>
      <c r="J63" s="10" t="n"/>
    </row>
    <row r="64">
      <c r="A64" s="10" t="n"/>
      <c r="B64" s="10" t="n"/>
      <c r="C64" s="10" t="n"/>
      <c r="D64" s="12" t="n"/>
      <c r="E64" s="14" t="n"/>
      <c r="F64" s="56" t="n"/>
      <c r="G64" s="12" t="n"/>
      <c r="H64" s="57">
        <f>IF(OR(A64="",D64="",F64="✓"),"",TODAY()-D64)</f>
        <v/>
      </c>
      <c r="I64" s="47">
        <f>IF(A64="","",IF(F64="✓","Thanked",IF(D64="","To thank",IF(TODAY()-D64&gt;21,"Overdue (21+ days)","To thank"))))</f>
        <v/>
      </c>
      <c r="J64" s="10" t="n"/>
    </row>
    <row r="65">
      <c r="A65" s="10" t="n"/>
      <c r="B65" s="10" t="n"/>
      <c r="C65" s="10" t="n"/>
      <c r="D65" s="12" t="n"/>
      <c r="E65" s="14" t="n"/>
      <c r="F65" s="56" t="n"/>
      <c r="G65" s="12" t="n"/>
      <c r="H65" s="57">
        <f>IF(OR(A65="",D65="",F65="✓"),"",TODAY()-D65)</f>
        <v/>
      </c>
      <c r="I65" s="47">
        <f>IF(A65="","",IF(F65="✓","Thanked",IF(D65="","To thank",IF(TODAY()-D65&gt;21,"Overdue (21+ days)","To thank"))))</f>
        <v/>
      </c>
      <c r="J65" s="10" t="n"/>
    </row>
    <row r="66">
      <c r="A66" s="10" t="n"/>
      <c r="B66" s="10" t="n"/>
      <c r="C66" s="10" t="n"/>
      <c r="D66" s="12" t="n"/>
      <c r="E66" s="14" t="n"/>
      <c r="F66" s="56" t="n"/>
      <c r="G66" s="12" t="n"/>
      <c r="H66" s="57">
        <f>IF(OR(A66="",D66="",F66="✓"),"",TODAY()-D66)</f>
        <v/>
      </c>
      <c r="I66" s="47">
        <f>IF(A66="","",IF(F66="✓","Thanked",IF(D66="","To thank",IF(TODAY()-D66&gt;21,"Overdue (21+ days)","To thank"))))</f>
        <v/>
      </c>
      <c r="J66" s="10" t="n"/>
    </row>
    <row r="67">
      <c r="A67" s="10" t="n"/>
      <c r="B67" s="10" t="n"/>
      <c r="C67" s="10" t="n"/>
      <c r="D67" s="12" t="n"/>
      <c r="E67" s="14" t="n"/>
      <c r="F67" s="56" t="n"/>
      <c r="G67" s="12" t="n"/>
      <c r="H67" s="57">
        <f>IF(OR(A67="",D67="",F67="✓"),"",TODAY()-D67)</f>
        <v/>
      </c>
      <c r="I67" s="47">
        <f>IF(A67="","",IF(F67="✓","Thanked",IF(D67="","To thank",IF(TODAY()-D67&gt;21,"Overdue (21+ days)","To thank"))))</f>
        <v/>
      </c>
      <c r="J67" s="10" t="n"/>
    </row>
    <row r="68">
      <c r="A68" s="10" t="n"/>
      <c r="B68" s="10" t="n"/>
      <c r="C68" s="10" t="n"/>
      <c r="D68" s="12" t="n"/>
      <c r="E68" s="14" t="n"/>
      <c r="F68" s="56" t="n"/>
      <c r="G68" s="12" t="n"/>
      <c r="H68" s="57">
        <f>IF(OR(A68="",D68="",F68="✓"),"",TODAY()-D68)</f>
        <v/>
      </c>
      <c r="I68" s="47">
        <f>IF(A68="","",IF(F68="✓","Thanked",IF(D68="","To thank",IF(TODAY()-D68&gt;21,"Overdue (21+ days)","To thank"))))</f>
        <v/>
      </c>
      <c r="J68" s="10" t="n"/>
    </row>
    <row r="69">
      <c r="A69" s="10" t="n"/>
      <c r="B69" s="10" t="n"/>
      <c r="C69" s="10" t="n"/>
      <c r="D69" s="12" t="n"/>
      <c r="E69" s="14" t="n"/>
      <c r="F69" s="56" t="n"/>
      <c r="G69" s="12" t="n"/>
      <c r="H69" s="57">
        <f>IF(OR(A69="",D69="",F69="✓"),"",TODAY()-D69)</f>
        <v/>
      </c>
      <c r="I69" s="47">
        <f>IF(A69="","",IF(F69="✓","Thanked",IF(D69="","To thank",IF(TODAY()-D69&gt;21,"Overdue (21+ days)","To thank"))))</f>
        <v/>
      </c>
      <c r="J69" s="10" t="n"/>
    </row>
    <row r="70">
      <c r="A70" s="10" t="n"/>
      <c r="B70" s="10" t="n"/>
      <c r="C70" s="10" t="n"/>
      <c r="D70" s="12" t="n"/>
      <c r="E70" s="14" t="n"/>
      <c r="F70" s="56" t="n"/>
      <c r="G70" s="12" t="n"/>
      <c r="H70" s="57">
        <f>IF(OR(A70="",D70="",F70="✓"),"",TODAY()-D70)</f>
        <v/>
      </c>
      <c r="I70" s="47">
        <f>IF(A70="","",IF(F70="✓","Thanked",IF(D70="","To thank",IF(TODAY()-D70&gt;21,"Overdue (21+ days)","To thank"))))</f>
        <v/>
      </c>
      <c r="J70" s="10" t="n"/>
    </row>
    <row r="71">
      <c r="A71" s="10" t="n"/>
      <c r="B71" s="10" t="n"/>
      <c r="C71" s="10" t="n"/>
      <c r="D71" s="12" t="n"/>
      <c r="E71" s="14" t="n"/>
      <c r="F71" s="56" t="n"/>
      <c r="G71" s="12" t="n"/>
      <c r="H71" s="57">
        <f>IF(OR(A71="",D71="",F71="✓"),"",TODAY()-D71)</f>
        <v/>
      </c>
      <c r="I71" s="47">
        <f>IF(A71="","",IF(F71="✓","Thanked",IF(D71="","To thank",IF(TODAY()-D71&gt;21,"Overdue (21+ days)","To thank"))))</f>
        <v/>
      </c>
      <c r="J71" s="10" t="n"/>
    </row>
    <row r="72">
      <c r="A72" s="10" t="n"/>
      <c r="B72" s="10" t="n"/>
      <c r="C72" s="10" t="n"/>
      <c r="D72" s="12" t="n"/>
      <c r="E72" s="14" t="n"/>
      <c r="F72" s="56" t="n"/>
      <c r="G72" s="12" t="n"/>
      <c r="H72" s="57">
        <f>IF(OR(A72="",D72="",F72="✓"),"",TODAY()-D72)</f>
        <v/>
      </c>
      <c r="I72" s="47">
        <f>IF(A72="","",IF(F72="✓","Thanked",IF(D72="","To thank",IF(TODAY()-D72&gt;21,"Overdue (21+ days)","To thank"))))</f>
        <v/>
      </c>
      <c r="J72" s="10" t="n"/>
    </row>
    <row r="73">
      <c r="A73" s="10" t="n"/>
      <c r="B73" s="10" t="n"/>
      <c r="C73" s="10" t="n"/>
      <c r="D73" s="12" t="n"/>
      <c r="E73" s="14" t="n"/>
      <c r="F73" s="56" t="n"/>
      <c r="G73" s="12" t="n"/>
      <c r="H73" s="57">
        <f>IF(OR(A73="",D73="",F73="✓"),"",TODAY()-D73)</f>
        <v/>
      </c>
      <c r="I73" s="47">
        <f>IF(A73="","",IF(F73="✓","Thanked",IF(D73="","To thank",IF(TODAY()-D73&gt;21,"Overdue (21+ days)","To thank"))))</f>
        <v/>
      </c>
      <c r="J73" s="10" t="n"/>
    </row>
    <row r="74">
      <c r="A74" s="10" t="n"/>
      <c r="B74" s="10" t="n"/>
      <c r="C74" s="10" t="n"/>
      <c r="D74" s="12" t="n"/>
      <c r="E74" s="14" t="n"/>
      <c r="F74" s="56" t="n"/>
      <c r="G74" s="12" t="n"/>
      <c r="H74" s="57">
        <f>IF(OR(A74="",D74="",F74="✓"),"",TODAY()-D74)</f>
        <v/>
      </c>
      <c r="I74" s="47">
        <f>IF(A74="","",IF(F74="✓","Thanked",IF(D74="","To thank",IF(TODAY()-D74&gt;21,"Overdue (21+ days)","To thank"))))</f>
        <v/>
      </c>
      <c r="J74" s="10" t="n"/>
    </row>
    <row r="75">
      <c r="A75" s="10" t="n"/>
      <c r="B75" s="10" t="n"/>
      <c r="C75" s="10" t="n"/>
      <c r="D75" s="12" t="n"/>
      <c r="E75" s="14" t="n"/>
      <c r="F75" s="56" t="n"/>
      <c r="G75" s="12" t="n"/>
      <c r="H75" s="57">
        <f>IF(OR(A75="",D75="",F75="✓"),"",TODAY()-D75)</f>
        <v/>
      </c>
      <c r="I75" s="47">
        <f>IF(A75="","",IF(F75="✓","Thanked",IF(D75="","To thank",IF(TODAY()-D75&gt;21,"Overdue (21+ days)","To thank"))))</f>
        <v/>
      </c>
      <c r="J75" s="10" t="n"/>
    </row>
    <row r="76">
      <c r="A76" s="10" t="n"/>
      <c r="B76" s="10" t="n"/>
      <c r="C76" s="10" t="n"/>
      <c r="D76" s="12" t="n"/>
      <c r="E76" s="14" t="n"/>
      <c r="F76" s="56" t="n"/>
      <c r="G76" s="12" t="n"/>
      <c r="H76" s="57">
        <f>IF(OR(A76="",D76="",F76="✓"),"",TODAY()-D76)</f>
        <v/>
      </c>
      <c r="I76" s="47">
        <f>IF(A76="","",IF(F76="✓","Thanked",IF(D76="","To thank",IF(TODAY()-D76&gt;21,"Overdue (21+ days)","To thank"))))</f>
        <v/>
      </c>
      <c r="J76" s="10" t="n"/>
    </row>
    <row r="77">
      <c r="A77" s="10" t="n"/>
      <c r="B77" s="10" t="n"/>
      <c r="C77" s="10" t="n"/>
      <c r="D77" s="12" t="n"/>
      <c r="E77" s="14" t="n"/>
      <c r="F77" s="56" t="n"/>
      <c r="G77" s="12" t="n"/>
      <c r="H77" s="57">
        <f>IF(OR(A77="",D77="",F77="✓"),"",TODAY()-D77)</f>
        <v/>
      </c>
      <c r="I77" s="47">
        <f>IF(A77="","",IF(F77="✓","Thanked",IF(D77="","To thank",IF(TODAY()-D77&gt;21,"Overdue (21+ days)","To thank"))))</f>
        <v/>
      </c>
      <c r="J77" s="10" t="n"/>
    </row>
    <row r="78">
      <c r="A78" s="10" t="n"/>
      <c r="B78" s="10" t="n"/>
      <c r="C78" s="10" t="n"/>
      <c r="D78" s="12" t="n"/>
      <c r="E78" s="14" t="n"/>
      <c r="F78" s="56" t="n"/>
      <c r="G78" s="12" t="n"/>
      <c r="H78" s="57">
        <f>IF(OR(A78="",D78="",F78="✓"),"",TODAY()-D78)</f>
        <v/>
      </c>
      <c r="I78" s="47">
        <f>IF(A78="","",IF(F78="✓","Thanked",IF(D78="","To thank",IF(TODAY()-D78&gt;21,"Overdue (21+ days)","To thank"))))</f>
        <v/>
      </c>
      <c r="J78" s="10" t="n"/>
    </row>
    <row r="79">
      <c r="A79" s="10" t="n"/>
      <c r="B79" s="10" t="n"/>
      <c r="C79" s="10" t="n"/>
      <c r="D79" s="12" t="n"/>
      <c r="E79" s="14" t="n"/>
      <c r="F79" s="56" t="n"/>
      <c r="G79" s="12" t="n"/>
      <c r="H79" s="57">
        <f>IF(OR(A79="",D79="",F79="✓"),"",TODAY()-D79)</f>
        <v/>
      </c>
      <c r="I79" s="47">
        <f>IF(A79="","",IF(F79="✓","Thanked",IF(D79="","To thank",IF(TODAY()-D79&gt;21,"Overdue (21+ days)","To thank"))))</f>
        <v/>
      </c>
      <c r="J79" s="10" t="n"/>
    </row>
    <row r="80">
      <c r="A80" s="10" t="n"/>
      <c r="B80" s="10" t="n"/>
      <c r="C80" s="10" t="n"/>
      <c r="D80" s="12" t="n"/>
      <c r="E80" s="14" t="n"/>
      <c r="F80" s="56" t="n"/>
      <c r="G80" s="12" t="n"/>
      <c r="H80" s="57">
        <f>IF(OR(A80="",D80="",F80="✓"),"",TODAY()-D80)</f>
        <v/>
      </c>
      <c r="I80" s="47">
        <f>IF(A80="","",IF(F80="✓","Thanked",IF(D80="","To thank",IF(TODAY()-D80&gt;21,"Overdue (21+ days)","To thank"))))</f>
        <v/>
      </c>
      <c r="J80" s="10" t="n"/>
    </row>
    <row r="81">
      <c r="A81" s="10" t="n"/>
      <c r="B81" s="10" t="n"/>
      <c r="C81" s="10" t="n"/>
      <c r="D81" s="12" t="n"/>
      <c r="E81" s="14" t="n"/>
      <c r="F81" s="56" t="n"/>
      <c r="G81" s="12" t="n"/>
      <c r="H81" s="57">
        <f>IF(OR(A81="",D81="",F81="✓"),"",TODAY()-D81)</f>
        <v/>
      </c>
      <c r="I81" s="47">
        <f>IF(A81="","",IF(F81="✓","Thanked",IF(D81="","To thank",IF(TODAY()-D81&gt;21,"Overdue (21+ days)","To thank"))))</f>
        <v/>
      </c>
      <c r="J81" s="10" t="n"/>
    </row>
    <row r="82">
      <c r="A82" s="10" t="n"/>
      <c r="B82" s="10" t="n"/>
      <c r="C82" s="10" t="n"/>
      <c r="D82" s="12" t="n"/>
      <c r="E82" s="14" t="n"/>
      <c r="F82" s="56" t="n"/>
      <c r="G82" s="12" t="n"/>
      <c r="H82" s="57">
        <f>IF(OR(A82="",D82="",F82="✓"),"",TODAY()-D82)</f>
        <v/>
      </c>
      <c r="I82" s="47">
        <f>IF(A82="","",IF(F82="✓","Thanked",IF(D82="","To thank",IF(TODAY()-D82&gt;21,"Overdue (21+ days)","To thank"))))</f>
        <v/>
      </c>
      <c r="J82" s="10" t="n"/>
    </row>
    <row r="83">
      <c r="A83" s="10" t="n"/>
      <c r="B83" s="10" t="n"/>
      <c r="C83" s="10" t="n"/>
      <c r="D83" s="12" t="n"/>
      <c r="E83" s="14" t="n"/>
      <c r="F83" s="56" t="n"/>
      <c r="G83" s="12" t="n"/>
      <c r="H83" s="57">
        <f>IF(OR(A83="",D83="",F83="✓"),"",TODAY()-D83)</f>
        <v/>
      </c>
      <c r="I83" s="47">
        <f>IF(A83="","",IF(F83="✓","Thanked",IF(D83="","To thank",IF(TODAY()-D83&gt;21,"Overdue (21+ days)","To thank"))))</f>
        <v/>
      </c>
      <c r="J83" s="10" t="n"/>
    </row>
    <row r="84">
      <c r="A84" s="10" t="n"/>
      <c r="B84" s="10" t="n"/>
      <c r="C84" s="10" t="n"/>
      <c r="D84" s="12" t="n"/>
      <c r="E84" s="14" t="n"/>
      <c r="F84" s="56" t="n"/>
      <c r="G84" s="12" t="n"/>
      <c r="H84" s="57">
        <f>IF(OR(A84="",D84="",F84="✓"),"",TODAY()-D84)</f>
        <v/>
      </c>
      <c r="I84" s="47">
        <f>IF(A84="","",IF(F84="✓","Thanked",IF(D84="","To thank",IF(TODAY()-D84&gt;21,"Overdue (21+ days)","To thank"))))</f>
        <v/>
      </c>
      <c r="J84" s="10" t="n"/>
    </row>
    <row r="85">
      <c r="A85" s="10" t="n"/>
      <c r="B85" s="10" t="n"/>
      <c r="C85" s="10" t="n"/>
      <c r="D85" s="12" t="n"/>
      <c r="E85" s="14" t="n"/>
      <c r="F85" s="56" t="n"/>
      <c r="G85" s="12" t="n"/>
      <c r="H85" s="57">
        <f>IF(OR(A85="",D85="",F85="✓"),"",TODAY()-D85)</f>
        <v/>
      </c>
      <c r="I85" s="47">
        <f>IF(A85="","",IF(F85="✓","Thanked",IF(D85="","To thank",IF(TODAY()-D85&gt;21,"Overdue (21+ days)","To thank"))))</f>
        <v/>
      </c>
      <c r="J85" s="10" t="n"/>
    </row>
    <row r="86">
      <c r="A86" s="10" t="n"/>
      <c r="B86" s="10" t="n"/>
      <c r="C86" s="10" t="n"/>
      <c r="D86" s="12" t="n"/>
      <c r="E86" s="14" t="n"/>
      <c r="F86" s="56" t="n"/>
      <c r="G86" s="12" t="n"/>
      <c r="H86" s="57">
        <f>IF(OR(A86="",D86="",F86="✓"),"",TODAY()-D86)</f>
        <v/>
      </c>
      <c r="I86" s="47">
        <f>IF(A86="","",IF(F86="✓","Thanked",IF(D86="","To thank",IF(TODAY()-D86&gt;21,"Overdue (21+ days)","To thank"))))</f>
        <v/>
      </c>
      <c r="J86" s="10" t="n"/>
    </row>
    <row r="87">
      <c r="A87" s="10" t="n"/>
      <c r="B87" s="10" t="n"/>
      <c r="C87" s="10" t="n"/>
      <c r="D87" s="12" t="n"/>
      <c r="E87" s="14" t="n"/>
      <c r="F87" s="56" t="n"/>
      <c r="G87" s="12" t="n"/>
      <c r="H87" s="57">
        <f>IF(OR(A87="",D87="",F87="✓"),"",TODAY()-D87)</f>
        <v/>
      </c>
      <c r="I87" s="47">
        <f>IF(A87="","",IF(F87="✓","Thanked",IF(D87="","To thank",IF(TODAY()-D87&gt;21,"Overdue (21+ days)","To thank"))))</f>
        <v/>
      </c>
      <c r="J87" s="10" t="n"/>
    </row>
    <row r="88">
      <c r="A88" s="10" t="n"/>
      <c r="B88" s="10" t="n"/>
      <c r="C88" s="10" t="n"/>
      <c r="D88" s="12" t="n"/>
      <c r="E88" s="14" t="n"/>
      <c r="F88" s="56" t="n"/>
      <c r="G88" s="12" t="n"/>
      <c r="H88" s="57">
        <f>IF(OR(A88="",D88="",F88="✓"),"",TODAY()-D88)</f>
        <v/>
      </c>
      <c r="I88" s="47">
        <f>IF(A88="","",IF(F88="✓","Thanked",IF(D88="","To thank",IF(TODAY()-D88&gt;21,"Overdue (21+ days)","To thank"))))</f>
        <v/>
      </c>
      <c r="J88" s="10" t="n"/>
    </row>
    <row r="89">
      <c r="A89" s="10" t="n"/>
      <c r="B89" s="10" t="n"/>
      <c r="C89" s="10" t="n"/>
      <c r="D89" s="12" t="n"/>
      <c r="E89" s="14" t="n"/>
      <c r="F89" s="56" t="n"/>
      <c r="G89" s="12" t="n"/>
      <c r="H89" s="57">
        <f>IF(OR(A89="",D89="",F89="✓"),"",TODAY()-D89)</f>
        <v/>
      </c>
      <c r="I89" s="47">
        <f>IF(A89="","",IF(F89="✓","Thanked",IF(D89="","To thank",IF(TODAY()-D89&gt;21,"Overdue (21+ days)","To thank"))))</f>
        <v/>
      </c>
      <c r="J89" s="10" t="n"/>
    </row>
    <row r="90">
      <c r="A90" s="10" t="n"/>
      <c r="B90" s="10" t="n"/>
      <c r="C90" s="10" t="n"/>
      <c r="D90" s="12" t="n"/>
      <c r="E90" s="14" t="n"/>
      <c r="F90" s="56" t="n"/>
      <c r="G90" s="12" t="n"/>
      <c r="H90" s="57">
        <f>IF(OR(A90="",D90="",F90="✓"),"",TODAY()-D90)</f>
        <v/>
      </c>
      <c r="I90" s="47">
        <f>IF(A90="","",IF(F90="✓","Thanked",IF(D90="","To thank",IF(TODAY()-D90&gt;21,"Overdue (21+ days)","To thank"))))</f>
        <v/>
      </c>
      <c r="J90" s="10" t="n"/>
    </row>
    <row r="91">
      <c r="A91" s="10" t="n"/>
      <c r="B91" s="10" t="n"/>
      <c r="C91" s="10" t="n"/>
      <c r="D91" s="12" t="n"/>
      <c r="E91" s="14" t="n"/>
      <c r="F91" s="56" t="n"/>
      <c r="G91" s="12" t="n"/>
      <c r="H91" s="57">
        <f>IF(OR(A91="",D91="",F91="✓"),"",TODAY()-D91)</f>
        <v/>
      </c>
      <c r="I91" s="47">
        <f>IF(A91="","",IF(F91="✓","Thanked",IF(D91="","To thank",IF(TODAY()-D91&gt;21,"Overdue (21+ days)","To thank"))))</f>
        <v/>
      </c>
      <c r="J91" s="10" t="n"/>
    </row>
    <row r="92">
      <c r="A92" s="10" t="n"/>
      <c r="B92" s="10" t="n"/>
      <c r="C92" s="10" t="n"/>
      <c r="D92" s="12" t="n"/>
      <c r="E92" s="14" t="n"/>
      <c r="F92" s="56" t="n"/>
      <c r="G92" s="12" t="n"/>
      <c r="H92" s="57">
        <f>IF(OR(A92="",D92="",F92="✓"),"",TODAY()-D92)</f>
        <v/>
      </c>
      <c r="I92" s="47">
        <f>IF(A92="","",IF(F92="✓","Thanked",IF(D92="","To thank",IF(TODAY()-D92&gt;21,"Overdue (21+ days)","To thank"))))</f>
        <v/>
      </c>
      <c r="J92" s="10" t="n"/>
    </row>
    <row r="93">
      <c r="A93" s="10" t="n"/>
      <c r="B93" s="10" t="n"/>
      <c r="C93" s="10" t="n"/>
      <c r="D93" s="12" t="n"/>
      <c r="E93" s="14" t="n"/>
      <c r="F93" s="56" t="n"/>
      <c r="G93" s="12" t="n"/>
      <c r="H93" s="57">
        <f>IF(OR(A93="",D93="",F93="✓"),"",TODAY()-D93)</f>
        <v/>
      </c>
      <c r="I93" s="47">
        <f>IF(A93="","",IF(F93="✓","Thanked",IF(D93="","To thank",IF(TODAY()-D93&gt;21,"Overdue (21+ days)","To thank"))))</f>
        <v/>
      </c>
      <c r="J93" s="10" t="n"/>
    </row>
    <row r="94">
      <c r="A94" s="10" t="n"/>
      <c r="B94" s="10" t="n"/>
      <c r="C94" s="10" t="n"/>
      <c r="D94" s="12" t="n"/>
      <c r="E94" s="14" t="n"/>
      <c r="F94" s="56" t="n"/>
      <c r="G94" s="12" t="n"/>
      <c r="H94" s="57">
        <f>IF(OR(A94="",D94="",F94="✓"),"",TODAY()-D94)</f>
        <v/>
      </c>
      <c r="I94" s="47">
        <f>IF(A94="","",IF(F94="✓","Thanked",IF(D94="","To thank",IF(TODAY()-D94&gt;21,"Overdue (21+ days)","To thank"))))</f>
        <v/>
      </c>
      <c r="J94" s="10" t="n"/>
    </row>
    <row r="95">
      <c r="A95" s="10" t="n"/>
      <c r="B95" s="10" t="n"/>
      <c r="C95" s="10" t="n"/>
      <c r="D95" s="12" t="n"/>
      <c r="E95" s="14" t="n"/>
      <c r="F95" s="56" t="n"/>
      <c r="G95" s="12" t="n"/>
      <c r="H95" s="57">
        <f>IF(OR(A95="",D95="",F95="✓"),"",TODAY()-D95)</f>
        <v/>
      </c>
      <c r="I95" s="47">
        <f>IF(A95="","",IF(F95="✓","Thanked",IF(D95="","To thank",IF(TODAY()-D95&gt;21,"Overdue (21+ days)","To thank"))))</f>
        <v/>
      </c>
      <c r="J95" s="10" t="n"/>
    </row>
    <row r="96">
      <c r="A96" s="10" t="n"/>
      <c r="B96" s="10" t="n"/>
      <c r="C96" s="10" t="n"/>
      <c r="D96" s="12" t="n"/>
      <c r="E96" s="14" t="n"/>
      <c r="F96" s="56" t="n"/>
      <c r="G96" s="12" t="n"/>
      <c r="H96" s="57">
        <f>IF(OR(A96="",D96="",F96="✓"),"",TODAY()-D96)</f>
        <v/>
      </c>
      <c r="I96" s="47">
        <f>IF(A96="","",IF(F96="✓","Thanked",IF(D96="","To thank",IF(TODAY()-D96&gt;21,"Overdue (21+ days)","To thank"))))</f>
        <v/>
      </c>
      <c r="J96" s="10" t="n"/>
    </row>
    <row r="97">
      <c r="A97" s="10" t="n"/>
      <c r="B97" s="10" t="n"/>
      <c r="C97" s="10" t="n"/>
      <c r="D97" s="12" t="n"/>
      <c r="E97" s="14" t="n"/>
      <c r="F97" s="56" t="n"/>
      <c r="G97" s="12" t="n"/>
      <c r="H97" s="57">
        <f>IF(OR(A97="",D97="",F97="✓"),"",TODAY()-D97)</f>
        <v/>
      </c>
      <c r="I97" s="47">
        <f>IF(A97="","",IF(F97="✓","Thanked",IF(D97="","To thank",IF(TODAY()-D97&gt;21,"Overdue (21+ days)","To thank"))))</f>
        <v/>
      </c>
      <c r="J97" s="10" t="n"/>
    </row>
    <row r="98">
      <c r="A98" s="10" t="n"/>
      <c r="B98" s="10" t="n"/>
      <c r="C98" s="10" t="n"/>
      <c r="D98" s="12" t="n"/>
      <c r="E98" s="14" t="n"/>
      <c r="F98" s="56" t="n"/>
      <c r="G98" s="12" t="n"/>
      <c r="H98" s="57">
        <f>IF(OR(A98="",D98="",F98="✓"),"",TODAY()-D98)</f>
        <v/>
      </c>
      <c r="I98" s="47">
        <f>IF(A98="","",IF(F98="✓","Thanked",IF(D98="","To thank",IF(TODAY()-D98&gt;21,"Overdue (21+ days)","To thank"))))</f>
        <v/>
      </c>
      <c r="J98" s="10" t="n"/>
    </row>
    <row r="99">
      <c r="A99" s="10" t="n"/>
      <c r="B99" s="10" t="n"/>
      <c r="C99" s="10" t="n"/>
      <c r="D99" s="12" t="n"/>
      <c r="E99" s="14" t="n"/>
      <c r="F99" s="56" t="n"/>
      <c r="G99" s="12" t="n"/>
      <c r="H99" s="57">
        <f>IF(OR(A99="",D99="",F99="✓"),"",TODAY()-D99)</f>
        <v/>
      </c>
      <c r="I99" s="47">
        <f>IF(A99="","",IF(F99="✓","Thanked",IF(D99="","To thank",IF(TODAY()-D99&gt;21,"Overdue (21+ days)","To thank"))))</f>
        <v/>
      </c>
      <c r="J99" s="10" t="n"/>
    </row>
    <row r="100">
      <c r="A100" s="10" t="n"/>
      <c r="B100" s="10" t="n"/>
      <c r="C100" s="10" t="n"/>
      <c r="D100" s="12" t="n"/>
      <c r="E100" s="14" t="n"/>
      <c r="F100" s="56" t="n"/>
      <c r="G100" s="12" t="n"/>
      <c r="H100" s="57">
        <f>IF(OR(A100="",D100="",F100="✓"),"",TODAY()-D100)</f>
        <v/>
      </c>
      <c r="I100" s="47">
        <f>IF(A100="","",IF(F100="✓","Thanked",IF(D100="","To thank",IF(TODAY()-D100&gt;21,"Overdue (21+ days)","To thank"))))</f>
        <v/>
      </c>
      <c r="J100" s="10" t="n"/>
    </row>
    <row r="101">
      <c r="A101" s="10" t="n"/>
      <c r="B101" s="10" t="n"/>
      <c r="C101" s="10" t="n"/>
      <c r="D101" s="12" t="n"/>
      <c r="E101" s="14" t="n"/>
      <c r="F101" s="56" t="n"/>
      <c r="G101" s="12" t="n"/>
      <c r="H101" s="57">
        <f>IF(OR(A101="",D101="",F101="✓"),"",TODAY()-D101)</f>
        <v/>
      </c>
      <c r="I101" s="47">
        <f>IF(A101="","",IF(F101="✓","Thanked",IF(D101="","To thank",IF(TODAY()-D101&gt;21,"Overdue (21+ days)","To thank"))))</f>
        <v/>
      </c>
      <c r="J101" s="10" t="n"/>
    </row>
    <row r="102">
      <c r="A102" s="10" t="n"/>
      <c r="B102" s="10" t="n"/>
      <c r="C102" s="10" t="n"/>
      <c r="D102" s="12" t="n"/>
      <c r="E102" s="14" t="n"/>
      <c r="F102" s="56" t="n"/>
      <c r="G102" s="12" t="n"/>
      <c r="H102" s="57">
        <f>IF(OR(A102="",D102="",F102="✓"),"",TODAY()-D102)</f>
        <v/>
      </c>
      <c r="I102" s="47">
        <f>IF(A102="","",IF(F102="✓","Thanked",IF(D102="","To thank",IF(TODAY()-D102&gt;21,"Overdue (21+ days)","To thank"))))</f>
        <v/>
      </c>
      <c r="J102" s="10" t="n"/>
    </row>
    <row r="103">
      <c r="A103" s="10" t="n"/>
      <c r="B103" s="10" t="n"/>
      <c r="C103" s="10" t="n"/>
      <c r="D103" s="12" t="n"/>
      <c r="E103" s="14" t="n"/>
      <c r="F103" s="56" t="n"/>
      <c r="G103" s="12" t="n"/>
      <c r="H103" s="57">
        <f>IF(OR(A103="",D103="",F103="✓"),"",TODAY()-D103)</f>
        <v/>
      </c>
      <c r="I103" s="47">
        <f>IF(A103="","",IF(F103="✓","Thanked",IF(D103="","To thank",IF(TODAY()-D103&gt;21,"Overdue (21+ days)","To thank"))))</f>
        <v/>
      </c>
      <c r="J103" s="10" t="n"/>
    </row>
    <row r="104">
      <c r="A104" s="10" t="n"/>
      <c r="B104" s="10" t="n"/>
      <c r="C104" s="10" t="n"/>
      <c r="D104" s="12" t="n"/>
      <c r="E104" s="14" t="n"/>
      <c r="F104" s="56" t="n"/>
      <c r="G104" s="12" t="n"/>
      <c r="H104" s="57">
        <f>IF(OR(A104="",D104="",F104="✓"),"",TODAY()-D104)</f>
        <v/>
      </c>
      <c r="I104" s="47">
        <f>IF(A104="","",IF(F104="✓","Thanked",IF(D104="","To thank",IF(TODAY()-D104&gt;21,"Overdue (21+ days)","To thank"))))</f>
        <v/>
      </c>
      <c r="J104" s="10" t="n"/>
    </row>
    <row r="105">
      <c r="A105" s="10" t="n"/>
      <c r="B105" s="10" t="n"/>
      <c r="C105" s="10" t="n"/>
      <c r="D105" s="12" t="n"/>
      <c r="E105" s="14" t="n"/>
      <c r="F105" s="56" t="n"/>
      <c r="G105" s="12" t="n"/>
      <c r="H105" s="57">
        <f>IF(OR(A105="",D105="",F105="✓"),"",TODAY()-D105)</f>
        <v/>
      </c>
      <c r="I105" s="47">
        <f>IF(A105="","",IF(F105="✓","Thanked",IF(D105="","To thank",IF(TODAY()-D105&gt;21,"Overdue (21+ days)","To thank"))))</f>
        <v/>
      </c>
      <c r="J105" s="10" t="n"/>
    </row>
    <row r="106">
      <c r="A106" s="10" t="n"/>
      <c r="B106" s="10" t="n"/>
      <c r="C106" s="10" t="n"/>
      <c r="D106" s="12" t="n"/>
      <c r="E106" s="14" t="n"/>
      <c r="F106" s="56" t="n"/>
      <c r="G106" s="12" t="n"/>
      <c r="H106" s="57">
        <f>IF(OR(A106="",D106="",F106="✓"),"",TODAY()-D106)</f>
        <v/>
      </c>
      <c r="I106" s="47">
        <f>IF(A106="","",IF(F106="✓","Thanked",IF(D106="","To thank",IF(TODAY()-D106&gt;21,"Overdue (21+ days)","To thank"))))</f>
        <v/>
      </c>
      <c r="J106" s="10" t="n"/>
    </row>
    <row r="107">
      <c r="A107" s="10" t="n"/>
      <c r="B107" s="10" t="n"/>
      <c r="C107" s="10" t="n"/>
      <c r="D107" s="12" t="n"/>
      <c r="E107" s="14" t="n"/>
      <c r="F107" s="56" t="n"/>
      <c r="G107" s="12" t="n"/>
      <c r="H107" s="57">
        <f>IF(OR(A107="",D107="",F107="✓"),"",TODAY()-D107)</f>
        <v/>
      </c>
      <c r="I107" s="47">
        <f>IF(A107="","",IF(F107="✓","Thanked",IF(D107="","To thank",IF(TODAY()-D107&gt;21,"Overdue (21+ days)","To thank"))))</f>
        <v/>
      </c>
      <c r="J107" s="10" t="n"/>
    </row>
    <row r="108">
      <c r="A108" s="10" t="n"/>
      <c r="B108" s="10" t="n"/>
      <c r="C108" s="10" t="n"/>
      <c r="D108" s="12" t="n"/>
      <c r="E108" s="14" t="n"/>
      <c r="F108" s="56" t="n"/>
      <c r="G108" s="12" t="n"/>
      <c r="H108" s="57">
        <f>IF(OR(A108="",D108="",F108="✓"),"",TODAY()-D108)</f>
        <v/>
      </c>
      <c r="I108" s="47">
        <f>IF(A108="","",IF(F108="✓","Thanked",IF(D108="","To thank",IF(TODAY()-D108&gt;21,"Overdue (21+ days)","To thank"))))</f>
        <v/>
      </c>
      <c r="J108" s="10" t="n"/>
    </row>
    <row r="109">
      <c r="A109" s="10" t="n"/>
      <c r="B109" s="10" t="n"/>
      <c r="C109" s="10" t="n"/>
      <c r="D109" s="12" t="n"/>
      <c r="E109" s="14" t="n"/>
      <c r="F109" s="56" t="n"/>
      <c r="G109" s="12" t="n"/>
      <c r="H109" s="57">
        <f>IF(OR(A109="",D109="",F109="✓"),"",TODAY()-D109)</f>
        <v/>
      </c>
      <c r="I109" s="47">
        <f>IF(A109="","",IF(F109="✓","Thanked",IF(D109="","To thank",IF(TODAY()-D109&gt;21,"Overdue (21+ days)","To thank"))))</f>
        <v/>
      </c>
      <c r="J109" s="10" t="n"/>
    </row>
    <row r="110">
      <c r="A110" s="10" t="n"/>
      <c r="B110" s="10" t="n"/>
      <c r="C110" s="10" t="n"/>
      <c r="D110" s="12" t="n"/>
      <c r="E110" s="14" t="n"/>
      <c r="F110" s="56" t="n"/>
      <c r="G110" s="12" t="n"/>
      <c r="H110" s="57">
        <f>IF(OR(A110="",D110="",F110="✓"),"",TODAY()-D110)</f>
        <v/>
      </c>
      <c r="I110" s="47">
        <f>IF(A110="","",IF(F110="✓","Thanked",IF(D110="","To thank",IF(TODAY()-D110&gt;21,"Overdue (21+ days)","To thank"))))</f>
        <v/>
      </c>
      <c r="J110" s="10" t="n"/>
    </row>
    <row r="111">
      <c r="A111" s="10" t="n"/>
      <c r="B111" s="10" t="n"/>
      <c r="C111" s="10" t="n"/>
      <c r="D111" s="12" t="n"/>
      <c r="E111" s="14" t="n"/>
      <c r="F111" s="56" t="n"/>
      <c r="G111" s="12" t="n"/>
      <c r="H111" s="57">
        <f>IF(OR(A111="",D111="",F111="✓"),"",TODAY()-D111)</f>
        <v/>
      </c>
      <c r="I111" s="47">
        <f>IF(A111="","",IF(F111="✓","Thanked",IF(D111="","To thank",IF(TODAY()-D111&gt;21,"Overdue (21+ days)","To thank"))))</f>
        <v/>
      </c>
      <c r="J111" s="10" t="n"/>
    </row>
    <row r="112">
      <c r="A112" s="10" t="n"/>
      <c r="B112" s="10" t="n"/>
      <c r="C112" s="10" t="n"/>
      <c r="D112" s="12" t="n"/>
      <c r="E112" s="14" t="n"/>
      <c r="F112" s="56" t="n"/>
      <c r="G112" s="12" t="n"/>
      <c r="H112" s="57">
        <f>IF(OR(A112="",D112="",F112="✓"),"",TODAY()-D112)</f>
        <v/>
      </c>
      <c r="I112" s="47">
        <f>IF(A112="","",IF(F112="✓","Thanked",IF(D112="","To thank",IF(TODAY()-D112&gt;21,"Overdue (21+ days)","To thank"))))</f>
        <v/>
      </c>
      <c r="J112" s="10" t="n"/>
    </row>
    <row r="113">
      <c r="A113" s="10" t="n"/>
      <c r="B113" s="10" t="n"/>
      <c r="C113" s="10" t="n"/>
      <c r="D113" s="12" t="n"/>
      <c r="E113" s="14" t="n"/>
      <c r="F113" s="56" t="n"/>
      <c r="G113" s="12" t="n"/>
      <c r="H113" s="57">
        <f>IF(OR(A113="",D113="",F113="✓"),"",TODAY()-D113)</f>
        <v/>
      </c>
      <c r="I113" s="47">
        <f>IF(A113="","",IF(F113="✓","Thanked",IF(D113="","To thank",IF(TODAY()-D113&gt;21,"Overdue (21+ days)","To thank"))))</f>
        <v/>
      </c>
      <c r="J113" s="10" t="n"/>
    </row>
    <row r="114">
      <c r="A114" s="10" t="n"/>
      <c r="B114" s="10" t="n"/>
      <c r="C114" s="10" t="n"/>
      <c r="D114" s="12" t="n"/>
      <c r="E114" s="14" t="n"/>
      <c r="F114" s="56" t="n"/>
      <c r="G114" s="12" t="n"/>
      <c r="H114" s="57">
        <f>IF(OR(A114="",D114="",F114="✓"),"",TODAY()-D114)</f>
        <v/>
      </c>
      <c r="I114" s="47">
        <f>IF(A114="","",IF(F114="✓","Thanked",IF(D114="","To thank",IF(TODAY()-D114&gt;21,"Overdue (21+ days)","To thank"))))</f>
        <v/>
      </c>
      <c r="J114" s="10" t="n"/>
    </row>
    <row r="115">
      <c r="A115" s="10" t="n"/>
      <c r="B115" s="10" t="n"/>
      <c r="C115" s="10" t="n"/>
      <c r="D115" s="12" t="n"/>
      <c r="E115" s="14" t="n"/>
      <c r="F115" s="56" t="n"/>
      <c r="G115" s="12" t="n"/>
      <c r="H115" s="57">
        <f>IF(OR(A115="",D115="",F115="✓"),"",TODAY()-D115)</f>
        <v/>
      </c>
      <c r="I115" s="47">
        <f>IF(A115="","",IF(F115="✓","Thanked",IF(D115="","To thank",IF(TODAY()-D115&gt;21,"Overdue (21+ days)","To thank"))))</f>
        <v/>
      </c>
      <c r="J115" s="10" t="n"/>
    </row>
    <row r="116">
      <c r="A116" s="10" t="n"/>
      <c r="B116" s="10" t="n"/>
      <c r="C116" s="10" t="n"/>
      <c r="D116" s="12" t="n"/>
      <c r="E116" s="14" t="n"/>
      <c r="F116" s="56" t="n"/>
      <c r="G116" s="12" t="n"/>
      <c r="H116" s="57">
        <f>IF(OR(A116="",D116="",F116="✓"),"",TODAY()-D116)</f>
        <v/>
      </c>
      <c r="I116" s="47">
        <f>IF(A116="","",IF(F116="✓","Thanked",IF(D116="","To thank",IF(TODAY()-D116&gt;21,"Overdue (21+ days)","To thank"))))</f>
        <v/>
      </c>
      <c r="J116" s="10" t="n"/>
    </row>
    <row r="117">
      <c r="A117" s="10" t="n"/>
      <c r="B117" s="10" t="n"/>
      <c r="C117" s="10" t="n"/>
      <c r="D117" s="12" t="n"/>
      <c r="E117" s="14" t="n"/>
      <c r="F117" s="56" t="n"/>
      <c r="G117" s="12" t="n"/>
      <c r="H117" s="57">
        <f>IF(OR(A117="",D117="",F117="✓"),"",TODAY()-D117)</f>
        <v/>
      </c>
      <c r="I117" s="47">
        <f>IF(A117="","",IF(F117="✓","Thanked",IF(D117="","To thank",IF(TODAY()-D117&gt;21,"Overdue (21+ days)","To thank"))))</f>
        <v/>
      </c>
      <c r="J117" s="10" t="n"/>
    </row>
    <row r="118">
      <c r="A118" s="10" t="n"/>
      <c r="B118" s="10" t="n"/>
      <c r="C118" s="10" t="n"/>
      <c r="D118" s="12" t="n"/>
      <c r="E118" s="14" t="n"/>
      <c r="F118" s="56" t="n"/>
      <c r="G118" s="12" t="n"/>
      <c r="H118" s="57">
        <f>IF(OR(A118="",D118="",F118="✓"),"",TODAY()-D118)</f>
        <v/>
      </c>
      <c r="I118" s="47">
        <f>IF(A118="","",IF(F118="✓","Thanked",IF(D118="","To thank",IF(TODAY()-D118&gt;21,"Overdue (21+ days)","To thank"))))</f>
        <v/>
      </c>
      <c r="J118" s="10" t="n"/>
    </row>
    <row r="119">
      <c r="A119" s="10" t="n"/>
      <c r="B119" s="10" t="n"/>
      <c r="C119" s="10" t="n"/>
      <c r="D119" s="12" t="n"/>
      <c r="E119" s="14" t="n"/>
      <c r="F119" s="56" t="n"/>
      <c r="G119" s="12" t="n"/>
      <c r="H119" s="57">
        <f>IF(OR(A119="",D119="",F119="✓"),"",TODAY()-D119)</f>
        <v/>
      </c>
      <c r="I119" s="47">
        <f>IF(A119="","",IF(F119="✓","Thanked",IF(D119="","To thank",IF(TODAY()-D119&gt;21,"Overdue (21+ days)","To thank"))))</f>
        <v/>
      </c>
      <c r="J119" s="10" t="n"/>
    </row>
    <row r="120">
      <c r="A120" s="10" t="n"/>
      <c r="B120" s="10" t="n"/>
      <c r="C120" s="10" t="n"/>
      <c r="D120" s="12" t="n"/>
      <c r="E120" s="14" t="n"/>
      <c r="F120" s="56" t="n"/>
      <c r="G120" s="12" t="n"/>
      <c r="H120" s="57">
        <f>IF(OR(A120="",D120="",F120="✓"),"",TODAY()-D120)</f>
        <v/>
      </c>
      <c r="I120" s="47">
        <f>IF(A120="","",IF(F120="✓","Thanked",IF(D120="","To thank",IF(TODAY()-D120&gt;21,"Overdue (21+ days)","To thank"))))</f>
        <v/>
      </c>
      <c r="J120" s="10" t="n"/>
    </row>
    <row r="121">
      <c r="A121" s="10" t="n"/>
      <c r="B121" s="10" t="n"/>
      <c r="C121" s="10" t="n"/>
      <c r="D121" s="12" t="n"/>
      <c r="E121" s="14" t="n"/>
      <c r="F121" s="56" t="n"/>
      <c r="G121" s="12" t="n"/>
      <c r="H121" s="57">
        <f>IF(OR(A121="",D121="",F121="✓"),"",TODAY()-D121)</f>
        <v/>
      </c>
      <c r="I121" s="47">
        <f>IF(A121="","",IF(F121="✓","Thanked",IF(D121="","To thank",IF(TODAY()-D121&gt;21,"Overdue (21+ days)","To thank"))))</f>
        <v/>
      </c>
      <c r="J121" s="10" t="n"/>
    </row>
    <row r="122">
      <c r="A122" s="10" t="n"/>
      <c r="B122" s="10" t="n"/>
      <c r="C122" s="10" t="n"/>
      <c r="D122" s="12" t="n"/>
      <c r="E122" s="14" t="n"/>
      <c r="F122" s="56" t="n"/>
      <c r="G122" s="12" t="n"/>
      <c r="H122" s="57">
        <f>IF(OR(A122="",D122="",F122="✓"),"",TODAY()-D122)</f>
        <v/>
      </c>
      <c r="I122" s="47">
        <f>IF(A122="","",IF(F122="✓","Thanked",IF(D122="","To thank",IF(TODAY()-D122&gt;21,"Overdue (21+ days)","To thank"))))</f>
        <v/>
      </c>
      <c r="J122" s="10" t="n"/>
    </row>
    <row r="123">
      <c r="A123" s="10" t="n"/>
      <c r="B123" s="10" t="n"/>
      <c r="C123" s="10" t="n"/>
      <c r="D123" s="12" t="n"/>
      <c r="E123" s="14" t="n"/>
      <c r="F123" s="56" t="n"/>
      <c r="G123" s="12" t="n"/>
      <c r="H123" s="57">
        <f>IF(OR(A123="",D123="",F123="✓"),"",TODAY()-D123)</f>
        <v/>
      </c>
      <c r="I123" s="47">
        <f>IF(A123="","",IF(F123="✓","Thanked",IF(D123="","To thank",IF(TODAY()-D123&gt;21,"Overdue (21+ days)","To thank"))))</f>
        <v/>
      </c>
      <c r="J123" s="10" t="n"/>
    </row>
    <row r="124">
      <c r="A124" s="10" t="n"/>
      <c r="B124" s="10" t="n"/>
      <c r="C124" s="10" t="n"/>
      <c r="D124" s="12" t="n"/>
      <c r="E124" s="14" t="n"/>
      <c r="F124" s="56" t="n"/>
      <c r="G124" s="12" t="n"/>
      <c r="H124" s="57">
        <f>IF(OR(A124="",D124="",F124="✓"),"",TODAY()-D124)</f>
        <v/>
      </c>
      <c r="I124" s="47">
        <f>IF(A124="","",IF(F124="✓","Thanked",IF(D124="","To thank",IF(TODAY()-D124&gt;21,"Overdue (21+ days)","To thank"))))</f>
        <v/>
      </c>
      <c r="J124" s="10" t="n"/>
    </row>
    <row r="125">
      <c r="A125" s="10" t="n"/>
      <c r="B125" s="10" t="n"/>
      <c r="C125" s="10" t="n"/>
      <c r="D125" s="12" t="n"/>
      <c r="E125" s="14" t="n"/>
      <c r="F125" s="56" t="n"/>
      <c r="G125" s="12" t="n"/>
      <c r="H125" s="57">
        <f>IF(OR(A125="",D125="",F125="✓"),"",TODAY()-D125)</f>
        <v/>
      </c>
      <c r="I125" s="47">
        <f>IF(A125="","",IF(F125="✓","Thanked",IF(D125="","To thank",IF(TODAY()-D125&gt;21,"Overdue (21+ days)","To thank"))))</f>
        <v/>
      </c>
      <c r="J125" s="10" t="n"/>
    </row>
    <row r="126">
      <c r="A126" s="10" t="n"/>
      <c r="B126" s="10" t="n"/>
      <c r="C126" s="10" t="n"/>
      <c r="D126" s="12" t="n"/>
      <c r="E126" s="14" t="n"/>
      <c r="F126" s="56" t="n"/>
      <c r="G126" s="12" t="n"/>
      <c r="H126" s="57">
        <f>IF(OR(A126="",D126="",F126="✓"),"",TODAY()-D126)</f>
        <v/>
      </c>
      <c r="I126" s="47">
        <f>IF(A126="","",IF(F126="✓","Thanked",IF(D126="","To thank",IF(TODAY()-D126&gt;21,"Overdue (21+ days)","To thank"))))</f>
        <v/>
      </c>
      <c r="J126" s="10" t="n"/>
    </row>
    <row r="127">
      <c r="A127" s="10" t="n"/>
      <c r="B127" s="10" t="n"/>
      <c r="C127" s="10" t="n"/>
      <c r="D127" s="12" t="n"/>
      <c r="E127" s="14" t="n"/>
      <c r="F127" s="56" t="n"/>
      <c r="G127" s="12" t="n"/>
      <c r="H127" s="57">
        <f>IF(OR(A127="",D127="",F127="✓"),"",TODAY()-D127)</f>
        <v/>
      </c>
      <c r="I127" s="47">
        <f>IF(A127="","",IF(F127="✓","Thanked",IF(D127="","To thank",IF(TODAY()-D127&gt;21,"Overdue (21+ days)","To thank"))))</f>
        <v/>
      </c>
      <c r="J127" s="10" t="n"/>
    </row>
    <row r="128">
      <c r="A128" s="10" t="n"/>
      <c r="B128" s="10" t="n"/>
      <c r="C128" s="10" t="n"/>
      <c r="D128" s="12" t="n"/>
      <c r="E128" s="14" t="n"/>
      <c r="F128" s="56" t="n"/>
      <c r="G128" s="12" t="n"/>
      <c r="H128" s="57">
        <f>IF(OR(A128="",D128="",F128="✓"),"",TODAY()-D128)</f>
        <v/>
      </c>
      <c r="I128" s="47">
        <f>IF(A128="","",IF(F128="✓","Thanked",IF(D128="","To thank",IF(TODAY()-D128&gt;21,"Overdue (21+ days)","To thank"))))</f>
        <v/>
      </c>
      <c r="J128" s="10" t="n"/>
    </row>
    <row r="129">
      <c r="A129" s="10" t="n"/>
      <c r="B129" s="10" t="n"/>
      <c r="C129" s="10" t="n"/>
      <c r="D129" s="12" t="n"/>
      <c r="E129" s="14" t="n"/>
      <c r="F129" s="56" t="n"/>
      <c r="G129" s="12" t="n"/>
      <c r="H129" s="57">
        <f>IF(OR(A129="",D129="",F129="✓"),"",TODAY()-D129)</f>
        <v/>
      </c>
      <c r="I129" s="47">
        <f>IF(A129="","",IF(F129="✓","Thanked",IF(D129="","To thank",IF(TODAY()-D129&gt;21,"Overdue (21+ days)","To thank"))))</f>
        <v/>
      </c>
      <c r="J129" s="10" t="n"/>
    </row>
    <row r="130">
      <c r="A130" s="10" t="n"/>
      <c r="B130" s="10" t="n"/>
      <c r="C130" s="10" t="n"/>
      <c r="D130" s="12" t="n"/>
      <c r="E130" s="14" t="n"/>
      <c r="F130" s="56" t="n"/>
      <c r="G130" s="12" t="n"/>
      <c r="H130" s="57">
        <f>IF(OR(A130="",D130="",F130="✓"),"",TODAY()-D130)</f>
        <v/>
      </c>
      <c r="I130" s="47">
        <f>IF(A130="","",IF(F130="✓","Thanked",IF(D130="","To thank",IF(TODAY()-D130&gt;21,"Overdue (21+ days)","To thank"))))</f>
        <v/>
      </c>
      <c r="J130" s="10" t="n"/>
    </row>
    <row r="131">
      <c r="A131" s="10" t="n"/>
      <c r="B131" s="10" t="n"/>
      <c r="C131" s="10" t="n"/>
      <c r="D131" s="12" t="n"/>
      <c r="E131" s="14" t="n"/>
      <c r="F131" s="56" t="n"/>
      <c r="G131" s="12" t="n"/>
      <c r="H131" s="57">
        <f>IF(OR(A131="",D131="",F131="✓"),"",TODAY()-D131)</f>
        <v/>
      </c>
      <c r="I131" s="47">
        <f>IF(A131="","",IF(F131="✓","Thanked",IF(D131="","To thank",IF(TODAY()-D131&gt;21,"Overdue (21+ days)","To thank"))))</f>
        <v/>
      </c>
      <c r="J131" s="10" t="n"/>
    </row>
    <row r="132">
      <c r="A132" s="10" t="n"/>
      <c r="B132" s="10" t="n"/>
      <c r="C132" s="10" t="n"/>
      <c r="D132" s="12" t="n"/>
      <c r="E132" s="14" t="n"/>
      <c r="F132" s="56" t="n"/>
      <c r="G132" s="12" t="n"/>
      <c r="H132" s="57">
        <f>IF(OR(A132="",D132="",F132="✓"),"",TODAY()-D132)</f>
        <v/>
      </c>
      <c r="I132" s="47">
        <f>IF(A132="","",IF(F132="✓","Thanked",IF(D132="","To thank",IF(TODAY()-D132&gt;21,"Overdue (21+ days)","To thank"))))</f>
        <v/>
      </c>
      <c r="J132" s="10" t="n"/>
    </row>
    <row r="133">
      <c r="A133" s="10" t="n"/>
      <c r="B133" s="10" t="n"/>
      <c r="C133" s="10" t="n"/>
      <c r="D133" s="12" t="n"/>
      <c r="E133" s="14" t="n"/>
      <c r="F133" s="56" t="n"/>
      <c r="G133" s="12" t="n"/>
      <c r="H133" s="57">
        <f>IF(OR(A133="",D133="",F133="✓"),"",TODAY()-D133)</f>
        <v/>
      </c>
      <c r="I133" s="47">
        <f>IF(A133="","",IF(F133="✓","Thanked",IF(D133="","To thank",IF(TODAY()-D133&gt;21,"Overdue (21+ days)","To thank"))))</f>
        <v/>
      </c>
      <c r="J133" s="10" t="n"/>
    </row>
    <row r="134">
      <c r="A134" s="10" t="n"/>
      <c r="B134" s="10" t="n"/>
      <c r="C134" s="10" t="n"/>
      <c r="D134" s="12" t="n"/>
      <c r="E134" s="14" t="n"/>
      <c r="F134" s="56" t="n"/>
      <c r="G134" s="12" t="n"/>
      <c r="H134" s="57">
        <f>IF(OR(A134="",D134="",F134="✓"),"",TODAY()-D134)</f>
        <v/>
      </c>
      <c r="I134" s="47">
        <f>IF(A134="","",IF(F134="✓","Thanked",IF(D134="","To thank",IF(TODAY()-D134&gt;21,"Overdue (21+ days)","To thank"))))</f>
        <v/>
      </c>
      <c r="J134" s="10" t="n"/>
    </row>
    <row r="135">
      <c r="A135" s="10" t="n"/>
      <c r="B135" s="10" t="n"/>
      <c r="C135" s="10" t="n"/>
      <c r="D135" s="12" t="n"/>
      <c r="E135" s="14" t="n"/>
      <c r="F135" s="56" t="n"/>
      <c r="G135" s="12" t="n"/>
      <c r="H135" s="57">
        <f>IF(OR(A135="",D135="",F135="✓"),"",TODAY()-D135)</f>
        <v/>
      </c>
      <c r="I135" s="47">
        <f>IF(A135="","",IF(F135="✓","Thanked",IF(D135="","To thank",IF(TODAY()-D135&gt;21,"Overdue (21+ days)","To thank"))))</f>
        <v/>
      </c>
      <c r="J135" s="10" t="n"/>
    </row>
    <row r="136">
      <c r="A136" s="10" t="n"/>
      <c r="B136" s="10" t="n"/>
      <c r="C136" s="10" t="n"/>
      <c r="D136" s="12" t="n"/>
      <c r="E136" s="14" t="n"/>
      <c r="F136" s="56" t="n"/>
      <c r="G136" s="12" t="n"/>
      <c r="H136" s="57">
        <f>IF(OR(A136="",D136="",F136="✓"),"",TODAY()-D136)</f>
        <v/>
      </c>
      <c r="I136" s="47">
        <f>IF(A136="","",IF(F136="✓","Thanked",IF(D136="","To thank",IF(TODAY()-D136&gt;21,"Overdue (21+ days)","To thank"))))</f>
        <v/>
      </c>
      <c r="J136" s="10" t="n"/>
    </row>
    <row r="137">
      <c r="A137" s="10" t="n"/>
      <c r="B137" s="10" t="n"/>
      <c r="C137" s="10" t="n"/>
      <c r="D137" s="12" t="n"/>
      <c r="E137" s="14" t="n"/>
      <c r="F137" s="56" t="n"/>
      <c r="G137" s="12" t="n"/>
      <c r="H137" s="57">
        <f>IF(OR(A137="",D137="",F137="✓"),"",TODAY()-D137)</f>
        <v/>
      </c>
      <c r="I137" s="47">
        <f>IF(A137="","",IF(F137="✓","Thanked",IF(D137="","To thank",IF(TODAY()-D137&gt;21,"Overdue (21+ days)","To thank"))))</f>
        <v/>
      </c>
      <c r="J137" s="10" t="n"/>
    </row>
    <row r="138">
      <c r="A138" s="10" t="n"/>
      <c r="B138" s="10" t="n"/>
      <c r="C138" s="10" t="n"/>
      <c r="D138" s="12" t="n"/>
      <c r="E138" s="14" t="n"/>
      <c r="F138" s="56" t="n"/>
      <c r="G138" s="12" t="n"/>
      <c r="H138" s="57">
        <f>IF(OR(A138="",D138="",F138="✓"),"",TODAY()-D138)</f>
        <v/>
      </c>
      <c r="I138" s="47">
        <f>IF(A138="","",IF(F138="✓","Thanked",IF(D138="","To thank",IF(TODAY()-D138&gt;21,"Overdue (21+ days)","To thank"))))</f>
        <v/>
      </c>
      <c r="J138" s="10" t="n"/>
    </row>
    <row r="139">
      <c r="A139" s="10" t="n"/>
      <c r="B139" s="10" t="n"/>
      <c r="C139" s="10" t="n"/>
      <c r="D139" s="12" t="n"/>
      <c r="E139" s="14" t="n"/>
      <c r="F139" s="56" t="n"/>
      <c r="G139" s="12" t="n"/>
      <c r="H139" s="57">
        <f>IF(OR(A139="",D139="",F139="✓"),"",TODAY()-D139)</f>
        <v/>
      </c>
      <c r="I139" s="47">
        <f>IF(A139="","",IF(F139="✓","Thanked",IF(D139="","To thank",IF(TODAY()-D139&gt;21,"Overdue (21+ days)","To thank"))))</f>
        <v/>
      </c>
      <c r="J139" s="10" t="n"/>
    </row>
    <row r="140">
      <c r="A140" s="10" t="n"/>
      <c r="B140" s="10" t="n"/>
      <c r="C140" s="10" t="n"/>
      <c r="D140" s="12" t="n"/>
      <c r="E140" s="14" t="n"/>
      <c r="F140" s="56" t="n"/>
      <c r="G140" s="12" t="n"/>
      <c r="H140" s="57">
        <f>IF(OR(A140="",D140="",F140="✓"),"",TODAY()-D140)</f>
        <v/>
      </c>
      <c r="I140" s="47">
        <f>IF(A140="","",IF(F140="✓","Thanked",IF(D140="","To thank",IF(TODAY()-D140&gt;21,"Overdue (21+ days)","To thank"))))</f>
        <v/>
      </c>
      <c r="J140" s="10" t="n"/>
    </row>
    <row r="141">
      <c r="A141" s="10" t="n"/>
      <c r="B141" s="10" t="n"/>
      <c r="C141" s="10" t="n"/>
      <c r="D141" s="12" t="n"/>
      <c r="E141" s="14" t="n"/>
      <c r="F141" s="56" t="n"/>
      <c r="G141" s="12" t="n"/>
      <c r="H141" s="57">
        <f>IF(OR(A141="",D141="",F141="✓"),"",TODAY()-D141)</f>
        <v/>
      </c>
      <c r="I141" s="47">
        <f>IF(A141="","",IF(F141="✓","Thanked",IF(D141="","To thank",IF(TODAY()-D141&gt;21,"Overdue (21+ days)","To thank"))))</f>
        <v/>
      </c>
      <c r="J141" s="10" t="n"/>
    </row>
    <row r="142">
      <c r="A142" s="10" t="n"/>
      <c r="B142" s="10" t="n"/>
      <c r="C142" s="10" t="n"/>
      <c r="D142" s="12" t="n"/>
      <c r="E142" s="14" t="n"/>
      <c r="F142" s="56" t="n"/>
      <c r="G142" s="12" t="n"/>
      <c r="H142" s="57">
        <f>IF(OR(A142="",D142="",F142="✓"),"",TODAY()-D142)</f>
        <v/>
      </c>
      <c r="I142" s="47">
        <f>IF(A142="","",IF(F142="✓","Thanked",IF(D142="","To thank",IF(TODAY()-D142&gt;21,"Overdue (21+ days)","To thank"))))</f>
        <v/>
      </c>
      <c r="J142" s="10" t="n"/>
    </row>
    <row r="143">
      <c r="A143" s="10" t="n"/>
      <c r="B143" s="10" t="n"/>
      <c r="C143" s="10" t="n"/>
      <c r="D143" s="12" t="n"/>
      <c r="E143" s="14" t="n"/>
      <c r="F143" s="56" t="n"/>
      <c r="G143" s="12" t="n"/>
      <c r="H143" s="57">
        <f>IF(OR(A143="",D143="",F143="✓"),"",TODAY()-D143)</f>
        <v/>
      </c>
      <c r="I143" s="47">
        <f>IF(A143="","",IF(F143="✓","Thanked",IF(D143="","To thank",IF(TODAY()-D143&gt;21,"Overdue (21+ days)","To thank"))))</f>
        <v/>
      </c>
      <c r="J143" s="10" t="n"/>
    </row>
    <row r="144">
      <c r="A144" s="10" t="n"/>
      <c r="B144" s="10" t="n"/>
      <c r="C144" s="10" t="n"/>
      <c r="D144" s="12" t="n"/>
      <c r="E144" s="14" t="n"/>
      <c r="F144" s="56" t="n"/>
      <c r="G144" s="12" t="n"/>
      <c r="H144" s="57">
        <f>IF(OR(A144="",D144="",F144="✓"),"",TODAY()-D144)</f>
        <v/>
      </c>
      <c r="I144" s="47">
        <f>IF(A144="","",IF(F144="✓","Thanked",IF(D144="","To thank",IF(TODAY()-D144&gt;21,"Overdue (21+ days)","To thank"))))</f>
        <v/>
      </c>
      <c r="J144" s="10" t="n"/>
    </row>
    <row r="145">
      <c r="A145" s="10" t="n"/>
      <c r="B145" s="10" t="n"/>
      <c r="C145" s="10" t="n"/>
      <c r="D145" s="12" t="n"/>
      <c r="E145" s="14" t="n"/>
      <c r="F145" s="56" t="n"/>
      <c r="G145" s="12" t="n"/>
      <c r="H145" s="57">
        <f>IF(OR(A145="",D145="",F145="✓"),"",TODAY()-D145)</f>
        <v/>
      </c>
      <c r="I145" s="47">
        <f>IF(A145="","",IF(F145="✓","Thanked",IF(D145="","To thank",IF(TODAY()-D145&gt;21,"Overdue (21+ days)","To thank"))))</f>
        <v/>
      </c>
      <c r="J145" s="10" t="n"/>
    </row>
    <row r="146">
      <c r="A146" s="10" t="n"/>
      <c r="B146" s="10" t="n"/>
      <c r="C146" s="10" t="n"/>
      <c r="D146" s="12" t="n"/>
      <c r="E146" s="14" t="n"/>
      <c r="F146" s="56" t="n"/>
      <c r="G146" s="12" t="n"/>
      <c r="H146" s="57">
        <f>IF(OR(A146="",D146="",F146="✓"),"",TODAY()-D146)</f>
        <v/>
      </c>
      <c r="I146" s="47">
        <f>IF(A146="","",IF(F146="✓","Thanked",IF(D146="","To thank",IF(TODAY()-D146&gt;21,"Overdue (21+ days)","To thank"))))</f>
        <v/>
      </c>
      <c r="J146" s="10" t="n"/>
    </row>
    <row r="147">
      <c r="A147" s="10" t="n"/>
      <c r="B147" s="10" t="n"/>
      <c r="C147" s="10" t="n"/>
      <c r="D147" s="12" t="n"/>
      <c r="E147" s="14" t="n"/>
      <c r="F147" s="56" t="n"/>
      <c r="G147" s="12" t="n"/>
      <c r="H147" s="57">
        <f>IF(OR(A147="",D147="",F147="✓"),"",TODAY()-D147)</f>
        <v/>
      </c>
      <c r="I147" s="47">
        <f>IF(A147="","",IF(F147="✓","Thanked",IF(D147="","To thank",IF(TODAY()-D147&gt;21,"Overdue (21+ days)","To thank"))))</f>
        <v/>
      </c>
      <c r="J147" s="10" t="n"/>
    </row>
    <row r="148">
      <c r="A148" s="10" t="n"/>
      <c r="B148" s="10" t="n"/>
      <c r="C148" s="10" t="n"/>
      <c r="D148" s="12" t="n"/>
      <c r="E148" s="14" t="n"/>
      <c r="F148" s="56" t="n"/>
      <c r="G148" s="12" t="n"/>
      <c r="H148" s="57">
        <f>IF(OR(A148="",D148="",F148="✓"),"",TODAY()-D148)</f>
        <v/>
      </c>
      <c r="I148" s="47">
        <f>IF(A148="","",IF(F148="✓","Thanked",IF(D148="","To thank",IF(TODAY()-D148&gt;21,"Overdue (21+ days)","To thank"))))</f>
        <v/>
      </c>
      <c r="J148" s="10" t="n"/>
    </row>
    <row r="149">
      <c r="A149" s="10" t="n"/>
      <c r="B149" s="10" t="n"/>
      <c r="C149" s="10" t="n"/>
      <c r="D149" s="12" t="n"/>
      <c r="E149" s="14" t="n"/>
      <c r="F149" s="56" t="n"/>
      <c r="G149" s="12" t="n"/>
      <c r="H149" s="57">
        <f>IF(OR(A149="",D149="",F149="✓"),"",TODAY()-D149)</f>
        <v/>
      </c>
      <c r="I149" s="47">
        <f>IF(A149="","",IF(F149="✓","Thanked",IF(D149="","To thank",IF(TODAY()-D149&gt;21,"Overdue (21+ days)","To thank"))))</f>
        <v/>
      </c>
      <c r="J149" s="10" t="n"/>
    </row>
    <row r="150">
      <c r="A150" s="10" t="n"/>
      <c r="B150" s="10" t="n"/>
      <c r="C150" s="10" t="n"/>
      <c r="D150" s="12" t="n"/>
      <c r="E150" s="14" t="n"/>
      <c r="F150" s="56" t="n"/>
      <c r="G150" s="12" t="n"/>
      <c r="H150" s="57">
        <f>IF(OR(A150="",D150="",F150="✓"),"",TODAY()-D150)</f>
        <v/>
      </c>
      <c r="I150" s="47">
        <f>IF(A150="","",IF(F150="✓","Thanked",IF(D150="","To thank",IF(TODAY()-D150&gt;21,"Overdue (21+ days)","To thank"))))</f>
        <v/>
      </c>
      <c r="J150" s="10" t="n"/>
    </row>
    <row r="151">
      <c r="A151" s="10" t="n"/>
      <c r="B151" s="10" t="n"/>
      <c r="C151" s="10" t="n"/>
      <c r="D151" s="12" t="n"/>
      <c r="E151" s="14" t="n"/>
      <c r="F151" s="56" t="n"/>
      <c r="G151" s="12" t="n"/>
      <c r="H151" s="57">
        <f>IF(OR(A151="",D151="",F151="✓"),"",TODAY()-D151)</f>
        <v/>
      </c>
      <c r="I151" s="47">
        <f>IF(A151="","",IF(F151="✓","Thanked",IF(D151="","To thank",IF(TODAY()-D151&gt;21,"Overdue (21+ days)","To thank"))))</f>
        <v/>
      </c>
      <c r="J151" s="10" t="n"/>
    </row>
    <row r="152">
      <c r="A152" s="10" t="n"/>
      <c r="B152" s="10" t="n"/>
      <c r="C152" s="10" t="n"/>
      <c r="D152" s="12" t="n"/>
      <c r="E152" s="14" t="n"/>
      <c r="F152" s="56" t="n"/>
      <c r="G152" s="12" t="n"/>
      <c r="H152" s="57">
        <f>IF(OR(A152="",D152="",F152="✓"),"",TODAY()-D152)</f>
        <v/>
      </c>
      <c r="I152" s="47">
        <f>IF(A152="","",IF(F152="✓","Thanked",IF(D152="","To thank",IF(TODAY()-D152&gt;21,"Overdue (21+ days)","To thank"))))</f>
        <v/>
      </c>
      <c r="J152" s="10" t="n"/>
    </row>
    <row r="153">
      <c r="A153" s="10" t="n"/>
      <c r="B153" s="10" t="n"/>
      <c r="C153" s="10" t="n"/>
      <c r="D153" s="12" t="n"/>
      <c r="E153" s="14" t="n"/>
      <c r="F153" s="56" t="n"/>
      <c r="G153" s="12" t="n"/>
      <c r="H153" s="57">
        <f>IF(OR(A153="",D153="",F153="✓"),"",TODAY()-D153)</f>
        <v/>
      </c>
      <c r="I153" s="47">
        <f>IF(A153="","",IF(F153="✓","Thanked",IF(D153="","To thank",IF(TODAY()-D153&gt;21,"Overdue (21+ days)","To thank"))))</f>
        <v/>
      </c>
      <c r="J153" s="10" t="n"/>
    </row>
    <row r="154">
      <c r="A154" s="10" t="n"/>
      <c r="B154" s="10" t="n"/>
      <c r="C154" s="10" t="n"/>
      <c r="D154" s="12" t="n"/>
      <c r="E154" s="14" t="n"/>
      <c r="F154" s="56" t="n"/>
      <c r="G154" s="12" t="n"/>
      <c r="H154" s="57">
        <f>IF(OR(A154="",D154="",F154="✓"),"",TODAY()-D154)</f>
        <v/>
      </c>
      <c r="I154" s="47">
        <f>IF(A154="","",IF(F154="✓","Thanked",IF(D154="","To thank",IF(TODAY()-D154&gt;21,"Overdue (21+ days)","To thank"))))</f>
        <v/>
      </c>
      <c r="J154" s="10" t="n"/>
    </row>
    <row r="155">
      <c r="A155" s="10" t="n"/>
      <c r="B155" s="10" t="n"/>
      <c r="C155" s="10" t="n"/>
      <c r="D155" s="12" t="n"/>
      <c r="E155" s="14" t="n"/>
      <c r="F155" s="56" t="n"/>
      <c r="G155" s="12" t="n"/>
      <c r="H155" s="57">
        <f>IF(OR(A155="",D155="",F155="✓"),"",TODAY()-D155)</f>
        <v/>
      </c>
      <c r="I155" s="47">
        <f>IF(A155="","",IF(F155="✓","Thanked",IF(D155="","To thank",IF(TODAY()-D155&gt;21,"Overdue (21+ days)","To thank"))))</f>
        <v/>
      </c>
      <c r="J155" s="10" t="n"/>
    </row>
    <row r="156">
      <c r="A156" s="10" t="n"/>
      <c r="B156" s="10" t="n"/>
      <c r="C156" s="10" t="n"/>
      <c r="D156" s="12" t="n"/>
      <c r="E156" s="14" t="n"/>
      <c r="F156" s="56" t="n"/>
      <c r="G156" s="12" t="n"/>
      <c r="H156" s="57">
        <f>IF(OR(A156="",D156="",F156="✓"),"",TODAY()-D156)</f>
        <v/>
      </c>
      <c r="I156" s="47">
        <f>IF(A156="","",IF(F156="✓","Thanked",IF(D156="","To thank",IF(TODAY()-D156&gt;21,"Overdue (21+ days)","To thank"))))</f>
        <v/>
      </c>
      <c r="J156" s="10" t="n"/>
    </row>
    <row r="157">
      <c r="A157" s="10" t="n"/>
      <c r="B157" s="10" t="n"/>
      <c r="C157" s="10" t="n"/>
      <c r="D157" s="12" t="n"/>
      <c r="E157" s="14" t="n"/>
      <c r="F157" s="56" t="n"/>
      <c r="G157" s="12" t="n"/>
      <c r="H157" s="57">
        <f>IF(OR(A157="",D157="",F157="✓"),"",TODAY()-D157)</f>
        <v/>
      </c>
      <c r="I157" s="47">
        <f>IF(A157="","",IF(F157="✓","Thanked",IF(D157="","To thank",IF(TODAY()-D157&gt;21,"Overdue (21+ days)","To thank"))))</f>
        <v/>
      </c>
      <c r="J157" s="10" t="n"/>
    </row>
    <row r="158">
      <c r="A158" s="10" t="n"/>
      <c r="B158" s="10" t="n"/>
      <c r="C158" s="10" t="n"/>
      <c r="D158" s="12" t="n"/>
      <c r="E158" s="14" t="n"/>
      <c r="F158" s="56" t="n"/>
      <c r="G158" s="12" t="n"/>
      <c r="H158" s="57">
        <f>IF(OR(A158="",D158="",F158="✓"),"",TODAY()-D158)</f>
        <v/>
      </c>
      <c r="I158" s="47">
        <f>IF(A158="","",IF(F158="✓","Thanked",IF(D158="","To thank",IF(TODAY()-D158&gt;21,"Overdue (21+ days)","To thank"))))</f>
        <v/>
      </c>
      <c r="J158" s="10" t="n"/>
    </row>
    <row r="159">
      <c r="A159" s="10" t="n"/>
      <c r="B159" s="10" t="n"/>
      <c r="C159" s="10" t="n"/>
      <c r="D159" s="12" t="n"/>
      <c r="E159" s="14" t="n"/>
      <c r="F159" s="56" t="n"/>
      <c r="G159" s="12" t="n"/>
      <c r="H159" s="57">
        <f>IF(OR(A159="",D159="",F159="✓"),"",TODAY()-D159)</f>
        <v/>
      </c>
      <c r="I159" s="47">
        <f>IF(A159="","",IF(F159="✓","Thanked",IF(D159="","To thank",IF(TODAY()-D159&gt;21,"Overdue (21+ days)","To thank"))))</f>
        <v/>
      </c>
      <c r="J159" s="10" t="n"/>
    </row>
    <row r="160">
      <c r="A160" s="10" t="n"/>
      <c r="B160" s="10" t="n"/>
      <c r="C160" s="10" t="n"/>
      <c r="D160" s="12" t="n"/>
      <c r="E160" s="14" t="n"/>
      <c r="F160" s="56" t="n"/>
      <c r="G160" s="12" t="n"/>
      <c r="H160" s="57">
        <f>IF(OR(A160="",D160="",F160="✓"),"",TODAY()-D160)</f>
        <v/>
      </c>
      <c r="I160" s="47">
        <f>IF(A160="","",IF(F160="✓","Thanked",IF(D160="","To thank",IF(TODAY()-D160&gt;21,"Overdue (21+ days)","To thank"))))</f>
        <v/>
      </c>
      <c r="J160" s="10" t="n"/>
    </row>
    <row r="161">
      <c r="A161" s="10" t="n"/>
      <c r="B161" s="10" t="n"/>
      <c r="C161" s="10" t="n"/>
      <c r="D161" s="12" t="n"/>
      <c r="E161" s="14" t="n"/>
      <c r="F161" s="56" t="n"/>
      <c r="G161" s="12" t="n"/>
      <c r="H161" s="57">
        <f>IF(OR(A161="",D161="",F161="✓"),"",TODAY()-D161)</f>
        <v/>
      </c>
      <c r="I161" s="47">
        <f>IF(A161="","",IF(F161="✓","Thanked",IF(D161="","To thank",IF(TODAY()-D161&gt;21,"Overdue (21+ days)","To thank"))))</f>
        <v/>
      </c>
      <c r="J161" s="10" t="n"/>
    </row>
    <row r="162">
      <c r="A162" s="10" t="n"/>
      <c r="B162" s="10" t="n"/>
      <c r="C162" s="10" t="n"/>
      <c r="D162" s="12" t="n"/>
      <c r="E162" s="14" t="n"/>
      <c r="F162" s="56" t="n"/>
      <c r="G162" s="12" t="n"/>
      <c r="H162" s="57">
        <f>IF(OR(A162="",D162="",F162="✓"),"",TODAY()-D162)</f>
        <v/>
      </c>
      <c r="I162" s="47">
        <f>IF(A162="","",IF(F162="✓","Thanked",IF(D162="","To thank",IF(TODAY()-D162&gt;21,"Overdue (21+ days)","To thank"))))</f>
        <v/>
      </c>
      <c r="J162" s="10" t="n"/>
    </row>
    <row r="163">
      <c r="A163" s="10" t="n"/>
      <c r="B163" s="10" t="n"/>
      <c r="C163" s="10" t="n"/>
      <c r="D163" s="12" t="n"/>
      <c r="E163" s="14" t="n"/>
      <c r="F163" s="56" t="n"/>
      <c r="G163" s="12" t="n"/>
      <c r="H163" s="57">
        <f>IF(OR(A163="",D163="",F163="✓"),"",TODAY()-D163)</f>
        <v/>
      </c>
      <c r="I163" s="47">
        <f>IF(A163="","",IF(F163="✓","Thanked",IF(D163="","To thank",IF(TODAY()-D163&gt;21,"Overdue (21+ days)","To thank"))))</f>
        <v/>
      </c>
      <c r="J163" s="10" t="n"/>
    </row>
    <row r="164">
      <c r="A164" s="10" t="n"/>
      <c r="B164" s="10" t="n"/>
      <c r="C164" s="10" t="n"/>
      <c r="D164" s="12" t="n"/>
      <c r="E164" s="14" t="n"/>
      <c r="F164" s="56" t="n"/>
      <c r="G164" s="12" t="n"/>
      <c r="H164" s="57">
        <f>IF(OR(A164="",D164="",F164="✓"),"",TODAY()-D164)</f>
        <v/>
      </c>
      <c r="I164" s="47">
        <f>IF(A164="","",IF(F164="✓","Thanked",IF(D164="","To thank",IF(TODAY()-D164&gt;21,"Overdue (21+ days)","To thank"))))</f>
        <v/>
      </c>
      <c r="J164" s="10" t="n"/>
    </row>
    <row r="165">
      <c r="A165" s="10" t="n"/>
      <c r="B165" s="10" t="n"/>
      <c r="C165" s="10" t="n"/>
      <c r="D165" s="12" t="n"/>
      <c r="E165" s="14" t="n"/>
      <c r="F165" s="56" t="n"/>
      <c r="G165" s="12" t="n"/>
      <c r="H165" s="57">
        <f>IF(OR(A165="",D165="",F165="✓"),"",TODAY()-D165)</f>
        <v/>
      </c>
      <c r="I165" s="47">
        <f>IF(A165="","",IF(F165="✓","Thanked",IF(D165="","To thank",IF(TODAY()-D165&gt;21,"Overdue (21+ days)","To thank"))))</f>
        <v/>
      </c>
      <c r="J165" s="10" t="n"/>
    </row>
    <row r="166">
      <c r="A166" s="10" t="n"/>
      <c r="B166" s="10" t="n"/>
      <c r="C166" s="10" t="n"/>
      <c r="D166" s="12" t="n"/>
      <c r="E166" s="14" t="n"/>
      <c r="F166" s="56" t="n"/>
      <c r="G166" s="12" t="n"/>
      <c r="H166" s="57">
        <f>IF(OR(A166="",D166="",F166="✓"),"",TODAY()-D166)</f>
        <v/>
      </c>
      <c r="I166" s="47">
        <f>IF(A166="","",IF(F166="✓","Thanked",IF(D166="","To thank",IF(TODAY()-D166&gt;21,"Overdue (21+ days)","To thank"))))</f>
        <v/>
      </c>
      <c r="J166" s="10" t="n"/>
    </row>
    <row r="167">
      <c r="A167" s="10" t="n"/>
      <c r="B167" s="10" t="n"/>
      <c r="C167" s="10" t="n"/>
      <c r="D167" s="12" t="n"/>
      <c r="E167" s="14" t="n"/>
      <c r="F167" s="56" t="n"/>
      <c r="G167" s="12" t="n"/>
      <c r="H167" s="57">
        <f>IF(OR(A167="",D167="",F167="✓"),"",TODAY()-D167)</f>
        <v/>
      </c>
      <c r="I167" s="47">
        <f>IF(A167="","",IF(F167="✓","Thanked",IF(D167="","To thank",IF(TODAY()-D167&gt;21,"Overdue (21+ days)","To thank"))))</f>
        <v/>
      </c>
      <c r="J167" s="10" t="n"/>
    </row>
    <row r="168">
      <c r="A168" s="10" t="n"/>
      <c r="B168" s="10" t="n"/>
      <c r="C168" s="10" t="n"/>
      <c r="D168" s="12" t="n"/>
      <c r="E168" s="14" t="n"/>
      <c r="F168" s="56" t="n"/>
      <c r="G168" s="12" t="n"/>
      <c r="H168" s="57">
        <f>IF(OR(A168="",D168="",F168="✓"),"",TODAY()-D168)</f>
        <v/>
      </c>
      <c r="I168" s="47">
        <f>IF(A168="","",IF(F168="✓","Thanked",IF(D168="","To thank",IF(TODAY()-D168&gt;21,"Overdue (21+ days)","To thank"))))</f>
        <v/>
      </c>
      <c r="J168" s="10" t="n"/>
    </row>
    <row r="169">
      <c r="A169" s="10" t="n"/>
      <c r="B169" s="10" t="n"/>
      <c r="C169" s="10" t="n"/>
      <c r="D169" s="12" t="n"/>
      <c r="E169" s="14" t="n"/>
      <c r="F169" s="56" t="n"/>
      <c r="G169" s="12" t="n"/>
      <c r="H169" s="57">
        <f>IF(OR(A169="",D169="",F169="✓"),"",TODAY()-D169)</f>
        <v/>
      </c>
      <c r="I169" s="47">
        <f>IF(A169="","",IF(F169="✓","Thanked",IF(D169="","To thank",IF(TODAY()-D169&gt;21,"Overdue (21+ days)","To thank"))))</f>
        <v/>
      </c>
      <c r="J169" s="10" t="n"/>
    </row>
    <row r="170">
      <c r="A170" s="10" t="n"/>
      <c r="B170" s="10" t="n"/>
      <c r="C170" s="10" t="n"/>
      <c r="D170" s="12" t="n"/>
      <c r="E170" s="14" t="n"/>
      <c r="F170" s="56" t="n"/>
      <c r="G170" s="12" t="n"/>
      <c r="H170" s="57">
        <f>IF(OR(A170="",D170="",F170="✓"),"",TODAY()-D170)</f>
        <v/>
      </c>
      <c r="I170" s="47">
        <f>IF(A170="","",IF(F170="✓","Thanked",IF(D170="","To thank",IF(TODAY()-D170&gt;21,"Overdue (21+ days)","To thank"))))</f>
        <v/>
      </c>
      <c r="J170" s="10" t="n"/>
    </row>
    <row r="171">
      <c r="A171" s="10" t="n"/>
      <c r="B171" s="10" t="n"/>
      <c r="C171" s="10" t="n"/>
      <c r="D171" s="12" t="n"/>
      <c r="E171" s="14" t="n"/>
      <c r="F171" s="56" t="n"/>
      <c r="G171" s="12" t="n"/>
      <c r="H171" s="57">
        <f>IF(OR(A171="",D171="",F171="✓"),"",TODAY()-D171)</f>
        <v/>
      </c>
      <c r="I171" s="47">
        <f>IF(A171="","",IF(F171="✓","Thanked",IF(D171="","To thank",IF(TODAY()-D171&gt;21,"Overdue (21+ days)","To thank"))))</f>
        <v/>
      </c>
      <c r="J171" s="10" t="n"/>
    </row>
    <row r="172">
      <c r="A172" s="10" t="n"/>
      <c r="B172" s="10" t="n"/>
      <c r="C172" s="10" t="n"/>
      <c r="D172" s="12" t="n"/>
      <c r="E172" s="14" t="n"/>
      <c r="F172" s="56" t="n"/>
      <c r="G172" s="12" t="n"/>
      <c r="H172" s="57">
        <f>IF(OR(A172="",D172="",F172="✓"),"",TODAY()-D172)</f>
        <v/>
      </c>
      <c r="I172" s="47">
        <f>IF(A172="","",IF(F172="✓","Thanked",IF(D172="","To thank",IF(TODAY()-D172&gt;21,"Overdue (21+ days)","To thank"))))</f>
        <v/>
      </c>
      <c r="J172" s="10" t="n"/>
    </row>
    <row r="173">
      <c r="A173" s="10" t="n"/>
      <c r="B173" s="10" t="n"/>
      <c r="C173" s="10" t="n"/>
      <c r="D173" s="12" t="n"/>
      <c r="E173" s="14" t="n"/>
      <c r="F173" s="56" t="n"/>
      <c r="G173" s="12" t="n"/>
      <c r="H173" s="57">
        <f>IF(OR(A173="",D173="",F173="✓"),"",TODAY()-D173)</f>
        <v/>
      </c>
      <c r="I173" s="47">
        <f>IF(A173="","",IF(F173="✓","Thanked",IF(D173="","To thank",IF(TODAY()-D173&gt;21,"Overdue (21+ days)","To thank"))))</f>
        <v/>
      </c>
      <c r="J173" s="10" t="n"/>
    </row>
    <row r="174">
      <c r="A174" s="10" t="n"/>
      <c r="B174" s="10" t="n"/>
      <c r="C174" s="10" t="n"/>
      <c r="D174" s="12" t="n"/>
      <c r="E174" s="14" t="n"/>
      <c r="F174" s="56" t="n"/>
      <c r="G174" s="12" t="n"/>
      <c r="H174" s="57">
        <f>IF(OR(A174="",D174="",F174="✓"),"",TODAY()-D174)</f>
        <v/>
      </c>
      <c r="I174" s="47">
        <f>IF(A174="","",IF(F174="✓","Thanked",IF(D174="","To thank",IF(TODAY()-D174&gt;21,"Overdue (21+ days)","To thank"))))</f>
        <v/>
      </c>
      <c r="J174" s="10" t="n"/>
    </row>
    <row r="175">
      <c r="A175" s="10" t="n"/>
      <c r="B175" s="10" t="n"/>
      <c r="C175" s="10" t="n"/>
      <c r="D175" s="12" t="n"/>
      <c r="E175" s="14" t="n"/>
      <c r="F175" s="56" t="n"/>
      <c r="G175" s="12" t="n"/>
      <c r="H175" s="57">
        <f>IF(OR(A175="",D175="",F175="✓"),"",TODAY()-D175)</f>
        <v/>
      </c>
      <c r="I175" s="47">
        <f>IF(A175="","",IF(F175="✓","Thanked",IF(D175="","To thank",IF(TODAY()-D175&gt;21,"Overdue (21+ days)","To thank"))))</f>
        <v/>
      </c>
      <c r="J175" s="10" t="n"/>
    </row>
    <row r="176">
      <c r="A176" s="10" t="n"/>
      <c r="B176" s="10" t="n"/>
      <c r="C176" s="10" t="n"/>
      <c r="D176" s="12" t="n"/>
      <c r="E176" s="14" t="n"/>
      <c r="F176" s="56" t="n"/>
      <c r="G176" s="12" t="n"/>
      <c r="H176" s="57">
        <f>IF(OR(A176="",D176="",F176="✓"),"",TODAY()-D176)</f>
        <v/>
      </c>
      <c r="I176" s="47">
        <f>IF(A176="","",IF(F176="✓","Thanked",IF(D176="","To thank",IF(TODAY()-D176&gt;21,"Overdue (21+ days)","To thank"))))</f>
        <v/>
      </c>
      <c r="J176" s="10" t="n"/>
    </row>
    <row r="177">
      <c r="A177" s="10" t="n"/>
      <c r="B177" s="10" t="n"/>
      <c r="C177" s="10" t="n"/>
      <c r="D177" s="12" t="n"/>
      <c r="E177" s="14" t="n"/>
      <c r="F177" s="56" t="n"/>
      <c r="G177" s="12" t="n"/>
      <c r="H177" s="57">
        <f>IF(OR(A177="",D177="",F177="✓"),"",TODAY()-D177)</f>
        <v/>
      </c>
      <c r="I177" s="47">
        <f>IF(A177="","",IF(F177="✓","Thanked",IF(D177="","To thank",IF(TODAY()-D177&gt;21,"Overdue (21+ days)","To thank"))))</f>
        <v/>
      </c>
      <c r="J177" s="10" t="n"/>
    </row>
    <row r="178">
      <c r="A178" s="10" t="n"/>
      <c r="B178" s="10" t="n"/>
      <c r="C178" s="10" t="n"/>
      <c r="D178" s="12" t="n"/>
      <c r="E178" s="14" t="n"/>
      <c r="F178" s="56" t="n"/>
      <c r="G178" s="12" t="n"/>
      <c r="H178" s="57">
        <f>IF(OR(A178="",D178="",F178="✓"),"",TODAY()-D178)</f>
        <v/>
      </c>
      <c r="I178" s="47">
        <f>IF(A178="","",IF(F178="✓","Thanked",IF(D178="","To thank",IF(TODAY()-D178&gt;21,"Overdue (21+ days)","To thank"))))</f>
        <v/>
      </c>
      <c r="J178" s="10" t="n"/>
    </row>
    <row r="179">
      <c r="A179" s="10" t="n"/>
      <c r="B179" s="10" t="n"/>
      <c r="C179" s="10" t="n"/>
      <c r="D179" s="12" t="n"/>
      <c r="E179" s="14" t="n"/>
      <c r="F179" s="56" t="n"/>
      <c r="G179" s="12" t="n"/>
      <c r="H179" s="57">
        <f>IF(OR(A179="",D179="",F179="✓"),"",TODAY()-D179)</f>
        <v/>
      </c>
      <c r="I179" s="47">
        <f>IF(A179="","",IF(F179="✓","Thanked",IF(D179="","To thank",IF(TODAY()-D179&gt;21,"Overdue (21+ days)","To thank"))))</f>
        <v/>
      </c>
      <c r="J179" s="10" t="n"/>
    </row>
    <row r="180">
      <c r="A180" s="10" t="n"/>
      <c r="B180" s="10" t="n"/>
      <c r="C180" s="10" t="n"/>
      <c r="D180" s="12" t="n"/>
      <c r="E180" s="14" t="n"/>
      <c r="F180" s="56" t="n"/>
      <c r="G180" s="12" t="n"/>
      <c r="H180" s="57">
        <f>IF(OR(A180="",D180="",F180="✓"),"",TODAY()-D180)</f>
        <v/>
      </c>
      <c r="I180" s="47">
        <f>IF(A180="","",IF(F180="✓","Thanked",IF(D180="","To thank",IF(TODAY()-D180&gt;21,"Overdue (21+ days)","To thank"))))</f>
        <v/>
      </c>
      <c r="J180" s="10" t="n"/>
    </row>
    <row r="181">
      <c r="A181" s="10" t="n"/>
      <c r="B181" s="10" t="n"/>
      <c r="C181" s="10" t="n"/>
      <c r="D181" s="12" t="n"/>
      <c r="E181" s="14" t="n"/>
      <c r="F181" s="56" t="n"/>
      <c r="G181" s="12" t="n"/>
      <c r="H181" s="57">
        <f>IF(OR(A181="",D181="",F181="✓"),"",TODAY()-D181)</f>
        <v/>
      </c>
      <c r="I181" s="47">
        <f>IF(A181="","",IF(F181="✓","Thanked",IF(D181="","To thank",IF(TODAY()-D181&gt;21,"Overdue (21+ days)","To thank"))))</f>
        <v/>
      </c>
      <c r="J181" s="10" t="n"/>
    </row>
    <row r="182">
      <c r="A182" s="10" t="n"/>
      <c r="B182" s="10" t="n"/>
      <c r="C182" s="10" t="n"/>
      <c r="D182" s="12" t="n"/>
      <c r="E182" s="14" t="n"/>
      <c r="F182" s="56" t="n"/>
      <c r="G182" s="12" t="n"/>
      <c r="H182" s="57">
        <f>IF(OR(A182="",D182="",F182="✓"),"",TODAY()-D182)</f>
        <v/>
      </c>
      <c r="I182" s="47">
        <f>IF(A182="","",IF(F182="✓","Thanked",IF(D182="","To thank",IF(TODAY()-D182&gt;21,"Overdue (21+ days)","To thank"))))</f>
        <v/>
      </c>
      <c r="J182" s="10" t="n"/>
    </row>
    <row r="183">
      <c r="A183" s="10" t="n"/>
      <c r="B183" s="10" t="n"/>
      <c r="C183" s="10" t="n"/>
      <c r="D183" s="12" t="n"/>
      <c r="E183" s="14" t="n"/>
      <c r="F183" s="56" t="n"/>
      <c r="G183" s="12" t="n"/>
      <c r="H183" s="57">
        <f>IF(OR(A183="",D183="",F183="✓"),"",TODAY()-D183)</f>
        <v/>
      </c>
      <c r="I183" s="47">
        <f>IF(A183="","",IF(F183="✓","Thanked",IF(D183="","To thank",IF(TODAY()-D183&gt;21,"Overdue (21+ days)","To thank"))))</f>
        <v/>
      </c>
      <c r="J183" s="10" t="n"/>
    </row>
    <row r="184">
      <c r="A184" s="10" t="n"/>
      <c r="B184" s="10" t="n"/>
      <c r="C184" s="10" t="n"/>
      <c r="D184" s="12" t="n"/>
      <c r="E184" s="14" t="n"/>
      <c r="F184" s="56" t="n"/>
      <c r="G184" s="12" t="n"/>
      <c r="H184" s="57">
        <f>IF(OR(A184="",D184="",F184="✓"),"",TODAY()-D184)</f>
        <v/>
      </c>
      <c r="I184" s="47">
        <f>IF(A184="","",IF(F184="✓","Thanked",IF(D184="","To thank",IF(TODAY()-D184&gt;21,"Overdue (21+ days)","To thank"))))</f>
        <v/>
      </c>
      <c r="J184" s="10" t="n"/>
    </row>
    <row r="185">
      <c r="A185" s="10" t="n"/>
      <c r="B185" s="10" t="n"/>
      <c r="C185" s="10" t="n"/>
      <c r="D185" s="12" t="n"/>
      <c r="E185" s="14" t="n"/>
      <c r="F185" s="56" t="n"/>
      <c r="G185" s="12" t="n"/>
      <c r="H185" s="57">
        <f>IF(OR(A185="",D185="",F185="✓"),"",TODAY()-D185)</f>
        <v/>
      </c>
      <c r="I185" s="47">
        <f>IF(A185="","",IF(F185="✓","Thanked",IF(D185="","To thank",IF(TODAY()-D185&gt;21,"Overdue (21+ days)","To thank"))))</f>
        <v/>
      </c>
      <c r="J185" s="10" t="n"/>
    </row>
    <row r="186">
      <c r="A186" s="10" t="n"/>
      <c r="B186" s="10" t="n"/>
      <c r="C186" s="10" t="n"/>
      <c r="D186" s="12" t="n"/>
      <c r="E186" s="14" t="n"/>
      <c r="F186" s="56" t="n"/>
      <c r="G186" s="12" t="n"/>
      <c r="H186" s="57">
        <f>IF(OR(A186="",D186="",F186="✓"),"",TODAY()-D186)</f>
        <v/>
      </c>
      <c r="I186" s="47">
        <f>IF(A186="","",IF(F186="✓","Thanked",IF(D186="","To thank",IF(TODAY()-D186&gt;21,"Overdue (21+ days)","To thank"))))</f>
        <v/>
      </c>
      <c r="J186" s="10" t="n"/>
    </row>
    <row r="187">
      <c r="A187" s="10" t="n"/>
      <c r="B187" s="10" t="n"/>
      <c r="C187" s="10" t="n"/>
      <c r="D187" s="12" t="n"/>
      <c r="E187" s="14" t="n"/>
      <c r="F187" s="56" t="n"/>
      <c r="G187" s="12" t="n"/>
      <c r="H187" s="57">
        <f>IF(OR(A187="",D187="",F187="✓"),"",TODAY()-D187)</f>
        <v/>
      </c>
      <c r="I187" s="47">
        <f>IF(A187="","",IF(F187="✓","Thanked",IF(D187="","To thank",IF(TODAY()-D187&gt;21,"Overdue (21+ days)","To thank"))))</f>
        <v/>
      </c>
      <c r="J187" s="10" t="n"/>
    </row>
    <row r="188">
      <c r="A188" s="10" t="n"/>
      <c r="B188" s="10" t="n"/>
      <c r="C188" s="10" t="n"/>
      <c r="D188" s="12" t="n"/>
      <c r="E188" s="14" t="n"/>
      <c r="F188" s="56" t="n"/>
      <c r="G188" s="12" t="n"/>
      <c r="H188" s="57">
        <f>IF(OR(A188="",D188="",F188="✓"),"",TODAY()-D188)</f>
        <v/>
      </c>
      <c r="I188" s="47">
        <f>IF(A188="","",IF(F188="✓","Thanked",IF(D188="","To thank",IF(TODAY()-D188&gt;21,"Overdue (21+ days)","To thank"))))</f>
        <v/>
      </c>
      <c r="J188" s="10" t="n"/>
    </row>
    <row r="189">
      <c r="A189" s="10" t="n"/>
      <c r="B189" s="10" t="n"/>
      <c r="C189" s="10" t="n"/>
      <c r="D189" s="12" t="n"/>
      <c r="E189" s="14" t="n"/>
      <c r="F189" s="56" t="n"/>
      <c r="G189" s="12" t="n"/>
      <c r="H189" s="57">
        <f>IF(OR(A189="",D189="",F189="✓"),"",TODAY()-D189)</f>
        <v/>
      </c>
      <c r="I189" s="47">
        <f>IF(A189="","",IF(F189="✓","Thanked",IF(D189="","To thank",IF(TODAY()-D189&gt;21,"Overdue (21+ days)","To thank"))))</f>
        <v/>
      </c>
      <c r="J189" s="10" t="n"/>
    </row>
    <row r="190">
      <c r="A190" s="10" t="n"/>
      <c r="B190" s="10" t="n"/>
      <c r="C190" s="10" t="n"/>
      <c r="D190" s="12" t="n"/>
      <c r="E190" s="14" t="n"/>
      <c r="F190" s="56" t="n"/>
      <c r="G190" s="12" t="n"/>
      <c r="H190" s="57">
        <f>IF(OR(A190="",D190="",F190="✓"),"",TODAY()-D190)</f>
        <v/>
      </c>
      <c r="I190" s="47">
        <f>IF(A190="","",IF(F190="✓","Thanked",IF(D190="","To thank",IF(TODAY()-D190&gt;21,"Overdue (21+ days)","To thank"))))</f>
        <v/>
      </c>
      <c r="J190" s="10" t="n"/>
    </row>
    <row r="191">
      <c r="A191" s="10" t="n"/>
      <c r="B191" s="10" t="n"/>
      <c r="C191" s="10" t="n"/>
      <c r="D191" s="12" t="n"/>
      <c r="E191" s="14" t="n"/>
      <c r="F191" s="56" t="n"/>
      <c r="G191" s="12" t="n"/>
      <c r="H191" s="57">
        <f>IF(OR(A191="",D191="",F191="✓"),"",TODAY()-D191)</f>
        <v/>
      </c>
      <c r="I191" s="47">
        <f>IF(A191="","",IF(F191="✓","Thanked",IF(D191="","To thank",IF(TODAY()-D191&gt;21,"Overdue (21+ days)","To thank"))))</f>
        <v/>
      </c>
      <c r="J191" s="10" t="n"/>
    </row>
    <row r="192">
      <c r="A192" s="10" t="n"/>
      <c r="B192" s="10" t="n"/>
      <c r="C192" s="10" t="n"/>
      <c r="D192" s="12" t="n"/>
      <c r="E192" s="14" t="n"/>
      <c r="F192" s="56" t="n"/>
      <c r="G192" s="12" t="n"/>
      <c r="H192" s="57">
        <f>IF(OR(A192="",D192="",F192="✓"),"",TODAY()-D192)</f>
        <v/>
      </c>
      <c r="I192" s="47">
        <f>IF(A192="","",IF(F192="✓","Thanked",IF(D192="","To thank",IF(TODAY()-D192&gt;21,"Overdue (21+ days)","To thank"))))</f>
        <v/>
      </c>
      <c r="J192" s="10" t="n"/>
    </row>
    <row r="193">
      <c r="A193" s="10" t="n"/>
      <c r="B193" s="10" t="n"/>
      <c r="C193" s="10" t="n"/>
      <c r="D193" s="12" t="n"/>
      <c r="E193" s="14" t="n"/>
      <c r="F193" s="56" t="n"/>
      <c r="G193" s="12" t="n"/>
      <c r="H193" s="57">
        <f>IF(OR(A193="",D193="",F193="✓"),"",TODAY()-D193)</f>
        <v/>
      </c>
      <c r="I193" s="47">
        <f>IF(A193="","",IF(F193="✓","Thanked",IF(D193="","To thank",IF(TODAY()-D193&gt;21,"Overdue (21+ days)","To thank"))))</f>
        <v/>
      </c>
      <c r="J193" s="10" t="n"/>
    </row>
    <row r="194">
      <c r="A194" s="10" t="n"/>
      <c r="B194" s="10" t="n"/>
      <c r="C194" s="10" t="n"/>
      <c r="D194" s="12" t="n"/>
      <c r="E194" s="14" t="n"/>
      <c r="F194" s="56" t="n"/>
      <c r="G194" s="12" t="n"/>
      <c r="H194" s="57">
        <f>IF(OR(A194="",D194="",F194="✓"),"",TODAY()-D194)</f>
        <v/>
      </c>
      <c r="I194" s="47">
        <f>IF(A194="","",IF(F194="✓","Thanked",IF(D194="","To thank",IF(TODAY()-D194&gt;21,"Overdue (21+ days)","To thank"))))</f>
        <v/>
      </c>
      <c r="J194" s="10" t="n"/>
    </row>
    <row r="195">
      <c r="A195" s="10" t="n"/>
      <c r="B195" s="10" t="n"/>
      <c r="C195" s="10" t="n"/>
      <c r="D195" s="12" t="n"/>
      <c r="E195" s="14" t="n"/>
      <c r="F195" s="56" t="n"/>
      <c r="G195" s="12" t="n"/>
      <c r="H195" s="57">
        <f>IF(OR(A195="",D195="",F195="✓"),"",TODAY()-D195)</f>
        <v/>
      </c>
      <c r="I195" s="47">
        <f>IF(A195="","",IF(F195="✓","Thanked",IF(D195="","To thank",IF(TODAY()-D195&gt;21,"Overdue (21+ days)","To thank"))))</f>
        <v/>
      </c>
      <c r="J195" s="10" t="n"/>
    </row>
    <row r="196">
      <c r="A196" s="10" t="n"/>
      <c r="B196" s="10" t="n"/>
      <c r="C196" s="10" t="n"/>
      <c r="D196" s="12" t="n"/>
      <c r="E196" s="14" t="n"/>
      <c r="F196" s="56" t="n"/>
      <c r="G196" s="12" t="n"/>
      <c r="H196" s="57">
        <f>IF(OR(A196="",D196="",F196="✓"),"",TODAY()-D196)</f>
        <v/>
      </c>
      <c r="I196" s="47">
        <f>IF(A196="","",IF(F196="✓","Thanked",IF(D196="","To thank",IF(TODAY()-D196&gt;21,"Overdue (21+ days)","To thank"))))</f>
        <v/>
      </c>
      <c r="J196" s="10" t="n"/>
    </row>
    <row r="197">
      <c r="A197" s="10" t="n"/>
      <c r="B197" s="10" t="n"/>
      <c r="C197" s="10" t="n"/>
      <c r="D197" s="12" t="n"/>
      <c r="E197" s="14" t="n"/>
      <c r="F197" s="56" t="n"/>
      <c r="G197" s="12" t="n"/>
      <c r="H197" s="57">
        <f>IF(OR(A197="",D197="",F197="✓"),"",TODAY()-D197)</f>
        <v/>
      </c>
      <c r="I197" s="47">
        <f>IF(A197="","",IF(F197="✓","Thanked",IF(D197="","To thank",IF(TODAY()-D197&gt;21,"Overdue (21+ days)","To thank"))))</f>
        <v/>
      </c>
      <c r="J197" s="10" t="n"/>
    </row>
    <row r="198">
      <c r="A198" s="10" t="n"/>
      <c r="B198" s="10" t="n"/>
      <c r="C198" s="10" t="n"/>
      <c r="D198" s="12" t="n"/>
      <c r="E198" s="14" t="n"/>
      <c r="F198" s="56" t="n"/>
      <c r="G198" s="12" t="n"/>
      <c r="H198" s="57">
        <f>IF(OR(A198="",D198="",F198="✓"),"",TODAY()-D198)</f>
        <v/>
      </c>
      <c r="I198" s="47">
        <f>IF(A198="","",IF(F198="✓","Thanked",IF(D198="","To thank",IF(TODAY()-D198&gt;21,"Overdue (21+ days)","To thank"))))</f>
        <v/>
      </c>
      <c r="J198" s="10" t="n"/>
    </row>
    <row r="199">
      <c r="A199" s="10" t="n"/>
      <c r="B199" s="10" t="n"/>
      <c r="C199" s="10" t="n"/>
      <c r="D199" s="12" t="n"/>
      <c r="E199" s="14" t="n"/>
      <c r="F199" s="56" t="n"/>
      <c r="G199" s="12" t="n"/>
      <c r="H199" s="57">
        <f>IF(OR(A199="",D199="",F199="✓"),"",TODAY()-D199)</f>
        <v/>
      </c>
      <c r="I199" s="47">
        <f>IF(A199="","",IF(F199="✓","Thanked",IF(D199="","To thank",IF(TODAY()-D199&gt;21,"Overdue (21+ days)","To thank"))))</f>
        <v/>
      </c>
      <c r="J199" s="10" t="n"/>
    </row>
    <row r="200">
      <c r="A200" s="10" t="n"/>
      <c r="B200" s="10" t="n"/>
      <c r="C200" s="10" t="n"/>
      <c r="D200" s="12" t="n"/>
      <c r="E200" s="14" t="n"/>
      <c r="F200" s="56" t="n"/>
      <c r="G200" s="12" t="n"/>
      <c r="H200" s="57">
        <f>IF(OR(A200="",D200="",F200="✓"),"",TODAY()-D200)</f>
        <v/>
      </c>
      <c r="I200" s="47">
        <f>IF(A200="","",IF(F200="✓","Thanked",IF(D200="","To thank",IF(TODAY()-D200&gt;21,"Overdue (21+ days)","To thank"))))</f>
        <v/>
      </c>
      <c r="J200" s="10" t="n"/>
    </row>
    <row r="201">
      <c r="A201" s="10" t="n"/>
      <c r="B201" s="10" t="n"/>
      <c r="C201" s="10" t="n"/>
      <c r="D201" s="12" t="n"/>
      <c r="E201" s="14" t="n"/>
      <c r="F201" s="56" t="n"/>
      <c r="G201" s="12" t="n"/>
      <c r="H201" s="57">
        <f>IF(OR(A201="",D201="",F201="✓"),"",TODAY()-D201)</f>
        <v/>
      </c>
      <c r="I201" s="47">
        <f>IF(A201="","",IF(F201="✓","Thanked",IF(D201="","To thank",IF(TODAY()-D201&gt;21,"Overdue (21+ days)","To thank"))))</f>
        <v/>
      </c>
      <c r="J201" s="10" t="n"/>
    </row>
    <row r="202">
      <c r="A202" s="10" t="n"/>
      <c r="B202" s="10" t="n"/>
      <c r="C202" s="10" t="n"/>
      <c r="D202" s="12" t="n"/>
      <c r="E202" s="14" t="n"/>
      <c r="F202" s="56" t="n"/>
      <c r="G202" s="12" t="n"/>
      <c r="H202" s="57">
        <f>IF(OR(A202="",D202="",F202="✓"),"",TODAY()-D202)</f>
        <v/>
      </c>
      <c r="I202" s="47">
        <f>IF(A202="","",IF(F202="✓","Thanked",IF(D202="","To thank",IF(TODAY()-D202&gt;21,"Overdue (21+ days)","To thank"))))</f>
        <v/>
      </c>
      <c r="J202" s="10" t="n"/>
    </row>
    <row r="203">
      <c r="A203" s="10" t="n"/>
      <c r="B203" s="10" t="n"/>
      <c r="C203" s="10" t="n"/>
      <c r="D203" s="12" t="n"/>
      <c r="E203" s="14" t="n"/>
      <c r="F203" s="56" t="n"/>
      <c r="G203" s="12" t="n"/>
      <c r="H203" s="57">
        <f>IF(OR(A203="",D203="",F203="✓"),"",TODAY()-D203)</f>
        <v/>
      </c>
      <c r="I203" s="47">
        <f>IF(A203="","",IF(F203="✓","Thanked",IF(D203="","To thank",IF(TODAY()-D203&gt;21,"Overdue (21+ days)","To thank"))))</f>
        <v/>
      </c>
      <c r="J203" s="10" t="n"/>
    </row>
    <row r="204">
      <c r="A204" s="10" t="n"/>
      <c r="B204" s="10" t="n"/>
      <c r="C204" s="10" t="n"/>
      <c r="D204" s="12" t="n"/>
      <c r="E204" s="14" t="n"/>
      <c r="F204" s="56" t="n"/>
      <c r="G204" s="12" t="n"/>
      <c r="H204" s="57">
        <f>IF(OR(A204="",D204="",F204="✓"),"",TODAY()-D204)</f>
        <v/>
      </c>
      <c r="I204" s="47">
        <f>IF(A204="","",IF(F204="✓","Thanked",IF(D204="","To thank",IF(TODAY()-D204&gt;21,"Overdue (21+ days)","To thank"))))</f>
        <v/>
      </c>
      <c r="J204" s="10" t="n"/>
    </row>
    <row r="205">
      <c r="A205" s="10" t="n"/>
      <c r="B205" s="10" t="n"/>
      <c r="C205" s="10" t="n"/>
      <c r="D205" s="12" t="n"/>
      <c r="E205" s="14" t="n"/>
      <c r="F205" s="56" t="n"/>
      <c r="G205" s="12" t="n"/>
      <c r="H205" s="57">
        <f>IF(OR(A205="",D205="",F205="✓"),"",TODAY()-D205)</f>
        <v/>
      </c>
      <c r="I205" s="47">
        <f>IF(A205="","",IF(F205="✓","Thanked",IF(D205="","To thank",IF(TODAY()-D205&gt;21,"Overdue (21+ days)","To thank"))))</f>
        <v/>
      </c>
      <c r="J205" s="10" t="n"/>
    </row>
    <row r="206">
      <c r="A206" s="10" t="n"/>
      <c r="B206" s="10" t="n"/>
      <c r="C206" s="10" t="n"/>
      <c r="D206" s="12" t="n"/>
      <c r="E206" s="14" t="n"/>
      <c r="F206" s="56" t="n"/>
      <c r="G206" s="12" t="n"/>
      <c r="H206" s="57">
        <f>IF(OR(A206="",D206="",F206="✓"),"",TODAY()-D206)</f>
        <v/>
      </c>
      <c r="I206" s="47">
        <f>IF(A206="","",IF(F206="✓","Thanked",IF(D206="","To thank",IF(TODAY()-D206&gt;21,"Overdue (21+ days)","To thank"))))</f>
        <v/>
      </c>
      <c r="J206" s="10" t="n"/>
    </row>
    <row r="207">
      <c r="A207" s="10" t="n"/>
      <c r="B207" s="10" t="n"/>
      <c r="C207" s="10" t="n"/>
      <c r="D207" s="12" t="n"/>
      <c r="E207" s="14" t="n"/>
      <c r="F207" s="56" t="n"/>
      <c r="G207" s="12" t="n"/>
      <c r="H207" s="57">
        <f>IF(OR(A207="",D207="",F207="✓"),"",TODAY()-D207)</f>
        <v/>
      </c>
      <c r="I207" s="47">
        <f>IF(A207="","",IF(F207="✓","Thanked",IF(D207="","To thank",IF(TODAY()-D207&gt;21,"Overdue (21+ days)","To thank"))))</f>
        <v/>
      </c>
      <c r="J207" s="10" t="n"/>
    </row>
    <row r="208">
      <c r="A208" s="10" t="n"/>
      <c r="B208" s="10" t="n"/>
      <c r="C208" s="10" t="n"/>
      <c r="D208" s="12" t="n"/>
      <c r="E208" s="14" t="n"/>
      <c r="F208" s="56" t="n"/>
      <c r="G208" s="12" t="n"/>
      <c r="H208" s="57">
        <f>IF(OR(A208="",D208="",F208="✓"),"",TODAY()-D208)</f>
        <v/>
      </c>
      <c r="I208" s="47">
        <f>IF(A208="","",IF(F208="✓","Thanked",IF(D208="","To thank",IF(TODAY()-D208&gt;21,"Overdue (21+ days)","To thank"))))</f>
        <v/>
      </c>
      <c r="J208" s="10" t="n"/>
    </row>
    <row r="209">
      <c r="A209" s="10" t="n"/>
      <c r="B209" s="10" t="n"/>
      <c r="C209" s="10" t="n"/>
      <c r="D209" s="12" t="n"/>
      <c r="E209" s="14" t="n"/>
      <c r="F209" s="56" t="n"/>
      <c r="G209" s="12" t="n"/>
      <c r="H209" s="57">
        <f>IF(OR(A209="",D209="",F209="✓"),"",TODAY()-D209)</f>
        <v/>
      </c>
      <c r="I209" s="47">
        <f>IF(A209="","",IF(F209="✓","Thanked",IF(D209="","To thank",IF(TODAY()-D209&gt;21,"Overdue (21+ days)","To thank"))))</f>
        <v/>
      </c>
      <c r="J209" s="10" t="n"/>
    </row>
    <row r="210">
      <c r="A210" s="10" t="n"/>
      <c r="B210" s="10" t="n"/>
      <c r="C210" s="10" t="n"/>
      <c r="D210" s="12" t="n"/>
      <c r="E210" s="14" t="n"/>
      <c r="F210" s="56" t="n"/>
      <c r="G210" s="12" t="n"/>
      <c r="H210" s="57">
        <f>IF(OR(A210="",D210="",F210="✓"),"",TODAY()-D210)</f>
        <v/>
      </c>
      <c r="I210" s="47">
        <f>IF(A210="","",IF(F210="✓","Thanked",IF(D210="","To thank",IF(TODAY()-D210&gt;21,"Overdue (21+ days)","To thank"))))</f>
        <v/>
      </c>
      <c r="J210" s="10" t="n"/>
    </row>
    <row r="211">
      <c r="A211" s="10" t="n"/>
      <c r="B211" s="10" t="n"/>
      <c r="C211" s="10" t="n"/>
      <c r="D211" s="12" t="n"/>
      <c r="E211" s="14" t="n"/>
      <c r="F211" s="56" t="n"/>
      <c r="G211" s="12" t="n"/>
      <c r="H211" s="57">
        <f>IF(OR(A211="",D211="",F211="✓"),"",TODAY()-D211)</f>
        <v/>
      </c>
      <c r="I211" s="47">
        <f>IF(A211="","",IF(F211="✓","Thanked",IF(D211="","To thank",IF(TODAY()-D211&gt;21,"Overdue (21+ days)","To thank"))))</f>
        <v/>
      </c>
      <c r="J211" s="10" t="n"/>
    </row>
    <row r="212">
      <c r="A212" s="10" t="n"/>
      <c r="B212" s="10" t="n"/>
      <c r="C212" s="10" t="n"/>
      <c r="D212" s="12" t="n"/>
      <c r="E212" s="14" t="n"/>
      <c r="F212" s="56" t="n"/>
      <c r="G212" s="12" t="n"/>
      <c r="H212" s="57">
        <f>IF(OR(A212="",D212="",F212="✓"),"",TODAY()-D212)</f>
        <v/>
      </c>
      <c r="I212" s="47">
        <f>IF(A212="","",IF(F212="✓","Thanked",IF(D212="","To thank",IF(TODAY()-D212&gt;21,"Overdue (21+ days)","To thank"))))</f>
        <v/>
      </c>
      <c r="J212" s="10" t="n"/>
    </row>
    <row r="213">
      <c r="A213" s="10" t="n"/>
      <c r="B213" s="10" t="n"/>
      <c r="C213" s="10" t="n"/>
      <c r="D213" s="12" t="n"/>
      <c r="E213" s="14" t="n"/>
      <c r="F213" s="56" t="n"/>
      <c r="G213" s="12" t="n"/>
      <c r="H213" s="57">
        <f>IF(OR(A213="",D213="",F213="✓"),"",TODAY()-D213)</f>
        <v/>
      </c>
      <c r="I213" s="47">
        <f>IF(A213="","",IF(F213="✓","Thanked",IF(D213="","To thank",IF(TODAY()-D213&gt;21,"Overdue (21+ days)","To thank"))))</f>
        <v/>
      </c>
      <c r="J213" s="10" t="n"/>
    </row>
    <row r="214">
      <c r="A214" s="10" t="n"/>
      <c r="B214" s="10" t="n"/>
      <c r="C214" s="10" t="n"/>
      <c r="D214" s="12" t="n"/>
      <c r="E214" s="14" t="n"/>
      <c r="F214" s="56" t="n"/>
      <c r="G214" s="12" t="n"/>
      <c r="H214" s="57">
        <f>IF(OR(A214="",D214="",F214="✓"),"",TODAY()-D214)</f>
        <v/>
      </c>
      <c r="I214" s="47">
        <f>IF(A214="","",IF(F214="✓","Thanked",IF(D214="","To thank",IF(TODAY()-D214&gt;21,"Overdue (21+ days)","To thank"))))</f>
        <v/>
      </c>
      <c r="J214" s="10" t="n"/>
    </row>
    <row r="215">
      <c r="A215" s="10" t="n"/>
      <c r="B215" s="10" t="n"/>
      <c r="C215" s="10" t="n"/>
      <c r="D215" s="12" t="n"/>
      <c r="E215" s="14" t="n"/>
      <c r="F215" s="56" t="n"/>
      <c r="G215" s="12" t="n"/>
      <c r="H215" s="57">
        <f>IF(OR(A215="",D215="",F215="✓"),"",TODAY()-D215)</f>
        <v/>
      </c>
      <c r="I215" s="47">
        <f>IF(A215="","",IF(F215="✓","Thanked",IF(D215="","To thank",IF(TODAY()-D215&gt;21,"Overdue (21+ days)","To thank"))))</f>
        <v/>
      </c>
      <c r="J215" s="10" t="n"/>
    </row>
    <row r="216">
      <c r="A216" s="10" t="n"/>
      <c r="B216" s="10" t="n"/>
      <c r="C216" s="10" t="n"/>
      <c r="D216" s="12" t="n"/>
      <c r="E216" s="14" t="n"/>
      <c r="F216" s="56" t="n"/>
      <c r="G216" s="12" t="n"/>
      <c r="H216" s="57">
        <f>IF(OR(A216="",D216="",F216="✓"),"",TODAY()-D216)</f>
        <v/>
      </c>
      <c r="I216" s="47">
        <f>IF(A216="","",IF(F216="✓","Thanked",IF(D216="","To thank",IF(TODAY()-D216&gt;21,"Overdue (21+ days)","To thank"))))</f>
        <v/>
      </c>
      <c r="J216" s="10" t="n"/>
    </row>
    <row r="217">
      <c r="A217" s="10" t="n"/>
      <c r="B217" s="10" t="n"/>
      <c r="C217" s="10" t="n"/>
      <c r="D217" s="12" t="n"/>
      <c r="E217" s="14" t="n"/>
      <c r="F217" s="56" t="n"/>
      <c r="G217" s="12" t="n"/>
      <c r="H217" s="57">
        <f>IF(OR(A217="",D217="",F217="✓"),"",TODAY()-D217)</f>
        <v/>
      </c>
      <c r="I217" s="47">
        <f>IF(A217="","",IF(F217="✓","Thanked",IF(D217="","To thank",IF(TODAY()-D217&gt;21,"Overdue (21+ days)","To thank"))))</f>
        <v/>
      </c>
      <c r="J217" s="10" t="n"/>
    </row>
    <row r="218">
      <c r="A218" s="10" t="n"/>
      <c r="B218" s="10" t="n"/>
      <c r="C218" s="10" t="n"/>
      <c r="D218" s="12" t="n"/>
      <c r="E218" s="14" t="n"/>
      <c r="F218" s="56" t="n"/>
      <c r="G218" s="12" t="n"/>
      <c r="H218" s="57">
        <f>IF(OR(A218="",D218="",F218="✓"),"",TODAY()-D218)</f>
        <v/>
      </c>
      <c r="I218" s="47">
        <f>IF(A218="","",IF(F218="✓","Thanked",IF(D218="","To thank",IF(TODAY()-D218&gt;21,"Overdue (21+ days)","To thank"))))</f>
        <v/>
      </c>
      <c r="J218" s="10" t="n"/>
    </row>
    <row r="219">
      <c r="A219" s="10" t="n"/>
      <c r="B219" s="10" t="n"/>
      <c r="C219" s="10" t="n"/>
      <c r="D219" s="12" t="n"/>
      <c r="E219" s="14" t="n"/>
      <c r="F219" s="56" t="n"/>
      <c r="G219" s="12" t="n"/>
      <c r="H219" s="57">
        <f>IF(OR(A219="",D219="",F219="✓"),"",TODAY()-D219)</f>
        <v/>
      </c>
      <c r="I219" s="47">
        <f>IF(A219="","",IF(F219="✓","Thanked",IF(D219="","To thank",IF(TODAY()-D219&gt;21,"Overdue (21+ days)","To thank"))))</f>
        <v/>
      </c>
      <c r="J219" s="10" t="n"/>
    </row>
    <row r="220">
      <c r="A220" s="10" t="n"/>
      <c r="B220" s="10" t="n"/>
      <c r="C220" s="10" t="n"/>
      <c r="D220" s="12" t="n"/>
      <c r="E220" s="14" t="n"/>
      <c r="F220" s="56" t="n"/>
      <c r="G220" s="12" t="n"/>
      <c r="H220" s="57">
        <f>IF(OR(A220="",D220="",F220="✓"),"",TODAY()-D220)</f>
        <v/>
      </c>
      <c r="I220" s="47">
        <f>IF(A220="","",IF(F220="✓","Thanked",IF(D220="","To thank",IF(TODAY()-D220&gt;21,"Overdue (21+ days)","To thank"))))</f>
        <v/>
      </c>
      <c r="J220" s="10" t="n"/>
    </row>
    <row r="221">
      <c r="A221" s="10" t="n"/>
      <c r="B221" s="10" t="n"/>
      <c r="C221" s="10" t="n"/>
      <c r="D221" s="12" t="n"/>
      <c r="E221" s="14" t="n"/>
      <c r="F221" s="56" t="n"/>
      <c r="G221" s="12" t="n"/>
      <c r="H221" s="57">
        <f>IF(OR(A221="",D221="",F221="✓"),"",TODAY()-D221)</f>
        <v/>
      </c>
      <c r="I221" s="47">
        <f>IF(A221="","",IF(F221="✓","Thanked",IF(D221="","To thank",IF(TODAY()-D221&gt;21,"Overdue (21+ days)","To thank"))))</f>
        <v/>
      </c>
      <c r="J221" s="10" t="n"/>
    </row>
    <row r="222">
      <c r="A222" s="10" t="n"/>
      <c r="B222" s="10" t="n"/>
      <c r="C222" s="10" t="n"/>
      <c r="D222" s="12" t="n"/>
      <c r="E222" s="14" t="n"/>
      <c r="F222" s="56" t="n"/>
      <c r="G222" s="12" t="n"/>
      <c r="H222" s="57">
        <f>IF(OR(A222="",D222="",F222="✓"),"",TODAY()-D222)</f>
        <v/>
      </c>
      <c r="I222" s="47">
        <f>IF(A222="","",IF(F222="✓","Thanked",IF(D222="","To thank",IF(TODAY()-D222&gt;21,"Overdue (21+ days)","To thank"))))</f>
        <v/>
      </c>
      <c r="J222" s="10" t="n"/>
    </row>
    <row r="223">
      <c r="A223" s="10" t="n"/>
      <c r="B223" s="10" t="n"/>
      <c r="C223" s="10" t="n"/>
      <c r="D223" s="12" t="n"/>
      <c r="E223" s="14" t="n"/>
      <c r="F223" s="56" t="n"/>
      <c r="G223" s="12" t="n"/>
      <c r="H223" s="57">
        <f>IF(OR(A223="",D223="",F223="✓"),"",TODAY()-D223)</f>
        <v/>
      </c>
      <c r="I223" s="47">
        <f>IF(A223="","",IF(F223="✓","Thanked",IF(D223="","To thank",IF(TODAY()-D223&gt;21,"Overdue (21+ days)","To thank"))))</f>
        <v/>
      </c>
      <c r="J223" s="10" t="n"/>
    </row>
    <row r="224">
      <c r="A224" s="10" t="n"/>
      <c r="B224" s="10" t="n"/>
      <c r="C224" s="10" t="n"/>
      <c r="D224" s="12" t="n"/>
      <c r="E224" s="14" t="n"/>
      <c r="F224" s="56" t="n"/>
      <c r="G224" s="12" t="n"/>
      <c r="H224" s="57">
        <f>IF(OR(A224="",D224="",F224="✓"),"",TODAY()-D224)</f>
        <v/>
      </c>
      <c r="I224" s="47">
        <f>IF(A224="","",IF(F224="✓","Thanked",IF(D224="","To thank",IF(TODAY()-D224&gt;21,"Overdue (21+ days)","To thank"))))</f>
        <v/>
      </c>
      <c r="J224" s="10" t="n"/>
    </row>
    <row r="225">
      <c r="A225" s="10" t="n"/>
      <c r="B225" s="10" t="n"/>
      <c r="C225" s="10" t="n"/>
      <c r="D225" s="12" t="n"/>
      <c r="E225" s="14" t="n"/>
      <c r="F225" s="56" t="n"/>
      <c r="G225" s="12" t="n"/>
      <c r="H225" s="57">
        <f>IF(OR(A225="",D225="",F225="✓"),"",TODAY()-D225)</f>
        <v/>
      </c>
      <c r="I225" s="47">
        <f>IF(A225="","",IF(F225="✓","Thanked",IF(D225="","To thank",IF(TODAY()-D225&gt;21,"Overdue (21+ days)","To thank"))))</f>
        <v/>
      </c>
      <c r="J225" s="10" t="n"/>
    </row>
    <row r="226">
      <c r="A226" s="10" t="n"/>
      <c r="B226" s="10" t="n"/>
      <c r="C226" s="10" t="n"/>
      <c r="D226" s="12" t="n"/>
      <c r="E226" s="14" t="n"/>
      <c r="F226" s="56" t="n"/>
      <c r="G226" s="12" t="n"/>
      <c r="H226" s="57">
        <f>IF(OR(A226="",D226="",F226="✓"),"",TODAY()-D226)</f>
        <v/>
      </c>
      <c r="I226" s="47">
        <f>IF(A226="","",IF(F226="✓","Thanked",IF(D226="","To thank",IF(TODAY()-D226&gt;21,"Overdue (21+ days)","To thank"))))</f>
        <v/>
      </c>
      <c r="J226" s="10" t="n"/>
    </row>
    <row r="227">
      <c r="A227" s="10" t="n"/>
      <c r="B227" s="10" t="n"/>
      <c r="C227" s="10" t="n"/>
      <c r="D227" s="12" t="n"/>
      <c r="E227" s="14" t="n"/>
      <c r="F227" s="56" t="n"/>
      <c r="G227" s="12" t="n"/>
      <c r="H227" s="57">
        <f>IF(OR(A227="",D227="",F227="✓"),"",TODAY()-D227)</f>
        <v/>
      </c>
      <c r="I227" s="47">
        <f>IF(A227="","",IF(F227="✓","Thanked",IF(D227="","To thank",IF(TODAY()-D227&gt;21,"Overdue (21+ days)","To thank"))))</f>
        <v/>
      </c>
      <c r="J227" s="10" t="n"/>
    </row>
    <row r="228">
      <c r="A228" s="10" t="n"/>
      <c r="B228" s="10" t="n"/>
      <c r="C228" s="10" t="n"/>
      <c r="D228" s="12" t="n"/>
      <c r="E228" s="14" t="n"/>
      <c r="F228" s="56" t="n"/>
      <c r="G228" s="12" t="n"/>
      <c r="H228" s="57">
        <f>IF(OR(A228="",D228="",F228="✓"),"",TODAY()-D228)</f>
        <v/>
      </c>
      <c r="I228" s="47">
        <f>IF(A228="","",IF(F228="✓","Thanked",IF(D228="","To thank",IF(TODAY()-D228&gt;21,"Overdue (21+ days)","To thank"))))</f>
        <v/>
      </c>
      <c r="J228" s="10" t="n"/>
    </row>
    <row r="229">
      <c r="A229" s="10" t="n"/>
      <c r="B229" s="10" t="n"/>
      <c r="C229" s="10" t="n"/>
      <c r="D229" s="12" t="n"/>
      <c r="E229" s="14" t="n"/>
      <c r="F229" s="56" t="n"/>
      <c r="G229" s="12" t="n"/>
      <c r="H229" s="57">
        <f>IF(OR(A229="",D229="",F229="✓"),"",TODAY()-D229)</f>
        <v/>
      </c>
      <c r="I229" s="47">
        <f>IF(A229="","",IF(F229="✓","Thanked",IF(D229="","To thank",IF(TODAY()-D229&gt;21,"Overdue (21+ days)","To thank"))))</f>
        <v/>
      </c>
      <c r="J229" s="10" t="n"/>
    </row>
    <row r="230">
      <c r="A230" s="10" t="n"/>
      <c r="B230" s="10" t="n"/>
      <c r="C230" s="10" t="n"/>
      <c r="D230" s="12" t="n"/>
      <c r="E230" s="14" t="n"/>
      <c r="F230" s="56" t="n"/>
      <c r="G230" s="12" t="n"/>
      <c r="H230" s="57">
        <f>IF(OR(A230="",D230="",F230="✓"),"",TODAY()-D230)</f>
        <v/>
      </c>
      <c r="I230" s="47">
        <f>IF(A230="","",IF(F230="✓","Thanked",IF(D230="","To thank",IF(TODAY()-D230&gt;21,"Overdue (21+ days)","To thank"))))</f>
        <v/>
      </c>
      <c r="J230" s="10" t="n"/>
    </row>
    <row r="231">
      <c r="A231" s="10" t="n"/>
      <c r="B231" s="10" t="n"/>
      <c r="C231" s="10" t="n"/>
      <c r="D231" s="12" t="n"/>
      <c r="E231" s="14" t="n"/>
      <c r="F231" s="56" t="n"/>
      <c r="G231" s="12" t="n"/>
      <c r="H231" s="57">
        <f>IF(OR(A231="",D231="",F231="✓"),"",TODAY()-D231)</f>
        <v/>
      </c>
      <c r="I231" s="47">
        <f>IF(A231="","",IF(F231="✓","Thanked",IF(D231="","To thank",IF(TODAY()-D231&gt;21,"Overdue (21+ days)","To thank"))))</f>
        <v/>
      </c>
      <c r="J231" s="10" t="n"/>
    </row>
    <row r="232">
      <c r="A232" s="10" t="n"/>
      <c r="B232" s="10" t="n"/>
      <c r="C232" s="10" t="n"/>
      <c r="D232" s="12" t="n"/>
      <c r="E232" s="14" t="n"/>
      <c r="F232" s="56" t="n"/>
      <c r="G232" s="12" t="n"/>
      <c r="H232" s="57">
        <f>IF(OR(A232="",D232="",F232="✓"),"",TODAY()-D232)</f>
        <v/>
      </c>
      <c r="I232" s="47">
        <f>IF(A232="","",IF(F232="✓","Thanked",IF(D232="","To thank",IF(TODAY()-D232&gt;21,"Overdue (21+ days)","To thank"))))</f>
        <v/>
      </c>
      <c r="J232" s="10" t="n"/>
    </row>
    <row r="233">
      <c r="A233" s="10" t="n"/>
      <c r="B233" s="10" t="n"/>
      <c r="C233" s="10" t="n"/>
      <c r="D233" s="12" t="n"/>
      <c r="E233" s="14" t="n"/>
      <c r="F233" s="56" t="n"/>
      <c r="G233" s="12" t="n"/>
      <c r="H233" s="57">
        <f>IF(OR(A233="",D233="",F233="✓"),"",TODAY()-D233)</f>
        <v/>
      </c>
      <c r="I233" s="47">
        <f>IF(A233="","",IF(F233="✓","Thanked",IF(D233="","To thank",IF(TODAY()-D233&gt;21,"Overdue (21+ days)","To thank"))))</f>
        <v/>
      </c>
      <c r="J233" s="10" t="n"/>
    </row>
    <row r="234">
      <c r="A234" s="10" t="n"/>
      <c r="B234" s="10" t="n"/>
      <c r="C234" s="10" t="n"/>
      <c r="D234" s="12" t="n"/>
      <c r="E234" s="14" t="n"/>
      <c r="F234" s="56" t="n"/>
      <c r="G234" s="12" t="n"/>
      <c r="H234" s="57">
        <f>IF(OR(A234="",D234="",F234="✓"),"",TODAY()-D234)</f>
        <v/>
      </c>
      <c r="I234" s="47">
        <f>IF(A234="","",IF(F234="✓","Thanked",IF(D234="","To thank",IF(TODAY()-D234&gt;21,"Overdue (21+ days)","To thank"))))</f>
        <v/>
      </c>
      <c r="J234" s="10" t="n"/>
    </row>
    <row r="235">
      <c r="A235" s="10" t="n"/>
      <c r="B235" s="10" t="n"/>
      <c r="C235" s="10" t="n"/>
      <c r="D235" s="12" t="n"/>
      <c r="E235" s="14" t="n"/>
      <c r="F235" s="56" t="n"/>
      <c r="G235" s="12" t="n"/>
      <c r="H235" s="57">
        <f>IF(OR(A235="",D235="",F235="✓"),"",TODAY()-D235)</f>
        <v/>
      </c>
      <c r="I235" s="47">
        <f>IF(A235="","",IF(F235="✓","Thanked",IF(D235="","To thank",IF(TODAY()-D235&gt;21,"Overdue (21+ days)","To thank"))))</f>
        <v/>
      </c>
      <c r="J235" s="10" t="n"/>
    </row>
    <row r="236">
      <c r="A236" s="10" t="n"/>
      <c r="B236" s="10" t="n"/>
      <c r="C236" s="10" t="n"/>
      <c r="D236" s="12" t="n"/>
      <c r="E236" s="14" t="n"/>
      <c r="F236" s="56" t="n"/>
      <c r="G236" s="12" t="n"/>
      <c r="H236" s="57">
        <f>IF(OR(A236="",D236="",F236="✓"),"",TODAY()-D236)</f>
        <v/>
      </c>
      <c r="I236" s="47">
        <f>IF(A236="","",IF(F236="✓","Thanked",IF(D236="","To thank",IF(TODAY()-D236&gt;21,"Overdue (21+ days)","To thank"))))</f>
        <v/>
      </c>
      <c r="J236" s="10" t="n"/>
    </row>
    <row r="237">
      <c r="A237" s="10" t="n"/>
      <c r="B237" s="10" t="n"/>
      <c r="C237" s="10" t="n"/>
      <c r="D237" s="12" t="n"/>
      <c r="E237" s="14" t="n"/>
      <c r="F237" s="56" t="n"/>
      <c r="G237" s="12" t="n"/>
      <c r="H237" s="57">
        <f>IF(OR(A237="",D237="",F237="✓"),"",TODAY()-D237)</f>
        <v/>
      </c>
      <c r="I237" s="47">
        <f>IF(A237="","",IF(F237="✓","Thanked",IF(D237="","To thank",IF(TODAY()-D237&gt;21,"Overdue (21+ days)","To thank"))))</f>
        <v/>
      </c>
      <c r="J237" s="10" t="n"/>
    </row>
    <row r="238">
      <c r="A238" s="10" t="n"/>
      <c r="B238" s="10" t="n"/>
      <c r="C238" s="10" t="n"/>
      <c r="D238" s="12" t="n"/>
      <c r="E238" s="14" t="n"/>
      <c r="F238" s="56" t="n"/>
      <c r="G238" s="12" t="n"/>
      <c r="H238" s="57">
        <f>IF(OR(A238="",D238="",F238="✓"),"",TODAY()-D238)</f>
        <v/>
      </c>
      <c r="I238" s="47">
        <f>IF(A238="","",IF(F238="✓","Thanked",IF(D238="","To thank",IF(TODAY()-D238&gt;21,"Overdue (21+ days)","To thank"))))</f>
        <v/>
      </c>
      <c r="J238" s="10" t="n"/>
    </row>
    <row r="239">
      <c r="A239" s="10" t="n"/>
      <c r="B239" s="10" t="n"/>
      <c r="C239" s="10" t="n"/>
      <c r="D239" s="12" t="n"/>
      <c r="E239" s="14" t="n"/>
      <c r="F239" s="56" t="n"/>
      <c r="G239" s="12" t="n"/>
      <c r="H239" s="57">
        <f>IF(OR(A239="",D239="",F239="✓"),"",TODAY()-D239)</f>
        <v/>
      </c>
      <c r="I239" s="47">
        <f>IF(A239="","",IF(F239="✓","Thanked",IF(D239="","To thank",IF(TODAY()-D239&gt;21,"Overdue (21+ days)","To thank"))))</f>
        <v/>
      </c>
      <c r="J239" s="10" t="n"/>
    </row>
    <row r="240">
      <c r="A240" s="10" t="n"/>
      <c r="B240" s="10" t="n"/>
      <c r="C240" s="10" t="n"/>
      <c r="D240" s="12" t="n"/>
      <c r="E240" s="14" t="n"/>
      <c r="F240" s="56" t="n"/>
      <c r="G240" s="12" t="n"/>
      <c r="H240" s="57">
        <f>IF(OR(A240="",D240="",F240="✓"),"",TODAY()-D240)</f>
        <v/>
      </c>
      <c r="I240" s="47">
        <f>IF(A240="","",IF(F240="✓","Thanked",IF(D240="","To thank",IF(TODAY()-D240&gt;21,"Overdue (21+ days)","To thank"))))</f>
        <v/>
      </c>
      <c r="J240" s="10" t="n"/>
    </row>
    <row r="241">
      <c r="A241" s="10" t="n"/>
      <c r="B241" s="10" t="n"/>
      <c r="C241" s="10" t="n"/>
      <c r="D241" s="12" t="n"/>
      <c r="E241" s="14" t="n"/>
      <c r="F241" s="56" t="n"/>
      <c r="G241" s="12" t="n"/>
      <c r="H241" s="57">
        <f>IF(OR(A241="",D241="",F241="✓"),"",TODAY()-D241)</f>
        <v/>
      </c>
      <c r="I241" s="47">
        <f>IF(A241="","",IF(F241="✓","Thanked",IF(D241="","To thank",IF(TODAY()-D241&gt;21,"Overdue (21+ days)","To thank"))))</f>
        <v/>
      </c>
      <c r="J241" s="10" t="n"/>
    </row>
    <row r="242">
      <c r="A242" s="10" t="n"/>
      <c r="B242" s="10" t="n"/>
      <c r="C242" s="10" t="n"/>
      <c r="D242" s="12" t="n"/>
      <c r="E242" s="14" t="n"/>
      <c r="F242" s="56" t="n"/>
      <c r="G242" s="12" t="n"/>
      <c r="H242" s="57">
        <f>IF(OR(A242="",D242="",F242="✓"),"",TODAY()-D242)</f>
        <v/>
      </c>
      <c r="I242" s="47">
        <f>IF(A242="","",IF(F242="✓","Thanked",IF(D242="","To thank",IF(TODAY()-D242&gt;21,"Overdue (21+ days)","To thank"))))</f>
        <v/>
      </c>
      <c r="J242" s="10" t="n"/>
    </row>
    <row r="243">
      <c r="A243" s="10" t="n"/>
      <c r="B243" s="10" t="n"/>
      <c r="C243" s="10" t="n"/>
      <c r="D243" s="12" t="n"/>
      <c r="E243" s="14" t="n"/>
      <c r="F243" s="56" t="n"/>
      <c r="G243" s="12" t="n"/>
      <c r="H243" s="57">
        <f>IF(OR(A243="",D243="",F243="✓"),"",TODAY()-D243)</f>
        <v/>
      </c>
      <c r="I243" s="47">
        <f>IF(A243="","",IF(F243="✓","Thanked",IF(D243="","To thank",IF(TODAY()-D243&gt;21,"Overdue (21+ days)","To thank"))))</f>
        <v/>
      </c>
      <c r="J243" s="10" t="n"/>
    </row>
    <row r="244">
      <c r="A244" s="10" t="n"/>
      <c r="B244" s="10" t="n"/>
      <c r="C244" s="10" t="n"/>
      <c r="D244" s="12" t="n"/>
      <c r="E244" s="14" t="n"/>
      <c r="F244" s="56" t="n"/>
      <c r="G244" s="12" t="n"/>
      <c r="H244" s="57">
        <f>IF(OR(A244="",D244="",F244="✓"),"",TODAY()-D244)</f>
        <v/>
      </c>
      <c r="I244" s="47">
        <f>IF(A244="","",IF(F244="✓","Thanked",IF(D244="","To thank",IF(TODAY()-D244&gt;21,"Overdue (21+ days)","To thank"))))</f>
        <v/>
      </c>
      <c r="J244" s="10" t="n"/>
    </row>
    <row r="245">
      <c r="A245" s="10" t="n"/>
      <c r="B245" s="10" t="n"/>
      <c r="C245" s="10" t="n"/>
      <c r="D245" s="12" t="n"/>
      <c r="E245" s="14" t="n"/>
      <c r="F245" s="56" t="n"/>
      <c r="G245" s="12" t="n"/>
      <c r="H245" s="57">
        <f>IF(OR(A245="",D245="",F245="✓"),"",TODAY()-D245)</f>
        <v/>
      </c>
      <c r="I245" s="47">
        <f>IF(A245="","",IF(F245="✓","Thanked",IF(D245="","To thank",IF(TODAY()-D245&gt;21,"Overdue (21+ days)","To thank"))))</f>
        <v/>
      </c>
      <c r="J245" s="10" t="n"/>
    </row>
    <row r="246">
      <c r="A246" s="10" t="n"/>
      <c r="B246" s="10" t="n"/>
      <c r="C246" s="10" t="n"/>
      <c r="D246" s="12" t="n"/>
      <c r="E246" s="14" t="n"/>
      <c r="F246" s="56" t="n"/>
      <c r="G246" s="12" t="n"/>
      <c r="H246" s="57">
        <f>IF(OR(A246="",D246="",F246="✓"),"",TODAY()-D246)</f>
        <v/>
      </c>
      <c r="I246" s="47">
        <f>IF(A246="","",IF(F246="✓","Thanked",IF(D246="","To thank",IF(TODAY()-D246&gt;21,"Overdue (21+ days)","To thank"))))</f>
        <v/>
      </c>
      <c r="J246" s="10" t="n"/>
    </row>
    <row r="247">
      <c r="A247" s="10" t="n"/>
      <c r="B247" s="10" t="n"/>
      <c r="C247" s="10" t="n"/>
      <c r="D247" s="12" t="n"/>
      <c r="E247" s="14" t="n"/>
      <c r="F247" s="56" t="n"/>
      <c r="G247" s="12" t="n"/>
      <c r="H247" s="57">
        <f>IF(OR(A247="",D247="",F247="✓"),"",TODAY()-D247)</f>
        <v/>
      </c>
      <c r="I247" s="47">
        <f>IF(A247="","",IF(F247="✓","Thanked",IF(D247="","To thank",IF(TODAY()-D247&gt;21,"Overdue (21+ days)","To thank"))))</f>
        <v/>
      </c>
      <c r="J247" s="10" t="n"/>
    </row>
    <row r="248">
      <c r="A248" s="10" t="n"/>
      <c r="B248" s="10" t="n"/>
      <c r="C248" s="10" t="n"/>
      <c r="D248" s="12" t="n"/>
      <c r="E248" s="14" t="n"/>
      <c r="F248" s="56" t="n"/>
      <c r="G248" s="12" t="n"/>
      <c r="H248" s="57">
        <f>IF(OR(A248="",D248="",F248="✓"),"",TODAY()-D248)</f>
        <v/>
      </c>
      <c r="I248" s="47">
        <f>IF(A248="","",IF(F248="✓","Thanked",IF(D248="","To thank",IF(TODAY()-D248&gt;21,"Overdue (21+ days)","To thank"))))</f>
        <v/>
      </c>
      <c r="J248" s="10" t="n"/>
    </row>
    <row r="249">
      <c r="A249" s="10" t="n"/>
      <c r="B249" s="10" t="n"/>
      <c r="C249" s="10" t="n"/>
      <c r="D249" s="12" t="n"/>
      <c r="E249" s="14" t="n"/>
      <c r="F249" s="56" t="n"/>
      <c r="G249" s="12" t="n"/>
      <c r="H249" s="57">
        <f>IF(OR(A249="",D249="",F249="✓"),"",TODAY()-D249)</f>
        <v/>
      </c>
      <c r="I249" s="47">
        <f>IF(A249="","",IF(F249="✓","Thanked",IF(D249="","To thank",IF(TODAY()-D249&gt;21,"Overdue (21+ days)","To thank"))))</f>
        <v/>
      </c>
      <c r="J249" s="10" t="n"/>
    </row>
    <row r="250">
      <c r="A250" s="10" t="n"/>
      <c r="B250" s="10" t="n"/>
      <c r="C250" s="10" t="n"/>
      <c r="D250" s="12" t="n"/>
      <c r="E250" s="14" t="n"/>
      <c r="F250" s="56" t="n"/>
      <c r="G250" s="12" t="n"/>
      <c r="H250" s="57">
        <f>IF(OR(A250="",D250="",F250="✓"),"",TODAY()-D250)</f>
        <v/>
      </c>
      <c r="I250" s="47">
        <f>IF(A250="","",IF(F250="✓","Thanked",IF(D250="","To thank",IF(TODAY()-D250&gt;21,"Overdue (21+ days)","To thank"))))</f>
        <v/>
      </c>
      <c r="J250" s="10" t="n"/>
    </row>
    <row r="251">
      <c r="A251" s="10" t="n"/>
      <c r="B251" s="10" t="n"/>
      <c r="C251" s="10" t="n"/>
      <c r="D251" s="12" t="n"/>
      <c r="E251" s="14" t="n"/>
      <c r="F251" s="56" t="n"/>
      <c r="G251" s="12" t="n"/>
      <c r="H251" s="57">
        <f>IF(OR(A251="",D251="",F251="✓"),"",TODAY()-D251)</f>
        <v/>
      </c>
      <c r="I251" s="47">
        <f>IF(A251="","",IF(F251="✓","Thanked",IF(D251="","To thank",IF(TODAY()-D251&gt;21,"Overdue (21+ days)","To thank"))))</f>
        <v/>
      </c>
      <c r="J251" s="10" t="n"/>
    </row>
    <row r="252">
      <c r="A252" s="10" t="n"/>
      <c r="B252" s="10" t="n"/>
      <c r="C252" s="10" t="n"/>
      <c r="D252" s="12" t="n"/>
      <c r="E252" s="14" t="n"/>
      <c r="F252" s="56" t="n"/>
      <c r="G252" s="12" t="n"/>
      <c r="H252" s="57">
        <f>IF(OR(A252="",D252="",F252="✓"),"",TODAY()-D252)</f>
        <v/>
      </c>
      <c r="I252" s="47">
        <f>IF(A252="","",IF(F252="✓","Thanked",IF(D252="","To thank",IF(TODAY()-D252&gt;21,"Overdue (21+ days)","To thank"))))</f>
        <v/>
      </c>
      <c r="J252" s="10" t="n"/>
    </row>
    <row r="253">
      <c r="A253" s="10" t="n"/>
      <c r="B253" s="10" t="n"/>
      <c r="C253" s="10" t="n"/>
      <c r="D253" s="12" t="n"/>
      <c r="E253" s="14" t="n"/>
      <c r="F253" s="56" t="n"/>
      <c r="G253" s="12" t="n"/>
      <c r="H253" s="57">
        <f>IF(OR(A253="",D253="",F253="✓"),"",TODAY()-D253)</f>
        <v/>
      </c>
      <c r="I253" s="47">
        <f>IF(A253="","",IF(F253="✓","Thanked",IF(D253="","To thank",IF(TODAY()-D253&gt;21,"Overdue (21+ days)","To thank"))))</f>
        <v/>
      </c>
      <c r="J253" s="10" t="n"/>
    </row>
    <row r="254">
      <c r="A254" s="10" t="n"/>
      <c r="B254" s="10" t="n"/>
      <c r="C254" s="10" t="n"/>
      <c r="D254" s="12" t="n"/>
      <c r="E254" s="14" t="n"/>
      <c r="F254" s="56" t="n"/>
      <c r="G254" s="12" t="n"/>
      <c r="H254" s="57">
        <f>IF(OR(A254="",D254="",F254="✓"),"",TODAY()-D254)</f>
        <v/>
      </c>
      <c r="I254" s="47">
        <f>IF(A254="","",IF(F254="✓","Thanked",IF(D254="","To thank",IF(TODAY()-D254&gt;21,"Overdue (21+ days)","To thank"))))</f>
        <v/>
      </c>
      <c r="J254" s="10" t="n"/>
    </row>
    <row r="255">
      <c r="A255" s="10" t="n"/>
      <c r="B255" s="10" t="n"/>
      <c r="C255" s="10" t="n"/>
      <c r="D255" s="12" t="n"/>
      <c r="E255" s="14" t="n"/>
      <c r="F255" s="56" t="n"/>
      <c r="G255" s="12" t="n"/>
      <c r="H255" s="57">
        <f>IF(OR(A255="",D255="",F255="✓"),"",TODAY()-D255)</f>
        <v/>
      </c>
      <c r="I255" s="47">
        <f>IF(A255="","",IF(F255="✓","Thanked",IF(D255="","To thank",IF(TODAY()-D255&gt;21,"Overdue (21+ days)","To thank"))))</f>
        <v/>
      </c>
      <c r="J255" s="10" t="n"/>
    </row>
    <row r="256">
      <c r="A256" s="10" t="n"/>
      <c r="B256" s="10" t="n"/>
      <c r="C256" s="10" t="n"/>
      <c r="D256" s="12" t="n"/>
      <c r="E256" s="14" t="n"/>
      <c r="F256" s="56" t="n"/>
      <c r="G256" s="12" t="n"/>
      <c r="H256" s="57">
        <f>IF(OR(A256="",D256="",F256="✓"),"",TODAY()-D256)</f>
        <v/>
      </c>
      <c r="I256" s="47">
        <f>IF(A256="","",IF(F256="✓","Thanked",IF(D256="","To thank",IF(TODAY()-D256&gt;21,"Overdue (21+ days)","To thank"))))</f>
        <v/>
      </c>
      <c r="J256" s="10" t="n"/>
    </row>
    <row r="257">
      <c r="A257" s="10" t="n"/>
      <c r="B257" s="10" t="n"/>
      <c r="C257" s="10" t="n"/>
      <c r="D257" s="12" t="n"/>
      <c r="E257" s="14" t="n"/>
      <c r="F257" s="56" t="n"/>
      <c r="G257" s="12" t="n"/>
      <c r="H257" s="57">
        <f>IF(OR(A257="",D257="",F257="✓"),"",TODAY()-D257)</f>
        <v/>
      </c>
      <c r="I257" s="47">
        <f>IF(A257="","",IF(F257="✓","Thanked",IF(D257="","To thank",IF(TODAY()-D257&gt;21,"Overdue (21+ days)","To thank"))))</f>
        <v/>
      </c>
      <c r="J257" s="10" t="n"/>
    </row>
    <row r="258">
      <c r="A258" s="10" t="n"/>
      <c r="B258" s="10" t="n"/>
      <c r="C258" s="10" t="n"/>
      <c r="D258" s="12" t="n"/>
      <c r="E258" s="14" t="n"/>
      <c r="F258" s="56" t="n"/>
      <c r="G258" s="12" t="n"/>
      <c r="H258" s="57">
        <f>IF(OR(A258="",D258="",F258="✓"),"",TODAY()-D258)</f>
        <v/>
      </c>
      <c r="I258" s="47">
        <f>IF(A258="","",IF(F258="✓","Thanked",IF(D258="","To thank",IF(TODAY()-D258&gt;21,"Overdue (21+ days)","To thank"))))</f>
        <v/>
      </c>
      <c r="J258" s="10" t="n"/>
    </row>
    <row r="259">
      <c r="A259" s="10" t="n"/>
      <c r="B259" s="10" t="n"/>
      <c r="C259" s="10" t="n"/>
      <c r="D259" s="12" t="n"/>
      <c r="E259" s="14" t="n"/>
      <c r="F259" s="56" t="n"/>
      <c r="G259" s="12" t="n"/>
      <c r="H259" s="57">
        <f>IF(OR(A259="",D259="",F259="✓"),"",TODAY()-D259)</f>
        <v/>
      </c>
      <c r="I259" s="47">
        <f>IF(A259="","",IF(F259="✓","Thanked",IF(D259="","To thank",IF(TODAY()-D259&gt;21,"Overdue (21+ days)","To thank"))))</f>
        <v/>
      </c>
      <c r="J259" s="10" t="n"/>
    </row>
    <row r="260">
      <c r="A260" s="10" t="n"/>
      <c r="B260" s="10" t="n"/>
      <c r="C260" s="10" t="n"/>
      <c r="D260" s="12" t="n"/>
      <c r="E260" s="14" t="n"/>
      <c r="F260" s="56" t="n"/>
      <c r="G260" s="12" t="n"/>
      <c r="H260" s="57">
        <f>IF(OR(A260="",D260="",F260="✓"),"",TODAY()-D260)</f>
        <v/>
      </c>
      <c r="I260" s="47">
        <f>IF(A260="","",IF(F260="✓","Thanked",IF(D260="","To thank",IF(TODAY()-D260&gt;21,"Overdue (21+ days)","To thank"))))</f>
        <v/>
      </c>
      <c r="J260" s="10" t="n"/>
    </row>
    <row r="261">
      <c r="A261" s="10" t="n"/>
      <c r="B261" s="10" t="n"/>
      <c r="C261" s="10" t="n"/>
      <c r="D261" s="12" t="n"/>
      <c r="E261" s="14" t="n"/>
      <c r="F261" s="56" t="n"/>
      <c r="G261" s="12" t="n"/>
      <c r="H261" s="57">
        <f>IF(OR(A261="",D261="",F261="✓"),"",TODAY()-D261)</f>
        <v/>
      </c>
      <c r="I261" s="47">
        <f>IF(A261="","",IF(F261="✓","Thanked",IF(D261="","To thank",IF(TODAY()-D261&gt;21,"Overdue (21+ days)","To thank"))))</f>
        <v/>
      </c>
      <c r="J261" s="10" t="n"/>
    </row>
    <row r="262">
      <c r="A262" s="10" t="n"/>
      <c r="B262" s="10" t="n"/>
      <c r="C262" s="10" t="n"/>
      <c r="D262" s="12" t="n"/>
      <c r="E262" s="14" t="n"/>
      <c r="F262" s="56" t="n"/>
      <c r="G262" s="12" t="n"/>
      <c r="H262" s="57">
        <f>IF(OR(A262="",D262="",F262="✓"),"",TODAY()-D262)</f>
        <v/>
      </c>
      <c r="I262" s="47">
        <f>IF(A262="","",IF(F262="✓","Thanked",IF(D262="","To thank",IF(TODAY()-D262&gt;21,"Overdue (21+ days)","To thank"))))</f>
        <v/>
      </c>
      <c r="J262" s="10" t="n"/>
    </row>
    <row r="263">
      <c r="A263" s="10" t="n"/>
      <c r="B263" s="10" t="n"/>
      <c r="C263" s="10" t="n"/>
      <c r="D263" s="12" t="n"/>
      <c r="E263" s="14" t="n"/>
      <c r="F263" s="56" t="n"/>
      <c r="G263" s="12" t="n"/>
      <c r="H263" s="57">
        <f>IF(OR(A263="",D263="",F263="✓"),"",TODAY()-D263)</f>
        <v/>
      </c>
      <c r="I263" s="47">
        <f>IF(A263="","",IF(F263="✓","Thanked",IF(D263="","To thank",IF(TODAY()-D263&gt;21,"Overdue (21+ days)","To thank"))))</f>
        <v/>
      </c>
      <c r="J263" s="10" t="n"/>
    </row>
    <row r="264">
      <c r="A264" s="10" t="n"/>
      <c r="B264" s="10" t="n"/>
      <c r="C264" s="10" t="n"/>
      <c r="D264" s="12" t="n"/>
      <c r="E264" s="14" t="n"/>
      <c r="F264" s="56" t="n"/>
      <c r="G264" s="12" t="n"/>
      <c r="H264" s="57">
        <f>IF(OR(A264="",D264="",F264="✓"),"",TODAY()-D264)</f>
        <v/>
      </c>
      <c r="I264" s="47">
        <f>IF(A264="","",IF(F264="✓","Thanked",IF(D264="","To thank",IF(TODAY()-D264&gt;21,"Overdue (21+ days)","To thank"))))</f>
        <v/>
      </c>
      <c r="J264" s="10" t="n"/>
    </row>
    <row r="265">
      <c r="A265" s="10" t="n"/>
      <c r="B265" s="10" t="n"/>
      <c r="C265" s="10" t="n"/>
      <c r="D265" s="12" t="n"/>
      <c r="E265" s="14" t="n"/>
      <c r="F265" s="56" t="n"/>
      <c r="G265" s="12" t="n"/>
      <c r="H265" s="57">
        <f>IF(OR(A265="",D265="",F265="✓"),"",TODAY()-D265)</f>
        <v/>
      </c>
      <c r="I265" s="47">
        <f>IF(A265="","",IF(F265="✓","Thanked",IF(D265="","To thank",IF(TODAY()-D265&gt;21,"Overdue (21+ days)","To thank"))))</f>
        <v/>
      </c>
      <c r="J265" s="10" t="n"/>
    </row>
    <row r="266">
      <c r="A266" s="10" t="n"/>
      <c r="B266" s="10" t="n"/>
      <c r="C266" s="10" t="n"/>
      <c r="D266" s="12" t="n"/>
      <c r="E266" s="14" t="n"/>
      <c r="F266" s="56" t="n"/>
      <c r="G266" s="12" t="n"/>
      <c r="H266" s="57">
        <f>IF(OR(A266="",D266="",F266="✓"),"",TODAY()-D266)</f>
        <v/>
      </c>
      <c r="I266" s="47">
        <f>IF(A266="","",IF(F266="✓","Thanked",IF(D266="","To thank",IF(TODAY()-D266&gt;21,"Overdue (21+ days)","To thank"))))</f>
        <v/>
      </c>
      <c r="J266" s="10" t="n"/>
    </row>
    <row r="267">
      <c r="A267" s="10" t="n"/>
      <c r="B267" s="10" t="n"/>
      <c r="C267" s="10" t="n"/>
      <c r="D267" s="12" t="n"/>
      <c r="E267" s="14" t="n"/>
      <c r="F267" s="56" t="n"/>
      <c r="G267" s="12" t="n"/>
      <c r="H267" s="57">
        <f>IF(OR(A267="",D267="",F267="✓"),"",TODAY()-D267)</f>
        <v/>
      </c>
      <c r="I267" s="47">
        <f>IF(A267="","",IF(F267="✓","Thanked",IF(D267="","To thank",IF(TODAY()-D267&gt;21,"Overdue (21+ days)","To thank"))))</f>
        <v/>
      </c>
      <c r="J267" s="10" t="n"/>
    </row>
    <row r="268">
      <c r="A268" s="10" t="n"/>
      <c r="B268" s="10" t="n"/>
      <c r="C268" s="10" t="n"/>
      <c r="D268" s="12" t="n"/>
      <c r="E268" s="14" t="n"/>
      <c r="F268" s="56" t="n"/>
      <c r="G268" s="12" t="n"/>
      <c r="H268" s="57">
        <f>IF(OR(A268="",D268="",F268="✓"),"",TODAY()-D268)</f>
        <v/>
      </c>
      <c r="I268" s="47">
        <f>IF(A268="","",IF(F268="✓","Thanked",IF(D268="","To thank",IF(TODAY()-D268&gt;21,"Overdue (21+ days)","To thank"))))</f>
        <v/>
      </c>
      <c r="J268" s="10" t="n"/>
    </row>
    <row r="269">
      <c r="A269" s="10" t="n"/>
      <c r="B269" s="10" t="n"/>
      <c r="C269" s="10" t="n"/>
      <c r="D269" s="12" t="n"/>
      <c r="E269" s="14" t="n"/>
      <c r="F269" s="56" t="n"/>
      <c r="G269" s="12" t="n"/>
      <c r="H269" s="57">
        <f>IF(OR(A269="",D269="",F269="✓"),"",TODAY()-D269)</f>
        <v/>
      </c>
      <c r="I269" s="47">
        <f>IF(A269="","",IF(F269="✓","Thanked",IF(D269="","To thank",IF(TODAY()-D269&gt;21,"Overdue (21+ days)","To thank"))))</f>
        <v/>
      </c>
      <c r="J269" s="10" t="n"/>
    </row>
    <row r="270">
      <c r="A270" s="10" t="n"/>
      <c r="B270" s="10" t="n"/>
      <c r="C270" s="10" t="n"/>
      <c r="D270" s="12" t="n"/>
      <c r="E270" s="14" t="n"/>
      <c r="F270" s="56" t="n"/>
      <c r="G270" s="12" t="n"/>
      <c r="H270" s="57">
        <f>IF(OR(A270="",D270="",F270="✓"),"",TODAY()-D270)</f>
        <v/>
      </c>
      <c r="I270" s="47">
        <f>IF(A270="","",IF(F270="✓","Thanked",IF(D270="","To thank",IF(TODAY()-D270&gt;21,"Overdue (21+ days)","To thank"))))</f>
        <v/>
      </c>
      <c r="J270" s="10" t="n"/>
    </row>
    <row r="271">
      <c r="A271" s="10" t="n"/>
      <c r="B271" s="10" t="n"/>
      <c r="C271" s="10" t="n"/>
      <c r="D271" s="12" t="n"/>
      <c r="E271" s="14" t="n"/>
      <c r="F271" s="56" t="n"/>
      <c r="G271" s="12" t="n"/>
      <c r="H271" s="57">
        <f>IF(OR(A271="",D271="",F271="✓"),"",TODAY()-D271)</f>
        <v/>
      </c>
      <c r="I271" s="47">
        <f>IF(A271="","",IF(F271="✓","Thanked",IF(D271="","To thank",IF(TODAY()-D271&gt;21,"Overdue (21+ days)","To thank"))))</f>
        <v/>
      </c>
      <c r="J271" s="10" t="n"/>
    </row>
    <row r="272">
      <c r="A272" s="10" t="n"/>
      <c r="B272" s="10" t="n"/>
      <c r="C272" s="10" t="n"/>
      <c r="D272" s="12" t="n"/>
      <c r="E272" s="14" t="n"/>
      <c r="F272" s="56" t="n"/>
      <c r="G272" s="12" t="n"/>
      <c r="H272" s="57">
        <f>IF(OR(A272="",D272="",F272="✓"),"",TODAY()-D272)</f>
        <v/>
      </c>
      <c r="I272" s="47">
        <f>IF(A272="","",IF(F272="✓","Thanked",IF(D272="","To thank",IF(TODAY()-D272&gt;21,"Overdue (21+ days)","To thank"))))</f>
        <v/>
      </c>
      <c r="J272" s="10" t="n"/>
    </row>
    <row r="273">
      <c r="A273" s="10" t="n"/>
      <c r="B273" s="10" t="n"/>
      <c r="C273" s="10" t="n"/>
      <c r="D273" s="12" t="n"/>
      <c r="E273" s="14" t="n"/>
      <c r="F273" s="56" t="n"/>
      <c r="G273" s="12" t="n"/>
      <c r="H273" s="57">
        <f>IF(OR(A273="",D273="",F273="✓"),"",TODAY()-D273)</f>
        <v/>
      </c>
      <c r="I273" s="47">
        <f>IF(A273="","",IF(F273="✓","Thanked",IF(D273="","To thank",IF(TODAY()-D273&gt;21,"Overdue (21+ days)","To thank"))))</f>
        <v/>
      </c>
      <c r="J273" s="10" t="n"/>
    </row>
    <row r="274">
      <c r="A274" s="10" t="n"/>
      <c r="B274" s="10" t="n"/>
      <c r="C274" s="10" t="n"/>
      <c r="D274" s="12" t="n"/>
      <c r="E274" s="14" t="n"/>
      <c r="F274" s="56" t="n"/>
      <c r="G274" s="12" t="n"/>
      <c r="H274" s="57">
        <f>IF(OR(A274="",D274="",F274="✓"),"",TODAY()-D274)</f>
        <v/>
      </c>
      <c r="I274" s="47">
        <f>IF(A274="","",IF(F274="✓","Thanked",IF(D274="","To thank",IF(TODAY()-D274&gt;21,"Overdue (21+ days)","To thank"))))</f>
        <v/>
      </c>
      <c r="J274" s="10" t="n"/>
    </row>
    <row r="275">
      <c r="A275" s="10" t="n"/>
      <c r="B275" s="10" t="n"/>
      <c r="C275" s="10" t="n"/>
      <c r="D275" s="12" t="n"/>
      <c r="E275" s="14" t="n"/>
      <c r="F275" s="56" t="n"/>
      <c r="G275" s="12" t="n"/>
      <c r="H275" s="57">
        <f>IF(OR(A275="",D275="",F275="✓"),"",TODAY()-D275)</f>
        <v/>
      </c>
      <c r="I275" s="47">
        <f>IF(A275="","",IF(F275="✓","Thanked",IF(D275="","To thank",IF(TODAY()-D275&gt;21,"Overdue (21+ days)","To thank"))))</f>
        <v/>
      </c>
      <c r="J275" s="10" t="n"/>
    </row>
    <row r="276">
      <c r="A276" s="10" t="n"/>
      <c r="B276" s="10" t="n"/>
      <c r="C276" s="10" t="n"/>
      <c r="D276" s="12" t="n"/>
      <c r="E276" s="14" t="n"/>
      <c r="F276" s="56" t="n"/>
      <c r="G276" s="12" t="n"/>
      <c r="H276" s="57">
        <f>IF(OR(A276="",D276="",F276="✓"),"",TODAY()-D276)</f>
        <v/>
      </c>
      <c r="I276" s="47">
        <f>IF(A276="","",IF(F276="✓","Thanked",IF(D276="","To thank",IF(TODAY()-D276&gt;21,"Overdue (21+ days)","To thank"))))</f>
        <v/>
      </c>
      <c r="J276" s="10" t="n"/>
    </row>
    <row r="277">
      <c r="A277" s="10" t="n"/>
      <c r="B277" s="10" t="n"/>
      <c r="C277" s="10" t="n"/>
      <c r="D277" s="12" t="n"/>
      <c r="E277" s="14" t="n"/>
      <c r="F277" s="56" t="n"/>
      <c r="G277" s="12" t="n"/>
      <c r="H277" s="57">
        <f>IF(OR(A277="",D277="",F277="✓"),"",TODAY()-D277)</f>
        <v/>
      </c>
      <c r="I277" s="47">
        <f>IF(A277="","",IF(F277="✓","Thanked",IF(D277="","To thank",IF(TODAY()-D277&gt;21,"Overdue (21+ days)","To thank"))))</f>
        <v/>
      </c>
      <c r="J277" s="10" t="n"/>
    </row>
    <row r="278">
      <c r="A278" s="10" t="n"/>
      <c r="B278" s="10" t="n"/>
      <c r="C278" s="10" t="n"/>
      <c r="D278" s="12" t="n"/>
      <c r="E278" s="14" t="n"/>
      <c r="F278" s="56" t="n"/>
      <c r="G278" s="12" t="n"/>
      <c r="H278" s="57">
        <f>IF(OR(A278="",D278="",F278="✓"),"",TODAY()-D278)</f>
        <v/>
      </c>
      <c r="I278" s="47">
        <f>IF(A278="","",IF(F278="✓","Thanked",IF(D278="","To thank",IF(TODAY()-D278&gt;21,"Overdue (21+ days)","To thank"))))</f>
        <v/>
      </c>
      <c r="J278" s="10" t="n"/>
    </row>
    <row r="279">
      <c r="A279" s="10" t="n"/>
      <c r="B279" s="10" t="n"/>
      <c r="C279" s="10" t="n"/>
      <c r="D279" s="12" t="n"/>
      <c r="E279" s="14" t="n"/>
      <c r="F279" s="56" t="n"/>
      <c r="G279" s="12" t="n"/>
      <c r="H279" s="57">
        <f>IF(OR(A279="",D279="",F279="✓"),"",TODAY()-D279)</f>
        <v/>
      </c>
      <c r="I279" s="47">
        <f>IF(A279="","",IF(F279="✓","Thanked",IF(D279="","To thank",IF(TODAY()-D279&gt;21,"Overdue (21+ days)","To thank"))))</f>
        <v/>
      </c>
      <c r="J279" s="10" t="n"/>
    </row>
    <row r="280">
      <c r="A280" s="10" t="n"/>
      <c r="B280" s="10" t="n"/>
      <c r="C280" s="10" t="n"/>
      <c r="D280" s="12" t="n"/>
      <c r="E280" s="14" t="n"/>
      <c r="F280" s="56" t="n"/>
      <c r="G280" s="12" t="n"/>
      <c r="H280" s="57">
        <f>IF(OR(A280="",D280="",F280="✓"),"",TODAY()-D280)</f>
        <v/>
      </c>
      <c r="I280" s="47">
        <f>IF(A280="","",IF(F280="✓","Thanked",IF(D280="","To thank",IF(TODAY()-D280&gt;21,"Overdue (21+ days)","To thank"))))</f>
        <v/>
      </c>
      <c r="J280" s="10" t="n"/>
    </row>
    <row r="281">
      <c r="A281" s="10" t="n"/>
      <c r="B281" s="10" t="n"/>
      <c r="C281" s="10" t="n"/>
      <c r="D281" s="12" t="n"/>
      <c r="E281" s="14" t="n"/>
      <c r="F281" s="56" t="n"/>
      <c r="G281" s="12" t="n"/>
      <c r="H281" s="57">
        <f>IF(OR(A281="",D281="",F281="✓"),"",TODAY()-D281)</f>
        <v/>
      </c>
      <c r="I281" s="47">
        <f>IF(A281="","",IF(F281="✓","Thanked",IF(D281="","To thank",IF(TODAY()-D281&gt;21,"Overdue (21+ days)","To thank"))))</f>
        <v/>
      </c>
      <c r="J281" s="10" t="n"/>
    </row>
    <row r="282">
      <c r="A282" s="10" t="n"/>
      <c r="B282" s="10" t="n"/>
      <c r="C282" s="10" t="n"/>
      <c r="D282" s="12" t="n"/>
      <c r="E282" s="14" t="n"/>
      <c r="F282" s="56" t="n"/>
      <c r="G282" s="12" t="n"/>
      <c r="H282" s="57">
        <f>IF(OR(A282="",D282="",F282="✓"),"",TODAY()-D282)</f>
        <v/>
      </c>
      <c r="I282" s="47">
        <f>IF(A282="","",IF(F282="✓","Thanked",IF(D282="","To thank",IF(TODAY()-D282&gt;21,"Overdue (21+ days)","To thank"))))</f>
        <v/>
      </c>
      <c r="J282" s="10" t="n"/>
    </row>
    <row r="283">
      <c r="A283" s="10" t="n"/>
      <c r="B283" s="10" t="n"/>
      <c r="C283" s="10" t="n"/>
      <c r="D283" s="12" t="n"/>
      <c r="E283" s="14" t="n"/>
      <c r="F283" s="56" t="n"/>
      <c r="G283" s="12" t="n"/>
      <c r="H283" s="57">
        <f>IF(OR(A283="",D283="",F283="✓"),"",TODAY()-D283)</f>
        <v/>
      </c>
      <c r="I283" s="47">
        <f>IF(A283="","",IF(F283="✓","Thanked",IF(D283="","To thank",IF(TODAY()-D283&gt;21,"Overdue (21+ days)","To thank"))))</f>
        <v/>
      </c>
      <c r="J283" s="10" t="n"/>
    </row>
    <row r="284">
      <c r="A284" s="10" t="n"/>
      <c r="B284" s="10" t="n"/>
      <c r="C284" s="10" t="n"/>
      <c r="D284" s="12" t="n"/>
      <c r="E284" s="14" t="n"/>
      <c r="F284" s="56" t="n"/>
      <c r="G284" s="12" t="n"/>
      <c r="H284" s="57">
        <f>IF(OR(A284="",D284="",F284="✓"),"",TODAY()-D284)</f>
        <v/>
      </c>
      <c r="I284" s="47">
        <f>IF(A284="","",IF(F284="✓","Thanked",IF(D284="","To thank",IF(TODAY()-D284&gt;21,"Overdue (21+ days)","To thank"))))</f>
        <v/>
      </c>
      <c r="J284" s="10" t="n"/>
    </row>
    <row r="285">
      <c r="A285" s="10" t="n"/>
      <c r="B285" s="10" t="n"/>
      <c r="C285" s="10" t="n"/>
      <c r="D285" s="12" t="n"/>
      <c r="E285" s="14" t="n"/>
      <c r="F285" s="56" t="n"/>
      <c r="G285" s="12" t="n"/>
      <c r="H285" s="57">
        <f>IF(OR(A285="",D285="",F285="✓"),"",TODAY()-D285)</f>
        <v/>
      </c>
      <c r="I285" s="47">
        <f>IF(A285="","",IF(F285="✓","Thanked",IF(D285="","To thank",IF(TODAY()-D285&gt;21,"Overdue (21+ days)","To thank"))))</f>
        <v/>
      </c>
      <c r="J285" s="10" t="n"/>
    </row>
    <row r="286">
      <c r="A286" s="10" t="n"/>
      <c r="B286" s="10" t="n"/>
      <c r="C286" s="10" t="n"/>
      <c r="D286" s="12" t="n"/>
      <c r="E286" s="14" t="n"/>
      <c r="F286" s="56" t="n"/>
      <c r="G286" s="12" t="n"/>
      <c r="H286" s="57">
        <f>IF(OR(A286="",D286="",F286="✓"),"",TODAY()-D286)</f>
        <v/>
      </c>
      <c r="I286" s="47">
        <f>IF(A286="","",IF(F286="✓","Thanked",IF(D286="","To thank",IF(TODAY()-D286&gt;21,"Overdue (21+ days)","To thank"))))</f>
        <v/>
      </c>
      <c r="J286" s="10" t="n"/>
    </row>
    <row r="287">
      <c r="A287" s="10" t="n"/>
      <c r="B287" s="10" t="n"/>
      <c r="C287" s="10" t="n"/>
      <c r="D287" s="12" t="n"/>
      <c r="E287" s="14" t="n"/>
      <c r="F287" s="56" t="n"/>
      <c r="G287" s="12" t="n"/>
      <c r="H287" s="57">
        <f>IF(OR(A287="",D287="",F287="✓"),"",TODAY()-D287)</f>
        <v/>
      </c>
      <c r="I287" s="47">
        <f>IF(A287="","",IF(F287="✓","Thanked",IF(D287="","To thank",IF(TODAY()-D287&gt;21,"Overdue (21+ days)","To thank"))))</f>
        <v/>
      </c>
      <c r="J287" s="10" t="n"/>
    </row>
    <row r="288">
      <c r="A288" s="10" t="n"/>
      <c r="B288" s="10" t="n"/>
      <c r="C288" s="10" t="n"/>
      <c r="D288" s="12" t="n"/>
      <c r="E288" s="14" t="n"/>
      <c r="F288" s="56" t="n"/>
      <c r="G288" s="12" t="n"/>
      <c r="H288" s="57">
        <f>IF(OR(A288="",D288="",F288="✓"),"",TODAY()-D288)</f>
        <v/>
      </c>
      <c r="I288" s="47">
        <f>IF(A288="","",IF(F288="✓","Thanked",IF(D288="","To thank",IF(TODAY()-D288&gt;21,"Overdue (21+ days)","To thank"))))</f>
        <v/>
      </c>
      <c r="J288" s="10" t="n"/>
    </row>
    <row r="289">
      <c r="A289" s="10" t="n"/>
      <c r="B289" s="10" t="n"/>
      <c r="C289" s="10" t="n"/>
      <c r="D289" s="12" t="n"/>
      <c r="E289" s="14" t="n"/>
      <c r="F289" s="56" t="n"/>
      <c r="G289" s="12" t="n"/>
      <c r="H289" s="57">
        <f>IF(OR(A289="",D289="",F289="✓"),"",TODAY()-D289)</f>
        <v/>
      </c>
      <c r="I289" s="47">
        <f>IF(A289="","",IF(F289="✓","Thanked",IF(D289="","To thank",IF(TODAY()-D289&gt;21,"Overdue (21+ days)","To thank"))))</f>
        <v/>
      </c>
      <c r="J289" s="10" t="n"/>
    </row>
    <row r="290">
      <c r="A290" s="10" t="n"/>
      <c r="B290" s="10" t="n"/>
      <c r="C290" s="10" t="n"/>
      <c r="D290" s="12" t="n"/>
      <c r="E290" s="14" t="n"/>
      <c r="F290" s="56" t="n"/>
      <c r="G290" s="12" t="n"/>
      <c r="H290" s="57">
        <f>IF(OR(A290="",D290="",F290="✓"),"",TODAY()-D290)</f>
        <v/>
      </c>
      <c r="I290" s="47">
        <f>IF(A290="","",IF(F290="✓","Thanked",IF(D290="","To thank",IF(TODAY()-D290&gt;21,"Overdue (21+ days)","To thank"))))</f>
        <v/>
      </c>
      <c r="J290" s="10" t="n"/>
    </row>
    <row r="291">
      <c r="A291" s="10" t="n"/>
      <c r="B291" s="10" t="n"/>
      <c r="C291" s="10" t="n"/>
      <c r="D291" s="12" t="n"/>
      <c r="E291" s="14" t="n"/>
      <c r="F291" s="56" t="n"/>
      <c r="G291" s="12" t="n"/>
      <c r="H291" s="57">
        <f>IF(OR(A291="",D291="",F291="✓"),"",TODAY()-D291)</f>
        <v/>
      </c>
      <c r="I291" s="47">
        <f>IF(A291="","",IF(F291="✓","Thanked",IF(D291="","To thank",IF(TODAY()-D291&gt;21,"Overdue (21+ days)","To thank"))))</f>
        <v/>
      </c>
      <c r="J291" s="10" t="n"/>
    </row>
    <row r="292">
      <c r="A292" s="10" t="n"/>
      <c r="B292" s="10" t="n"/>
      <c r="C292" s="10" t="n"/>
      <c r="D292" s="12" t="n"/>
      <c r="E292" s="14" t="n"/>
      <c r="F292" s="56" t="n"/>
      <c r="G292" s="12" t="n"/>
      <c r="H292" s="57">
        <f>IF(OR(A292="",D292="",F292="✓"),"",TODAY()-D292)</f>
        <v/>
      </c>
      <c r="I292" s="47">
        <f>IF(A292="","",IF(F292="✓","Thanked",IF(D292="","To thank",IF(TODAY()-D292&gt;21,"Overdue (21+ days)","To thank"))))</f>
        <v/>
      </c>
      <c r="J292" s="10" t="n"/>
    </row>
    <row r="293">
      <c r="A293" s="10" t="n"/>
      <c r="B293" s="10" t="n"/>
      <c r="C293" s="10" t="n"/>
      <c r="D293" s="12" t="n"/>
      <c r="E293" s="14" t="n"/>
      <c r="F293" s="56" t="n"/>
      <c r="G293" s="12" t="n"/>
      <c r="H293" s="57">
        <f>IF(OR(A293="",D293="",F293="✓"),"",TODAY()-D293)</f>
        <v/>
      </c>
      <c r="I293" s="47">
        <f>IF(A293="","",IF(F293="✓","Thanked",IF(D293="","To thank",IF(TODAY()-D293&gt;21,"Overdue (21+ days)","To thank"))))</f>
        <v/>
      </c>
      <c r="J293" s="10" t="n"/>
    </row>
    <row r="294">
      <c r="A294" s="10" t="n"/>
      <c r="B294" s="10" t="n"/>
      <c r="C294" s="10" t="n"/>
      <c r="D294" s="12" t="n"/>
      <c r="E294" s="14" t="n"/>
      <c r="F294" s="56" t="n"/>
      <c r="G294" s="12" t="n"/>
      <c r="H294" s="57">
        <f>IF(OR(A294="",D294="",F294="✓"),"",TODAY()-D294)</f>
        <v/>
      </c>
      <c r="I294" s="47">
        <f>IF(A294="","",IF(F294="✓","Thanked",IF(D294="","To thank",IF(TODAY()-D294&gt;21,"Overdue (21+ days)","To thank"))))</f>
        <v/>
      </c>
      <c r="J294" s="10" t="n"/>
    </row>
    <row r="295">
      <c r="A295" s="10" t="n"/>
      <c r="B295" s="10" t="n"/>
      <c r="C295" s="10" t="n"/>
      <c r="D295" s="12" t="n"/>
      <c r="E295" s="14" t="n"/>
      <c r="F295" s="56" t="n"/>
      <c r="G295" s="12" t="n"/>
      <c r="H295" s="57">
        <f>IF(OR(A295="",D295="",F295="✓"),"",TODAY()-D295)</f>
        <v/>
      </c>
      <c r="I295" s="47">
        <f>IF(A295="","",IF(F295="✓","Thanked",IF(D295="","To thank",IF(TODAY()-D295&gt;21,"Overdue (21+ days)","To thank"))))</f>
        <v/>
      </c>
      <c r="J295" s="10" t="n"/>
    </row>
    <row r="296">
      <c r="A296" s="10" t="n"/>
      <c r="B296" s="10" t="n"/>
      <c r="C296" s="10" t="n"/>
      <c r="D296" s="12" t="n"/>
      <c r="E296" s="14" t="n"/>
      <c r="F296" s="56" t="n"/>
      <c r="G296" s="12" t="n"/>
      <c r="H296" s="57">
        <f>IF(OR(A296="",D296="",F296="✓"),"",TODAY()-D296)</f>
        <v/>
      </c>
      <c r="I296" s="47">
        <f>IF(A296="","",IF(F296="✓","Thanked",IF(D296="","To thank",IF(TODAY()-D296&gt;21,"Overdue (21+ days)","To thank"))))</f>
        <v/>
      </c>
      <c r="J296" s="10" t="n"/>
    </row>
    <row r="297">
      <c r="A297" s="10" t="n"/>
      <c r="B297" s="10" t="n"/>
      <c r="C297" s="10" t="n"/>
      <c r="D297" s="12" t="n"/>
      <c r="E297" s="14" t="n"/>
      <c r="F297" s="56" t="n"/>
      <c r="G297" s="12" t="n"/>
      <c r="H297" s="57">
        <f>IF(OR(A297="",D297="",F297="✓"),"",TODAY()-D297)</f>
        <v/>
      </c>
      <c r="I297" s="47">
        <f>IF(A297="","",IF(F297="✓","Thanked",IF(D297="","To thank",IF(TODAY()-D297&gt;21,"Overdue (21+ days)","To thank"))))</f>
        <v/>
      </c>
      <c r="J297" s="10" t="n"/>
    </row>
    <row r="298">
      <c r="A298" s="10" t="n"/>
      <c r="B298" s="10" t="n"/>
      <c r="C298" s="10" t="n"/>
      <c r="D298" s="12" t="n"/>
      <c r="E298" s="14" t="n"/>
      <c r="F298" s="56" t="n"/>
      <c r="G298" s="12" t="n"/>
      <c r="H298" s="57">
        <f>IF(OR(A298="",D298="",F298="✓"),"",TODAY()-D298)</f>
        <v/>
      </c>
      <c r="I298" s="47">
        <f>IF(A298="","",IF(F298="✓","Thanked",IF(D298="","To thank",IF(TODAY()-D298&gt;21,"Overdue (21+ days)","To thank"))))</f>
        <v/>
      </c>
      <c r="J298" s="10" t="n"/>
    </row>
    <row r="299">
      <c r="A299" s="10" t="n"/>
      <c r="B299" s="10" t="n"/>
      <c r="C299" s="10" t="n"/>
      <c r="D299" s="12" t="n"/>
      <c r="E299" s="14" t="n"/>
      <c r="F299" s="56" t="n"/>
      <c r="G299" s="12" t="n"/>
      <c r="H299" s="57">
        <f>IF(OR(A299="",D299="",F299="✓"),"",TODAY()-D299)</f>
        <v/>
      </c>
      <c r="I299" s="47">
        <f>IF(A299="","",IF(F299="✓","Thanked",IF(D299="","To thank",IF(TODAY()-D299&gt;21,"Overdue (21+ days)","To thank"))))</f>
        <v/>
      </c>
      <c r="J299" s="10" t="n"/>
    </row>
    <row r="300">
      <c r="A300" s="10" t="n"/>
      <c r="B300" s="10" t="n"/>
      <c r="C300" s="10" t="n"/>
      <c r="D300" s="12" t="n"/>
      <c r="E300" s="14" t="n"/>
      <c r="F300" s="56" t="n"/>
      <c r="G300" s="12" t="n"/>
      <c r="H300" s="57">
        <f>IF(OR(A300="",D300="",F300="✓"),"",TODAY()-D300)</f>
        <v/>
      </c>
      <c r="I300" s="47">
        <f>IF(A300="","",IF(F300="✓","Thanked",IF(D300="","To thank",IF(TODAY()-D300&gt;21,"Overdue (21+ days)","To thank"))))</f>
        <v/>
      </c>
      <c r="J300" s="10" t="n"/>
    </row>
    <row r="301">
      <c r="A301" s="10" t="n"/>
      <c r="B301" s="10" t="n"/>
      <c r="C301" s="10" t="n"/>
      <c r="D301" s="12" t="n"/>
      <c r="E301" s="14" t="n"/>
      <c r="F301" s="56" t="n"/>
      <c r="G301" s="12" t="n"/>
      <c r="H301" s="57">
        <f>IF(OR(A301="",D301="",F301="✓"),"",TODAY()-D301)</f>
        <v/>
      </c>
      <c r="I301" s="47">
        <f>IF(A301="","",IF(F301="✓","Thanked",IF(D301="","To thank",IF(TODAY()-D301&gt;21,"Overdue (21+ days)","To thank"))))</f>
        <v/>
      </c>
      <c r="J301" s="10" t="n"/>
    </row>
    <row r="302">
      <c r="A302" s="10" t="n"/>
      <c r="B302" s="10" t="n"/>
      <c r="C302" s="10" t="n"/>
      <c r="D302" s="12" t="n"/>
      <c r="E302" s="14" t="n"/>
      <c r="F302" s="56" t="n"/>
      <c r="G302" s="12" t="n"/>
      <c r="H302" s="57">
        <f>IF(OR(A302="",D302="",F302="✓"),"",TODAY()-D302)</f>
        <v/>
      </c>
      <c r="I302" s="47">
        <f>IF(A302="","",IF(F302="✓","Thanked",IF(D302="","To thank",IF(TODAY()-D302&gt;21,"Overdue (21+ days)","To thank"))))</f>
        <v/>
      </c>
      <c r="J302" s="10" t="n"/>
    </row>
    <row r="303">
      <c r="A303" s="10" t="n"/>
      <c r="B303" s="10" t="n"/>
      <c r="C303" s="10" t="n"/>
      <c r="D303" s="12" t="n"/>
      <c r="E303" s="14" t="n"/>
      <c r="F303" s="56" t="n"/>
      <c r="G303" s="12" t="n"/>
      <c r="H303" s="57">
        <f>IF(OR(A303="",D303="",F303="✓"),"",TODAY()-D303)</f>
        <v/>
      </c>
      <c r="I303" s="47">
        <f>IF(A303="","",IF(F303="✓","Thanked",IF(D303="","To thank",IF(TODAY()-D303&gt;21,"Overdue (21+ days)","To thank"))))</f>
        <v/>
      </c>
      <c r="J303" s="10" t="n"/>
    </row>
    <row r="304">
      <c r="A304" s="10" t="n"/>
      <c r="B304" s="10" t="n"/>
      <c r="C304" s="10" t="n"/>
      <c r="D304" s="12" t="n"/>
      <c r="E304" s="14" t="n"/>
      <c r="F304" s="56" t="n"/>
      <c r="G304" s="12" t="n"/>
      <c r="H304" s="57">
        <f>IF(OR(A304="",D304="",F304="✓"),"",TODAY()-D304)</f>
        <v/>
      </c>
      <c r="I304" s="47">
        <f>IF(A304="","",IF(F304="✓","Thanked",IF(D304="","To thank",IF(TODAY()-D304&gt;21,"Overdue (21+ days)","To thank"))))</f>
        <v/>
      </c>
      <c r="J304" s="10" t="n"/>
    </row>
    <row r="305">
      <c r="A305" s="10" t="n"/>
      <c r="B305" s="10" t="n"/>
      <c r="C305" s="10" t="n"/>
      <c r="D305" s="12" t="n"/>
      <c r="E305" s="14" t="n"/>
      <c r="F305" s="56" t="n"/>
      <c r="G305" s="12" t="n"/>
      <c r="H305" s="57">
        <f>IF(OR(A305="",D305="",F305="✓"),"",TODAY()-D305)</f>
        <v/>
      </c>
      <c r="I305" s="47">
        <f>IF(A305="","",IF(F305="✓","Thanked",IF(D305="","To thank",IF(TODAY()-D305&gt;21,"Overdue (21+ days)","To thank"))))</f>
        <v/>
      </c>
      <c r="J305" s="10" t="n"/>
    </row>
  </sheetData>
  <conditionalFormatting sqref="A6:J305">
    <cfRule type="expression" priority="1" dxfId="0" stopIfTrue="0">
      <formula>$I6="Overdue (21+ days)"</formula>
    </cfRule>
    <cfRule type="expression" priority="2" dxfId="6" stopIfTrue="0">
      <formula>$I6="Thanked"</formula>
    </cfRule>
  </conditionalFormatting>
  <dataValidations count="2">
    <dataValidation sqref="C6:C305" showDropDown="0" showInputMessage="0" showErrorMessage="0" allowBlank="1" type="list">
      <formula1>=Lists!$L$5:$L$16</formula1>
    </dataValidation>
    <dataValidation sqref="F6:F305" showDropDown="0" showInputMessage="0" showErrorMessage="0" allowBlank="1" type="list">
      <formula1>=Lists!$M$5:$M$5</formula1>
    </dataValidation>
  </dataValidations>
  <pageMargins left="0.5" right="0.5" top="0.6" bottom="0.6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CCCCCC"/>
    <outlinePr summaryBelow="1" summaryRight="1"/>
    <pageSetUpPr fitToPage="1"/>
  </sheetPr>
  <dimension ref="A1:M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0" customHeight="1">
      <c r="A1" s="1" t="inlineStr">
        <is>
          <t>Lists</t>
        </is>
      </c>
    </row>
    <row r="2">
      <c r="A2" s="11" t="inlineStr">
        <is>
          <t>Edit these to change the dropdown options in every tab. Keep the RSVP status words as they are (they drive the colours).</t>
        </is>
      </c>
    </row>
    <row r="3"/>
    <row r="4">
      <c r="A4" s="75" t="inlineStr">
        <is>
          <t>Budget categories</t>
        </is>
      </c>
      <c r="B4" s="75" t="inlineStr">
        <is>
          <t>Side</t>
        </is>
      </c>
      <c r="C4" s="75" t="inlineStr">
        <is>
          <t>Group</t>
        </is>
      </c>
      <c r="D4" s="75" t="inlineStr">
        <is>
          <t>Age</t>
        </is>
      </c>
      <c r="E4" s="75" t="inlineStr">
        <is>
          <t>Meals</t>
        </is>
      </c>
      <c r="F4" s="75" t="inlineStr">
        <is>
          <t>RSVP status (fixed)</t>
        </is>
      </c>
      <c r="G4" s="75" t="inlineStr">
        <is>
          <t>Task status</t>
        </is>
      </c>
      <c r="H4" s="75" t="inlineStr">
        <is>
          <t>Who</t>
        </is>
      </c>
      <c r="I4" s="75" t="inlineStr">
        <is>
          <t>Checklist category</t>
        </is>
      </c>
      <c r="J4" s="75" t="inlineStr">
        <is>
          <t>Vendor status</t>
        </is>
      </c>
      <c r="K4" s="75" t="inlineStr">
        <is>
          <t>Kit category</t>
        </is>
      </c>
      <c r="L4" s="75" t="inlineStr">
        <is>
          <t>Gift event</t>
        </is>
      </c>
      <c r="M4" s="75" t="inlineStr">
        <is>
          <t>Tick</t>
        </is>
      </c>
    </row>
    <row r="5">
      <c r="A5" s="10" t="inlineStr">
        <is>
          <t>Venue &amp; Catering</t>
        </is>
      </c>
      <c r="B5" s="10" t="inlineStr">
        <is>
          <t>Partner 1</t>
        </is>
      </c>
      <c r="C5" s="10" t="inlineStr">
        <is>
          <t>Family</t>
        </is>
      </c>
      <c r="D5" s="10" t="inlineStr">
        <is>
          <t>Adult</t>
        </is>
      </c>
      <c r="E5" s="10" t="inlineStr">
        <is>
          <t>Beef</t>
        </is>
      </c>
      <c r="F5" s="47" t="inlineStr">
        <is>
          <t>Awaiting</t>
        </is>
      </c>
      <c r="G5" s="10" t="inlineStr">
        <is>
          <t>Not started</t>
        </is>
      </c>
      <c r="H5" s="10" t="inlineStr">
        <is>
          <t>Partner 1</t>
        </is>
      </c>
      <c r="I5" s="10" t="inlineStr">
        <is>
          <t>Planning</t>
        </is>
      </c>
      <c r="J5" s="10" t="inlineStr">
        <is>
          <t>Researching</t>
        </is>
      </c>
      <c r="K5" s="10" t="inlineStr">
        <is>
          <t>Paperwork</t>
        </is>
      </c>
      <c r="L5" s="10" t="inlineStr">
        <is>
          <t>Engagement</t>
        </is>
      </c>
      <c r="M5" s="47" t="inlineStr">
        <is>
          <t>✓</t>
        </is>
      </c>
    </row>
    <row r="6">
      <c r="A6" s="10" t="inlineStr">
        <is>
          <t>Photo &amp; Video</t>
        </is>
      </c>
      <c r="B6" s="10" t="inlineStr">
        <is>
          <t>Partner 2</t>
        </is>
      </c>
      <c r="C6" s="10" t="inlineStr">
        <is>
          <t>Friends</t>
        </is>
      </c>
      <c r="D6" s="10" t="inlineStr">
        <is>
          <t>Child</t>
        </is>
      </c>
      <c r="E6" s="10" t="inlineStr">
        <is>
          <t>Chicken</t>
        </is>
      </c>
      <c r="F6" s="47" t="inlineStr">
        <is>
          <t>Attending</t>
        </is>
      </c>
      <c r="G6" s="10" t="inlineStr">
        <is>
          <t>In progress</t>
        </is>
      </c>
      <c r="H6" s="10" t="inlineStr">
        <is>
          <t>Partner 2</t>
        </is>
      </c>
      <c r="I6" s="10" t="inlineStr">
        <is>
          <t>Venue</t>
        </is>
      </c>
      <c r="J6" s="10" t="inlineStr">
        <is>
          <t>Contacted</t>
        </is>
      </c>
      <c r="K6" s="10" t="inlineStr">
        <is>
          <t>Ceremony</t>
        </is>
      </c>
      <c r="L6" s="10" t="inlineStr">
        <is>
          <t>Shower</t>
        </is>
      </c>
    </row>
    <row r="7">
      <c r="A7" s="10" t="inlineStr">
        <is>
          <t>Flowers &amp; Decor</t>
        </is>
      </c>
      <c r="B7" s="10" t="inlineStr">
        <is>
          <t>Both</t>
        </is>
      </c>
      <c r="C7" s="10" t="inlineStr">
        <is>
          <t>Work</t>
        </is>
      </c>
      <c r="D7" s="10" t="inlineStr">
        <is>
          <t>Infant</t>
        </is>
      </c>
      <c r="E7" s="10" t="inlineStr">
        <is>
          <t>Fish</t>
        </is>
      </c>
      <c r="F7" s="47" t="inlineStr">
        <is>
          <t>Declined</t>
        </is>
      </c>
      <c r="G7" s="10" t="inlineStr">
        <is>
          <t>Done</t>
        </is>
      </c>
      <c r="H7" s="10" t="inlineStr">
        <is>
          <t>Both</t>
        </is>
      </c>
      <c r="I7" s="10" t="inlineStr">
        <is>
          <t>Vendors</t>
        </is>
      </c>
      <c r="J7" s="10" t="inlineStr">
        <is>
          <t>Meeting set</t>
        </is>
      </c>
      <c r="K7" s="10" t="inlineStr">
        <is>
          <t>Reception</t>
        </is>
      </c>
      <c r="L7" s="10" t="inlineStr">
        <is>
          <t>Wedding</t>
        </is>
      </c>
    </row>
    <row r="8">
      <c r="A8" s="10" t="inlineStr">
        <is>
          <t>Music &amp; Entertainment</t>
        </is>
      </c>
      <c r="B8" s="10" t="n"/>
      <c r="C8" s="10" t="inlineStr">
        <is>
          <t>Wedding party</t>
        </is>
      </c>
      <c r="D8" s="10" t="n"/>
      <c r="E8" s="10" t="inlineStr">
        <is>
          <t>Vegetarian</t>
        </is>
      </c>
      <c r="F8" s="47" t="inlineStr">
        <is>
          <t>Not sure yet</t>
        </is>
      </c>
      <c r="G8" s="10" t="n"/>
      <c r="H8" s="10" t="inlineStr">
        <is>
          <t>Planner</t>
        </is>
      </c>
      <c r="I8" s="10" t="inlineStr">
        <is>
          <t>Guests</t>
        </is>
      </c>
      <c r="J8" s="10" t="inlineStr">
        <is>
          <t>Booked</t>
        </is>
      </c>
      <c r="K8" s="10" t="inlineStr">
        <is>
          <t>Tech</t>
        </is>
      </c>
      <c r="L8" s="10" t="inlineStr">
        <is>
          <t>Other</t>
        </is>
      </c>
    </row>
    <row r="9">
      <c r="A9" s="10" t="inlineStr">
        <is>
          <t>Attire &amp; Beauty</t>
        </is>
      </c>
      <c r="B9" s="10" t="n"/>
      <c r="C9" s="10" t="inlineStr">
        <is>
          <t>Plus-one</t>
        </is>
      </c>
      <c r="D9" s="10" t="n"/>
      <c r="E9" s="10" t="inlineStr">
        <is>
          <t>Vegan</t>
        </is>
      </c>
      <c r="G9" s="10" t="n"/>
      <c r="H9" s="10" t="inlineStr">
        <is>
          <t>Family</t>
        </is>
      </c>
      <c r="I9" s="10" t="inlineStr">
        <is>
          <t>Attire</t>
        </is>
      </c>
      <c r="J9" s="10" t="inlineStr">
        <is>
          <t>Not chosen</t>
        </is>
      </c>
      <c r="K9" s="10" t="inlineStr">
        <is>
          <t>Attire fixes</t>
        </is>
      </c>
      <c r="L9" s="10" t="n"/>
    </row>
    <row r="10">
      <c r="A10" s="10" t="inlineStr">
        <is>
          <t>Planner &amp; Coordination</t>
        </is>
      </c>
      <c r="B10" s="10" t="n"/>
      <c r="C10" s="10" t="inlineStr">
        <is>
          <t>Neighbors</t>
        </is>
      </c>
      <c r="D10" s="10" t="n"/>
      <c r="E10" s="10" t="inlineStr">
        <is>
          <t>Kids meal</t>
        </is>
      </c>
      <c r="G10" s="10" t="n"/>
      <c r="H10" s="10" t="inlineStr">
        <is>
          <t>Wedding party</t>
        </is>
      </c>
      <c r="I10" s="10" t="inlineStr">
        <is>
          <t>Beauty</t>
        </is>
      </c>
      <c r="J10" s="10" t="n"/>
      <c r="K10" s="10" t="inlineStr">
        <is>
          <t>Beauty</t>
        </is>
      </c>
      <c r="L10" s="10" t="n"/>
    </row>
    <row r="11">
      <c r="A11" s="10" t="inlineStr">
        <is>
          <t>Rings</t>
        </is>
      </c>
      <c r="B11" s="10" t="n"/>
      <c r="C11" s="10" t="inlineStr">
        <is>
          <t>Other</t>
        </is>
      </c>
      <c r="D11" s="10" t="n"/>
      <c r="E11" s="10" t="n"/>
      <c r="G11" s="10" t="n"/>
      <c r="H11" s="10" t="n"/>
      <c r="I11" s="10" t="inlineStr">
        <is>
          <t>Stationery</t>
        </is>
      </c>
      <c r="J11" s="10" t="n"/>
      <c r="K11" s="10" t="inlineStr">
        <is>
          <t>First aid</t>
        </is>
      </c>
      <c r="L11" s="10" t="n"/>
    </row>
    <row r="12">
      <c r="A12" s="10" t="inlineStr">
        <is>
          <t>Rentals</t>
        </is>
      </c>
      <c r="B12" s="10" t="n"/>
      <c r="C12" s="10" t="n"/>
      <c r="D12" s="10" t="n"/>
      <c r="E12" s="10" t="n"/>
      <c r="G12" s="10" t="n"/>
      <c r="H12" s="10" t="n"/>
      <c r="I12" s="10" t="inlineStr">
        <is>
          <t>Ceremony</t>
        </is>
      </c>
      <c r="J12" s="10" t="n"/>
      <c r="K12" s="10" t="inlineStr">
        <is>
          <t>Comfort</t>
        </is>
      </c>
      <c r="L12" s="10" t="n"/>
    </row>
    <row r="13">
      <c r="A13" s="10" t="inlineStr">
        <is>
          <t>Contingency</t>
        </is>
      </c>
      <c r="B13" s="10" t="n"/>
      <c r="C13" s="10" t="n"/>
      <c r="D13" s="10" t="n"/>
      <c r="E13" s="10" t="n"/>
      <c r="G13" s="10" t="n"/>
      <c r="H13" s="10" t="n"/>
      <c r="I13" s="10" t="inlineStr">
        <is>
          <t>Reception</t>
        </is>
      </c>
      <c r="J13" s="10" t="n"/>
      <c r="K13" s="10" t="n"/>
      <c r="L13" s="10" t="n"/>
    </row>
    <row r="14">
      <c r="A14" s="10" t="inlineStr">
        <is>
          <t>Ceremony &amp; Officiant</t>
        </is>
      </c>
      <c r="B14" s="10" t="n"/>
      <c r="C14" s="10" t="n"/>
      <c r="D14" s="10" t="n"/>
      <c r="E14" s="10" t="n"/>
      <c r="G14" s="10" t="n"/>
      <c r="H14" s="10" t="n"/>
      <c r="I14" s="10" t="inlineStr">
        <is>
          <t>Travel</t>
        </is>
      </c>
      <c r="J14" s="10" t="n"/>
      <c r="K14" s="10" t="n"/>
      <c r="L14" s="10" t="n"/>
    </row>
    <row r="15">
      <c r="A15" s="10" t="inlineStr">
        <is>
          <t>Stationery &amp; Postage</t>
        </is>
      </c>
      <c r="B15" s="10" t="n"/>
      <c r="C15" s="10" t="n"/>
      <c r="D15" s="10" t="n"/>
      <c r="E15" s="10" t="n"/>
      <c r="G15" s="10" t="n"/>
      <c r="H15" s="10" t="n"/>
      <c r="I15" s="10" t="inlineStr">
        <is>
          <t>Legal</t>
        </is>
      </c>
      <c r="J15" s="10" t="n"/>
      <c r="K15" s="10" t="n"/>
      <c r="L15" s="10" t="n"/>
    </row>
    <row r="16">
      <c r="A16" s="10" t="inlineStr">
        <is>
          <t>Cake &amp; Desserts</t>
        </is>
      </c>
      <c r="B16" s="10" t="n"/>
      <c r="C16" s="10" t="n"/>
      <c r="D16" s="10" t="n"/>
      <c r="E16" s="10" t="n"/>
      <c r="G16" s="10" t="n"/>
      <c r="H16" s="10" t="n"/>
      <c r="I16" s="10" t="inlineStr">
        <is>
          <t>After</t>
        </is>
      </c>
      <c r="J16" s="10" t="n"/>
      <c r="K16" s="10" t="n"/>
      <c r="L16" s="10" t="n"/>
    </row>
    <row r="17">
      <c r="A17" s="10" t="inlineStr">
        <is>
          <t>Transportation</t>
        </is>
      </c>
    </row>
    <row r="18">
      <c r="A18" s="10" t="inlineStr">
        <is>
          <t>Favors &amp; Gifts</t>
        </is>
      </c>
    </row>
    <row r="19">
      <c r="A19" s="10" t="n"/>
    </row>
    <row r="20">
      <c r="A20" s="10" t="n"/>
    </row>
    <row r="21">
      <c r="A21" s="10" t="n"/>
    </row>
    <row r="22">
      <c r="A22" s="10" t="n"/>
    </row>
    <row r="23">
      <c r="A23" s="10" t="n"/>
    </row>
    <row r="24">
      <c r="A24" s="10" t="n"/>
    </row>
  </sheetData>
  <pageMargins left="0.5" right="0.5" top="0.6" bottom="0.6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tabColor rgb="00CCCCCC"/>
    <outlinePr summaryBelow="1" summaryRight="1"/>
    <pageSetUpPr/>
  </sheetPr>
  <dimension ref="A1:K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16" customWidth="1" min="3" max="3"/>
    <col width="22" customWidth="1" min="4" max="4"/>
    <col width="18" customWidth="1" min="5" max="5"/>
    <col width="14" customWidth="1" min="6" max="6"/>
    <col width="14" customWidth="1" min="7" max="7"/>
    <col width="26" customWidth="1" min="8" max="8"/>
    <col width="14" customWidth="1" min="9" max="9"/>
    <col width="22" customWidth="1" min="10" max="10"/>
    <col width="30" customWidth="1" min="11" max="11"/>
  </cols>
  <sheetData>
    <row r="1">
      <c r="A1" s="76" t="inlineStr">
        <is>
          <t>Timestamp</t>
        </is>
      </c>
      <c r="B1" s="76" t="inlineStr">
        <is>
          <t>Full name</t>
        </is>
      </c>
      <c r="C1" s="76" t="inlineStr">
        <is>
          <t>Mobile phone</t>
        </is>
      </c>
      <c r="D1" s="76" t="inlineStr">
        <is>
          <t>Email (optional)</t>
        </is>
      </c>
      <c r="E1" s="76" t="inlineStr">
        <is>
          <t>Will you attend?</t>
        </is>
      </c>
      <c r="F1" s="76" t="inlineStr">
        <is>
          <t>Number of adults in your party (including you)</t>
        </is>
      </c>
      <c r="G1" s="76" t="inlineStr">
        <is>
          <t>Number of children in your party</t>
        </is>
      </c>
      <c r="H1" s="76" t="inlineStr">
        <is>
          <t>Names of others in your party</t>
        </is>
      </c>
      <c r="I1" s="76" t="inlineStr">
        <is>
          <t>Meal choice</t>
        </is>
      </c>
      <c r="J1" s="76" t="inlineStr">
        <is>
          <t>Dietary needs or allergies</t>
        </is>
      </c>
      <c r="K1" s="76" t="inlineStr">
        <is>
          <t>A message for the couple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CCCCCC"/>
    <outlinePr summaryBelow="1" summaryRight="1"/>
    <pageSetUpPr/>
  </sheetPr>
  <dimension ref="A1:AI601"/>
  <sheetViews>
    <sheetView showGridLines="0" workbookViewId="0">
      <selection activeCell="A1" sqref="A1"/>
    </sheetView>
  </sheetViews>
  <sheetFormatPr baseColWidth="8" defaultRowHeight="15"/>
  <sheetData>
    <row r="1">
      <c r="A1" s="77" t="inlineStr">
        <is>
          <t>Received</t>
        </is>
      </c>
      <c r="B1" s="77" t="inlineStr">
        <is>
          <t>Name</t>
        </is>
      </c>
      <c r="C1" s="77" t="inlineStr">
        <is>
          <t>Phone</t>
        </is>
      </c>
      <c r="D1" s="77" t="inlineStr">
        <is>
          <t>Digits</t>
        </is>
      </c>
      <c r="E1" s="77" t="inlineStr">
        <is>
          <t>Phone key</t>
        </is>
      </c>
      <c r="F1" s="77" t="inlineStr">
        <is>
          <t>Email</t>
        </is>
      </c>
      <c r="G1" s="77" t="inlineStr">
        <is>
          <t>Status</t>
        </is>
      </c>
      <c r="H1" s="77" t="inlineStr">
        <is>
          <t>Adults</t>
        </is>
      </c>
      <c r="I1" s="77" t="inlineStr">
        <is>
          <t>Children</t>
        </is>
      </c>
      <c r="J1" s="77" t="inlineStr">
        <is>
          <t>Others</t>
        </is>
      </c>
      <c r="K1" s="77" t="inlineStr">
        <is>
          <t>Meal</t>
        </is>
      </c>
      <c r="L1" s="77" t="inlineStr">
        <is>
          <t>Dietary</t>
        </is>
      </c>
      <c r="M1" s="77" t="inlineStr">
        <is>
          <t>Message</t>
        </is>
      </c>
      <c r="N1" s="77" t="inlineStr">
        <is>
          <t>Person key</t>
        </is>
      </c>
      <c r="O1" s="77" t="inlineStr">
        <is>
          <t>Is latest</t>
        </is>
      </c>
      <c r="P1" s="77" t="inlineStr">
        <is>
          <t>Latest phone key</t>
        </is>
      </c>
      <c r="Q1" s="77" t="inlineStr">
        <is>
          <t>Latest name</t>
        </is>
      </c>
      <c r="R1" s="77" t="inlineStr">
        <is>
          <t>Guest row</t>
        </is>
      </c>
      <c r="S1" s="77" t="inlineStr">
        <is>
          <t>Party</t>
        </is>
      </c>
      <c r="T1" s="77" t="inlineStr">
        <is>
          <t>Party rows</t>
        </is>
      </c>
      <c r="U1" s="77" t="inlineStr">
        <is>
          <t>First in party</t>
        </is>
      </c>
      <c r="V1" s="77" t="inlineStr">
        <is>
          <t>Extra people</t>
        </is>
      </c>
      <c r="W1" s="77" t="inlineStr">
        <is>
          <t>Is new</t>
        </is>
      </c>
      <c r="X1" s="77" t="inlineStr">
        <is>
          <t>Size</t>
        </is>
      </c>
      <c r="Y1" s="77" t="inlineStr">
        <is>
          <t>Latest cum</t>
        </is>
      </c>
      <c r="Z1" s="77" t="inlineStr">
        <is>
          <t>Latest seq</t>
        </is>
      </c>
      <c r="AA1" s="77" t="inlineStr">
        <is>
          <t>New maybe</t>
        </is>
      </c>
      <c r="AB1" s="77" t="inlineStr">
        <is>
          <t>NM cum</t>
        </is>
      </c>
      <c r="AC1" s="77" t="inlineStr">
        <is>
          <t>NM seq</t>
        </is>
      </c>
      <c r="AD1" s="77" t="inlineStr">
        <is>
          <t>Phone +1</t>
        </is>
      </c>
      <c r="AE1" s="77" t="inlineStr">
        <is>
          <t>Greeting</t>
        </is>
      </c>
      <c r="AF1" s="77" t="inlineStr">
        <is>
          <t>Enc greeting</t>
        </is>
      </c>
      <c r="AG1" s="77" t="inlineStr">
        <is>
          <t>Reminder URL</t>
        </is>
      </c>
      <c r="AH1" s="77" t="inlineStr">
        <is>
          <t>New cum</t>
        </is>
      </c>
      <c r="AI1" s="77" t="inlineStr">
        <is>
          <t>New seq</t>
        </is>
      </c>
    </row>
    <row r="2">
      <c r="A2" s="32">
        <f>IF(INDEX('Form Responses'!$A:$A,ROW())="","",INDEX('Form Responses'!$A:$A,ROW()))</f>
        <v/>
      </c>
      <c r="B2" s="32">
        <f>TRIM(INDEX('Form Responses'!$B:$B,ROW())&amp;"")</f>
        <v/>
      </c>
      <c r="C2" s="32">
        <f>IF(B2="","",TRIM(INDEX('Form Responses'!$C:$C,ROW())&amp;""))</f>
        <v/>
      </c>
      <c r="D2" s="32">
        <f>SUBSTITUTE(SUBSTITUTE(SUBSTITUTE(SUBSTITUTE(SUBSTITUTE(SUBSTITUTE(SUBSTITUTE(SUBSTITUTE(C2," ",""),"-",""),"(",""),")",""),".",""),"+",""),"/",""),CHAR(160),"")</f>
        <v/>
      </c>
      <c r="E2" s="32">
        <f>IF(LEN(D2)&gt;=10,RIGHT(D2,10),D2)</f>
        <v/>
      </c>
      <c r="F2" s="32">
        <f>IF(B2="","",TRIM(INDEX('Form Responses'!$D:$D,ROW())&amp;""))</f>
        <v/>
      </c>
      <c r="G2" s="32">
        <f>IF(B2="","",IF(LEFT(TRIM(INDEX('Form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" s="32">
        <f>IF(B2="","",MAX(0,IFERROR(INT(--(INDEX('Form Responses'!$F:$F,ROW())&amp;"")),1)))</f>
        <v/>
      </c>
      <c r="I2" s="32">
        <f>IF(B2="","",MAX(0,IFERROR(INT(--(INDEX('Form Responses'!$G:$G,ROW())&amp;"")),0)))</f>
        <v/>
      </c>
      <c r="J2" s="32">
        <f>IF(B2="","",TRIM(INDEX('Form Responses'!$H:$H,ROW())&amp;""))</f>
        <v/>
      </c>
      <c r="K2" s="32">
        <f>IF(B2="","",TRIM(INDEX('Form Responses'!$I:$I,ROW())&amp;""))</f>
        <v/>
      </c>
      <c r="L2" s="32">
        <f>IF(B2="","",TRIM(INDEX('Form Responses'!$J:$J,ROW())&amp;""))</f>
        <v/>
      </c>
      <c r="M2" s="32">
        <f>IF(B2="","",TRIM(INDEX('Form Responses'!$K:$K,ROW())&amp;""))</f>
        <v/>
      </c>
      <c r="N2" s="32">
        <f>IF(B2="","",IF(E2&lt;&gt;"","P"&amp;E2,"N"&amp;B2))</f>
        <v/>
      </c>
      <c r="O2" s="32">
        <f>IF(N2="",0,IF(COUNTIF(N3:N$602,N2)=0,1,0))</f>
        <v/>
      </c>
      <c r="P2" s="32">
        <f>IF(AND(O2=1,E2&lt;&gt;""),E2,"")</f>
        <v/>
      </c>
      <c r="Q2" s="32">
        <f>IF(O2=1,B2,"")</f>
        <v/>
      </c>
      <c r="R2" s="32">
        <f>IF(O2&lt;&gt;1,"",IF(E2&lt;&gt;"",IFERROR(MATCH(E2,Guests!$S$6:$S$505,0)+5,IFERROR(MATCH(B2,Guests!$A$6:$A$505,0)+5,"")),IFERROR(MATCH(B2,Guests!$A$6:$A$505,0)+5,"")))</f>
        <v/>
      </c>
      <c r="S2" s="32">
        <f>IF(R2="","",TRIM(INDEX(Guests!$E$1:$E$505,R2)&amp;""))</f>
        <v/>
      </c>
      <c r="T2" s="32">
        <f>IF(R2="","",IF(S2="",1,COUNTIF(Guests!$E$6:$E$505,S2)))</f>
        <v/>
      </c>
      <c r="U2" s="32">
        <f>IF(R2="","",IF(S2="",1,IF(COUNTIF(S$1:S1,S2)=0,1,0)))</f>
        <v/>
      </c>
      <c r="V2" s="32">
        <f>IF(AND(R2&lt;&gt;"",G2="Attending",U2=1),MAX(0,H2+I2-T2),0)</f>
        <v/>
      </c>
      <c r="W2" s="32">
        <f>IF(AND(O2=1,R2=""),1,0)</f>
        <v/>
      </c>
      <c r="X2" s="32">
        <f>IF(B2="",0,H2+I2)</f>
        <v/>
      </c>
      <c r="Y2" s="32">
        <f>N(Y1)+O2</f>
        <v/>
      </c>
      <c r="Z2" s="32">
        <f>IF(O2=1,Y2,"")</f>
        <v/>
      </c>
      <c r="AA2" s="32">
        <f>IF(AND(W2=1,G2="Not sure yet"),1,0)</f>
        <v/>
      </c>
      <c r="AB2" s="32">
        <f>N(AB1)+AA2</f>
        <v/>
      </c>
      <c r="AC2" s="32">
        <f>IF(AA2=1,AB2,"")</f>
        <v/>
      </c>
      <c r="AD2" s="32">
        <f>IF(D2="","",IF(LEN(D2)=10,"+1"&amp;D2,IF(AND(LEN(D2)=11,LEFT(D2,1)="1"),"+"&amp;D2,IF(LEFT(C2,1)="+","+"&amp;D2,D2))))</f>
        <v/>
      </c>
      <c r="AE2" s="32">
        <f>IF(B2="","",PROPER(IFERROR(LEFT(B2,FIND(" ",B2)-1),B2)))</f>
        <v/>
      </c>
      <c r="AF2" s="32">
        <f>SUBSTITUTE(SUBSTITUTE(SUBSTITUTE(SUBSTITUTE(SUBSTITUTE(SUBSTITUTE(SUBSTITUTE(SUBSTITUTE(SUBSTITUTE(SUBSTITUTE(AE2,"%","%25"),"&amp;","%26"),"#","%23"),"+","%2B"),"=","%3D"),"?","%3F"),CHAR(34),"%22"),CHAR(10),"%0A"),CHAR(13),"")," ","+")</f>
        <v/>
      </c>
      <c r="AG2" s="32">
        <f>IF(OR(AD2="",AE2=""),"",'Start Here'!$B$20&amp;"#p="&amp;SUBSTITUTE(AD2,"+","%2B")&amp;"&amp;n="&amp;AF2&amp;"&amp;m="&amp;SUBSTITUTE('Start Here'!$B$24,"{name}",AF2))</f>
        <v/>
      </c>
      <c r="AH2" s="32">
        <f>N(AH1)+W2</f>
        <v/>
      </c>
      <c r="AI2" s="32">
        <f>IF(W2=1,AH2,"")</f>
        <v/>
      </c>
    </row>
    <row r="3">
      <c r="A3" s="32">
        <f>IF(INDEX('Form Responses'!$A:$A,ROW())="","",INDEX('Form Responses'!$A:$A,ROW()))</f>
        <v/>
      </c>
      <c r="B3" s="32">
        <f>TRIM(INDEX('Form Responses'!$B:$B,ROW())&amp;"")</f>
        <v/>
      </c>
      <c r="C3" s="32">
        <f>IF(B3="","",TRIM(INDEX('Form Responses'!$C:$C,ROW())&amp;""))</f>
        <v/>
      </c>
      <c r="D3" s="32">
        <f>SUBSTITUTE(SUBSTITUTE(SUBSTITUTE(SUBSTITUTE(SUBSTITUTE(SUBSTITUTE(SUBSTITUTE(SUBSTITUTE(C3," ",""),"-",""),"(",""),")",""),".",""),"+",""),"/",""),CHAR(160),"")</f>
        <v/>
      </c>
      <c r="E3" s="32">
        <f>IF(LEN(D3)&gt;=10,RIGHT(D3,10),D3)</f>
        <v/>
      </c>
      <c r="F3" s="32">
        <f>IF(B3="","",TRIM(INDEX('Form Responses'!$D:$D,ROW())&amp;""))</f>
        <v/>
      </c>
      <c r="G3" s="32">
        <f>IF(B3="","",IF(LEFT(TRIM(INDEX('Form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" s="32">
        <f>IF(B3="","",MAX(0,IFERROR(INT(--(INDEX('Form Responses'!$F:$F,ROW())&amp;"")),1)))</f>
        <v/>
      </c>
      <c r="I3" s="32">
        <f>IF(B3="","",MAX(0,IFERROR(INT(--(INDEX('Form Responses'!$G:$G,ROW())&amp;"")),0)))</f>
        <v/>
      </c>
      <c r="J3" s="32">
        <f>IF(B3="","",TRIM(INDEX('Form Responses'!$H:$H,ROW())&amp;""))</f>
        <v/>
      </c>
      <c r="K3" s="32">
        <f>IF(B3="","",TRIM(INDEX('Form Responses'!$I:$I,ROW())&amp;""))</f>
        <v/>
      </c>
      <c r="L3" s="32">
        <f>IF(B3="","",TRIM(INDEX('Form Responses'!$J:$J,ROW())&amp;""))</f>
        <v/>
      </c>
      <c r="M3" s="32">
        <f>IF(B3="","",TRIM(INDEX('Form Responses'!$K:$K,ROW())&amp;""))</f>
        <v/>
      </c>
      <c r="N3" s="32">
        <f>IF(B3="","",IF(E3&lt;&gt;"","P"&amp;E3,"N"&amp;B3))</f>
        <v/>
      </c>
      <c r="O3" s="32">
        <f>IF(N3="",0,IF(COUNTIF(N4:N$602,N3)=0,1,0))</f>
        <v/>
      </c>
      <c r="P3" s="32">
        <f>IF(AND(O3=1,E3&lt;&gt;""),E3,"")</f>
        <v/>
      </c>
      <c r="Q3" s="32">
        <f>IF(O3=1,B3,"")</f>
        <v/>
      </c>
      <c r="R3" s="32">
        <f>IF(O3&lt;&gt;1,"",IF(E3&lt;&gt;"",IFERROR(MATCH(E3,Guests!$S$6:$S$505,0)+5,IFERROR(MATCH(B3,Guests!$A$6:$A$505,0)+5,"")),IFERROR(MATCH(B3,Guests!$A$6:$A$505,0)+5,"")))</f>
        <v/>
      </c>
      <c r="S3" s="32">
        <f>IF(R3="","",TRIM(INDEX(Guests!$E$1:$E$505,R3)&amp;""))</f>
        <v/>
      </c>
      <c r="T3" s="32">
        <f>IF(R3="","",IF(S3="",1,COUNTIF(Guests!$E$6:$E$505,S3)))</f>
        <v/>
      </c>
      <c r="U3" s="32">
        <f>IF(R3="","",IF(S3="",1,IF(COUNTIF(S$1:S2,S3)=0,1,0)))</f>
        <v/>
      </c>
      <c r="V3" s="32">
        <f>IF(AND(R3&lt;&gt;"",G3="Attending",U3=1),MAX(0,H3+I3-T3),0)</f>
        <v/>
      </c>
      <c r="W3" s="32">
        <f>IF(AND(O3=1,R3=""),1,0)</f>
        <v/>
      </c>
      <c r="X3" s="32">
        <f>IF(B3="",0,H3+I3)</f>
        <v/>
      </c>
      <c r="Y3" s="32">
        <f>N(Y2)+O3</f>
        <v/>
      </c>
      <c r="Z3" s="32">
        <f>IF(O3=1,Y3,"")</f>
        <v/>
      </c>
      <c r="AA3" s="32">
        <f>IF(AND(W3=1,G3="Not sure yet"),1,0)</f>
        <v/>
      </c>
      <c r="AB3" s="32">
        <f>N(AB2)+AA3</f>
        <v/>
      </c>
      <c r="AC3" s="32">
        <f>IF(AA3=1,AB3,"")</f>
        <v/>
      </c>
      <c r="AD3" s="32">
        <f>IF(D3="","",IF(LEN(D3)=10,"+1"&amp;D3,IF(AND(LEN(D3)=11,LEFT(D3,1)="1"),"+"&amp;D3,IF(LEFT(C3,1)="+","+"&amp;D3,D3))))</f>
        <v/>
      </c>
      <c r="AE3" s="32">
        <f>IF(B3="","",PROPER(IFERROR(LEFT(B3,FIND(" ",B3)-1),B3)))</f>
        <v/>
      </c>
      <c r="AF3" s="32">
        <f>SUBSTITUTE(SUBSTITUTE(SUBSTITUTE(SUBSTITUTE(SUBSTITUTE(SUBSTITUTE(SUBSTITUTE(SUBSTITUTE(SUBSTITUTE(SUBSTITUTE(AE3,"%","%25"),"&amp;","%26"),"#","%23"),"+","%2B"),"=","%3D"),"?","%3F"),CHAR(34),"%22"),CHAR(10),"%0A"),CHAR(13),"")," ","+")</f>
        <v/>
      </c>
      <c r="AG3" s="32">
        <f>IF(OR(AD3="",AE3=""),"",'Start Here'!$B$20&amp;"#p="&amp;SUBSTITUTE(AD3,"+","%2B")&amp;"&amp;n="&amp;AF3&amp;"&amp;m="&amp;SUBSTITUTE('Start Here'!$B$24,"{name}",AF3))</f>
        <v/>
      </c>
      <c r="AH3" s="32">
        <f>N(AH2)+W3</f>
        <v/>
      </c>
      <c r="AI3" s="32">
        <f>IF(W3=1,AH3,"")</f>
        <v/>
      </c>
    </row>
    <row r="4">
      <c r="A4" s="32">
        <f>IF(INDEX('Form Responses'!$A:$A,ROW())="","",INDEX('Form Responses'!$A:$A,ROW()))</f>
        <v/>
      </c>
      <c r="B4" s="32">
        <f>TRIM(INDEX('Form Responses'!$B:$B,ROW())&amp;"")</f>
        <v/>
      </c>
      <c r="C4" s="32">
        <f>IF(B4="","",TRIM(INDEX('Form Responses'!$C:$C,ROW())&amp;""))</f>
        <v/>
      </c>
      <c r="D4" s="32">
        <f>SUBSTITUTE(SUBSTITUTE(SUBSTITUTE(SUBSTITUTE(SUBSTITUTE(SUBSTITUTE(SUBSTITUTE(SUBSTITUTE(C4," ",""),"-",""),"(",""),")",""),".",""),"+",""),"/",""),CHAR(160),"")</f>
        <v/>
      </c>
      <c r="E4" s="32">
        <f>IF(LEN(D4)&gt;=10,RIGHT(D4,10),D4)</f>
        <v/>
      </c>
      <c r="F4" s="32">
        <f>IF(B4="","",TRIM(INDEX('Form Responses'!$D:$D,ROW())&amp;""))</f>
        <v/>
      </c>
      <c r="G4" s="32">
        <f>IF(B4="","",IF(LEFT(TRIM(INDEX('Form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" s="32">
        <f>IF(B4="","",MAX(0,IFERROR(INT(--(INDEX('Form Responses'!$F:$F,ROW())&amp;"")),1)))</f>
        <v/>
      </c>
      <c r="I4" s="32">
        <f>IF(B4="","",MAX(0,IFERROR(INT(--(INDEX('Form Responses'!$G:$G,ROW())&amp;"")),0)))</f>
        <v/>
      </c>
      <c r="J4" s="32">
        <f>IF(B4="","",TRIM(INDEX('Form Responses'!$H:$H,ROW())&amp;""))</f>
        <v/>
      </c>
      <c r="K4" s="32">
        <f>IF(B4="","",TRIM(INDEX('Form Responses'!$I:$I,ROW())&amp;""))</f>
        <v/>
      </c>
      <c r="L4" s="32">
        <f>IF(B4="","",TRIM(INDEX('Form Responses'!$J:$J,ROW())&amp;""))</f>
        <v/>
      </c>
      <c r="M4" s="32">
        <f>IF(B4="","",TRIM(INDEX('Form Responses'!$K:$K,ROW())&amp;""))</f>
        <v/>
      </c>
      <c r="N4" s="32">
        <f>IF(B4="","",IF(E4&lt;&gt;"","P"&amp;E4,"N"&amp;B4))</f>
        <v/>
      </c>
      <c r="O4" s="32">
        <f>IF(N4="",0,IF(COUNTIF(N5:N$602,N4)=0,1,0))</f>
        <v/>
      </c>
      <c r="P4" s="32">
        <f>IF(AND(O4=1,E4&lt;&gt;""),E4,"")</f>
        <v/>
      </c>
      <c r="Q4" s="32">
        <f>IF(O4=1,B4,"")</f>
        <v/>
      </c>
      <c r="R4" s="32">
        <f>IF(O4&lt;&gt;1,"",IF(E4&lt;&gt;"",IFERROR(MATCH(E4,Guests!$S$6:$S$505,0)+5,IFERROR(MATCH(B4,Guests!$A$6:$A$505,0)+5,"")),IFERROR(MATCH(B4,Guests!$A$6:$A$505,0)+5,"")))</f>
        <v/>
      </c>
      <c r="S4" s="32">
        <f>IF(R4="","",TRIM(INDEX(Guests!$E$1:$E$505,R4)&amp;""))</f>
        <v/>
      </c>
      <c r="T4" s="32">
        <f>IF(R4="","",IF(S4="",1,COUNTIF(Guests!$E$6:$E$505,S4)))</f>
        <v/>
      </c>
      <c r="U4" s="32">
        <f>IF(R4="","",IF(S4="",1,IF(COUNTIF(S$1:S3,S4)=0,1,0)))</f>
        <v/>
      </c>
      <c r="V4" s="32">
        <f>IF(AND(R4&lt;&gt;"",G4="Attending",U4=1),MAX(0,H4+I4-T4),0)</f>
        <v/>
      </c>
      <c r="W4" s="32">
        <f>IF(AND(O4=1,R4=""),1,0)</f>
        <v/>
      </c>
      <c r="X4" s="32">
        <f>IF(B4="",0,H4+I4)</f>
        <v/>
      </c>
      <c r="Y4" s="32">
        <f>N(Y3)+O4</f>
        <v/>
      </c>
      <c r="Z4" s="32">
        <f>IF(O4=1,Y4,"")</f>
        <v/>
      </c>
      <c r="AA4" s="32">
        <f>IF(AND(W4=1,G4="Not sure yet"),1,0)</f>
        <v/>
      </c>
      <c r="AB4" s="32">
        <f>N(AB3)+AA4</f>
        <v/>
      </c>
      <c r="AC4" s="32">
        <f>IF(AA4=1,AB4,"")</f>
        <v/>
      </c>
      <c r="AD4" s="32">
        <f>IF(D4="","",IF(LEN(D4)=10,"+1"&amp;D4,IF(AND(LEN(D4)=11,LEFT(D4,1)="1"),"+"&amp;D4,IF(LEFT(C4,1)="+","+"&amp;D4,D4))))</f>
        <v/>
      </c>
      <c r="AE4" s="32">
        <f>IF(B4="","",PROPER(IFERROR(LEFT(B4,FIND(" ",B4)-1),B4)))</f>
        <v/>
      </c>
      <c r="AF4" s="32">
        <f>SUBSTITUTE(SUBSTITUTE(SUBSTITUTE(SUBSTITUTE(SUBSTITUTE(SUBSTITUTE(SUBSTITUTE(SUBSTITUTE(SUBSTITUTE(SUBSTITUTE(AE4,"%","%25"),"&amp;","%26"),"#","%23"),"+","%2B"),"=","%3D"),"?","%3F"),CHAR(34),"%22"),CHAR(10),"%0A"),CHAR(13),"")," ","+")</f>
        <v/>
      </c>
      <c r="AG4" s="32">
        <f>IF(OR(AD4="",AE4=""),"",'Start Here'!$B$20&amp;"#p="&amp;SUBSTITUTE(AD4,"+","%2B")&amp;"&amp;n="&amp;AF4&amp;"&amp;m="&amp;SUBSTITUTE('Start Here'!$B$24,"{name}",AF4))</f>
        <v/>
      </c>
      <c r="AH4" s="32">
        <f>N(AH3)+W4</f>
        <v/>
      </c>
      <c r="AI4" s="32">
        <f>IF(W4=1,AH4,"")</f>
        <v/>
      </c>
    </row>
    <row r="5">
      <c r="A5" s="32">
        <f>IF(INDEX('Form Responses'!$A:$A,ROW())="","",INDEX('Form Responses'!$A:$A,ROW()))</f>
        <v/>
      </c>
      <c r="B5" s="32">
        <f>TRIM(INDEX('Form Responses'!$B:$B,ROW())&amp;"")</f>
        <v/>
      </c>
      <c r="C5" s="32">
        <f>IF(B5="","",TRIM(INDEX('Form Responses'!$C:$C,ROW())&amp;""))</f>
        <v/>
      </c>
      <c r="D5" s="32">
        <f>SUBSTITUTE(SUBSTITUTE(SUBSTITUTE(SUBSTITUTE(SUBSTITUTE(SUBSTITUTE(SUBSTITUTE(SUBSTITUTE(C5," ",""),"-",""),"(",""),")",""),".",""),"+",""),"/",""),CHAR(160),"")</f>
        <v/>
      </c>
      <c r="E5" s="32">
        <f>IF(LEN(D5)&gt;=10,RIGHT(D5,10),D5)</f>
        <v/>
      </c>
      <c r="F5" s="32">
        <f>IF(B5="","",TRIM(INDEX('Form Responses'!$D:$D,ROW())&amp;""))</f>
        <v/>
      </c>
      <c r="G5" s="32">
        <f>IF(B5="","",IF(LEFT(TRIM(INDEX('Form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" s="32">
        <f>IF(B5="","",MAX(0,IFERROR(INT(--(INDEX('Form Responses'!$F:$F,ROW())&amp;"")),1)))</f>
        <v/>
      </c>
      <c r="I5" s="32">
        <f>IF(B5="","",MAX(0,IFERROR(INT(--(INDEX('Form Responses'!$G:$G,ROW())&amp;"")),0)))</f>
        <v/>
      </c>
      <c r="J5" s="32">
        <f>IF(B5="","",TRIM(INDEX('Form Responses'!$H:$H,ROW())&amp;""))</f>
        <v/>
      </c>
      <c r="K5" s="32">
        <f>IF(B5="","",TRIM(INDEX('Form Responses'!$I:$I,ROW())&amp;""))</f>
        <v/>
      </c>
      <c r="L5" s="32">
        <f>IF(B5="","",TRIM(INDEX('Form Responses'!$J:$J,ROW())&amp;""))</f>
        <v/>
      </c>
      <c r="M5" s="32">
        <f>IF(B5="","",TRIM(INDEX('Form Responses'!$K:$K,ROW())&amp;""))</f>
        <v/>
      </c>
      <c r="N5" s="32">
        <f>IF(B5="","",IF(E5&lt;&gt;"","P"&amp;E5,"N"&amp;B5))</f>
        <v/>
      </c>
      <c r="O5" s="32">
        <f>IF(N5="",0,IF(COUNTIF(N6:N$602,N5)=0,1,0))</f>
        <v/>
      </c>
      <c r="P5" s="32">
        <f>IF(AND(O5=1,E5&lt;&gt;""),E5,"")</f>
        <v/>
      </c>
      <c r="Q5" s="32">
        <f>IF(O5=1,B5,"")</f>
        <v/>
      </c>
      <c r="R5" s="32">
        <f>IF(O5&lt;&gt;1,"",IF(E5&lt;&gt;"",IFERROR(MATCH(E5,Guests!$S$6:$S$505,0)+5,IFERROR(MATCH(B5,Guests!$A$6:$A$505,0)+5,"")),IFERROR(MATCH(B5,Guests!$A$6:$A$505,0)+5,"")))</f>
        <v/>
      </c>
      <c r="S5" s="32">
        <f>IF(R5="","",TRIM(INDEX(Guests!$E$1:$E$505,R5)&amp;""))</f>
        <v/>
      </c>
      <c r="T5" s="32">
        <f>IF(R5="","",IF(S5="",1,COUNTIF(Guests!$E$6:$E$505,S5)))</f>
        <v/>
      </c>
      <c r="U5" s="32">
        <f>IF(R5="","",IF(S5="",1,IF(COUNTIF(S$1:S4,S5)=0,1,0)))</f>
        <v/>
      </c>
      <c r="V5" s="32">
        <f>IF(AND(R5&lt;&gt;"",G5="Attending",U5=1),MAX(0,H5+I5-T5),0)</f>
        <v/>
      </c>
      <c r="W5" s="32">
        <f>IF(AND(O5=1,R5=""),1,0)</f>
        <v/>
      </c>
      <c r="X5" s="32">
        <f>IF(B5="",0,H5+I5)</f>
        <v/>
      </c>
      <c r="Y5" s="32">
        <f>N(Y4)+O5</f>
        <v/>
      </c>
      <c r="Z5" s="32">
        <f>IF(O5=1,Y5,"")</f>
        <v/>
      </c>
      <c r="AA5" s="32">
        <f>IF(AND(W5=1,G5="Not sure yet"),1,0)</f>
        <v/>
      </c>
      <c r="AB5" s="32">
        <f>N(AB4)+AA5</f>
        <v/>
      </c>
      <c r="AC5" s="32">
        <f>IF(AA5=1,AB5,"")</f>
        <v/>
      </c>
      <c r="AD5" s="32">
        <f>IF(D5="","",IF(LEN(D5)=10,"+1"&amp;D5,IF(AND(LEN(D5)=11,LEFT(D5,1)="1"),"+"&amp;D5,IF(LEFT(C5,1)="+","+"&amp;D5,D5))))</f>
        <v/>
      </c>
      <c r="AE5" s="32">
        <f>IF(B5="","",PROPER(IFERROR(LEFT(B5,FIND(" ",B5)-1),B5)))</f>
        <v/>
      </c>
      <c r="AF5" s="32">
        <f>SUBSTITUTE(SUBSTITUTE(SUBSTITUTE(SUBSTITUTE(SUBSTITUTE(SUBSTITUTE(SUBSTITUTE(SUBSTITUTE(SUBSTITUTE(SUBSTITUTE(AE5,"%","%25"),"&amp;","%26"),"#","%23"),"+","%2B"),"=","%3D"),"?","%3F"),CHAR(34),"%22"),CHAR(10),"%0A"),CHAR(13),"")," ","+")</f>
        <v/>
      </c>
      <c r="AG5" s="32">
        <f>IF(OR(AD5="",AE5=""),"",'Start Here'!$B$20&amp;"#p="&amp;SUBSTITUTE(AD5,"+","%2B")&amp;"&amp;n="&amp;AF5&amp;"&amp;m="&amp;SUBSTITUTE('Start Here'!$B$24,"{name}",AF5))</f>
        <v/>
      </c>
      <c r="AH5" s="32">
        <f>N(AH4)+W5</f>
        <v/>
      </c>
      <c r="AI5" s="32">
        <f>IF(W5=1,AH5,"")</f>
        <v/>
      </c>
    </row>
    <row r="6">
      <c r="A6" s="32">
        <f>IF(INDEX('Form Responses'!$A:$A,ROW())="","",INDEX('Form Responses'!$A:$A,ROW()))</f>
        <v/>
      </c>
      <c r="B6" s="32">
        <f>TRIM(INDEX('Form Responses'!$B:$B,ROW())&amp;"")</f>
        <v/>
      </c>
      <c r="C6" s="32">
        <f>IF(B6="","",TRIM(INDEX('Form Responses'!$C:$C,ROW())&amp;""))</f>
        <v/>
      </c>
      <c r="D6" s="32">
        <f>SUBSTITUTE(SUBSTITUTE(SUBSTITUTE(SUBSTITUTE(SUBSTITUTE(SUBSTITUTE(SUBSTITUTE(SUBSTITUTE(C6," ",""),"-",""),"(",""),")",""),".",""),"+",""),"/",""),CHAR(160),"")</f>
        <v/>
      </c>
      <c r="E6" s="32">
        <f>IF(LEN(D6)&gt;=10,RIGHT(D6,10),D6)</f>
        <v/>
      </c>
      <c r="F6" s="32">
        <f>IF(B6="","",TRIM(INDEX('Form Responses'!$D:$D,ROW())&amp;""))</f>
        <v/>
      </c>
      <c r="G6" s="32">
        <f>IF(B6="","",IF(LEFT(TRIM(INDEX('Form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" s="32">
        <f>IF(B6="","",MAX(0,IFERROR(INT(--(INDEX('Form Responses'!$F:$F,ROW())&amp;"")),1)))</f>
        <v/>
      </c>
      <c r="I6" s="32">
        <f>IF(B6="","",MAX(0,IFERROR(INT(--(INDEX('Form Responses'!$G:$G,ROW())&amp;"")),0)))</f>
        <v/>
      </c>
      <c r="J6" s="32">
        <f>IF(B6="","",TRIM(INDEX('Form Responses'!$H:$H,ROW())&amp;""))</f>
        <v/>
      </c>
      <c r="K6" s="32">
        <f>IF(B6="","",TRIM(INDEX('Form Responses'!$I:$I,ROW())&amp;""))</f>
        <v/>
      </c>
      <c r="L6" s="32">
        <f>IF(B6="","",TRIM(INDEX('Form Responses'!$J:$J,ROW())&amp;""))</f>
        <v/>
      </c>
      <c r="M6" s="32">
        <f>IF(B6="","",TRIM(INDEX('Form Responses'!$K:$K,ROW())&amp;""))</f>
        <v/>
      </c>
      <c r="N6" s="32">
        <f>IF(B6="","",IF(E6&lt;&gt;"","P"&amp;E6,"N"&amp;B6))</f>
        <v/>
      </c>
      <c r="O6" s="32">
        <f>IF(N6="",0,IF(COUNTIF(N7:N$602,N6)=0,1,0))</f>
        <v/>
      </c>
      <c r="P6" s="32">
        <f>IF(AND(O6=1,E6&lt;&gt;""),E6,"")</f>
        <v/>
      </c>
      <c r="Q6" s="32">
        <f>IF(O6=1,B6,"")</f>
        <v/>
      </c>
      <c r="R6" s="32">
        <f>IF(O6&lt;&gt;1,"",IF(E6&lt;&gt;"",IFERROR(MATCH(E6,Guests!$S$6:$S$505,0)+5,IFERROR(MATCH(B6,Guests!$A$6:$A$505,0)+5,"")),IFERROR(MATCH(B6,Guests!$A$6:$A$505,0)+5,"")))</f>
        <v/>
      </c>
      <c r="S6" s="32">
        <f>IF(R6="","",TRIM(INDEX(Guests!$E$1:$E$505,R6)&amp;""))</f>
        <v/>
      </c>
      <c r="T6" s="32">
        <f>IF(R6="","",IF(S6="",1,COUNTIF(Guests!$E$6:$E$505,S6)))</f>
        <v/>
      </c>
      <c r="U6" s="32">
        <f>IF(R6="","",IF(S6="",1,IF(COUNTIF(S$1:S5,S6)=0,1,0)))</f>
        <v/>
      </c>
      <c r="V6" s="32">
        <f>IF(AND(R6&lt;&gt;"",G6="Attending",U6=1),MAX(0,H6+I6-T6),0)</f>
        <v/>
      </c>
      <c r="W6" s="32">
        <f>IF(AND(O6=1,R6=""),1,0)</f>
        <v/>
      </c>
      <c r="X6" s="32">
        <f>IF(B6="",0,H6+I6)</f>
        <v/>
      </c>
      <c r="Y6" s="32">
        <f>N(Y5)+O6</f>
        <v/>
      </c>
      <c r="Z6" s="32">
        <f>IF(O6=1,Y6,"")</f>
        <v/>
      </c>
      <c r="AA6" s="32">
        <f>IF(AND(W6=1,G6="Not sure yet"),1,0)</f>
        <v/>
      </c>
      <c r="AB6" s="32">
        <f>N(AB5)+AA6</f>
        <v/>
      </c>
      <c r="AC6" s="32">
        <f>IF(AA6=1,AB6,"")</f>
        <v/>
      </c>
      <c r="AD6" s="32">
        <f>IF(D6="","",IF(LEN(D6)=10,"+1"&amp;D6,IF(AND(LEN(D6)=11,LEFT(D6,1)="1"),"+"&amp;D6,IF(LEFT(C6,1)="+","+"&amp;D6,D6))))</f>
        <v/>
      </c>
      <c r="AE6" s="32">
        <f>IF(B6="","",PROPER(IFERROR(LEFT(B6,FIND(" ",B6)-1),B6)))</f>
        <v/>
      </c>
      <c r="AF6" s="32">
        <f>SUBSTITUTE(SUBSTITUTE(SUBSTITUTE(SUBSTITUTE(SUBSTITUTE(SUBSTITUTE(SUBSTITUTE(SUBSTITUTE(SUBSTITUTE(SUBSTITUTE(AE6,"%","%25"),"&amp;","%26"),"#","%23"),"+","%2B"),"=","%3D"),"?","%3F"),CHAR(34),"%22"),CHAR(10),"%0A"),CHAR(13),"")," ","+")</f>
        <v/>
      </c>
      <c r="AG6" s="32">
        <f>IF(OR(AD6="",AE6=""),"",'Start Here'!$B$20&amp;"#p="&amp;SUBSTITUTE(AD6,"+","%2B")&amp;"&amp;n="&amp;AF6&amp;"&amp;m="&amp;SUBSTITUTE('Start Here'!$B$24,"{name}",AF6))</f>
        <v/>
      </c>
      <c r="AH6" s="32">
        <f>N(AH5)+W6</f>
        <v/>
      </c>
      <c r="AI6" s="32">
        <f>IF(W6=1,AH6,"")</f>
        <v/>
      </c>
    </row>
    <row r="7">
      <c r="A7" s="32">
        <f>IF(INDEX('Form Responses'!$A:$A,ROW())="","",INDEX('Form Responses'!$A:$A,ROW()))</f>
        <v/>
      </c>
      <c r="B7" s="32">
        <f>TRIM(INDEX('Form Responses'!$B:$B,ROW())&amp;"")</f>
        <v/>
      </c>
      <c r="C7" s="32">
        <f>IF(B7="","",TRIM(INDEX('Form Responses'!$C:$C,ROW())&amp;""))</f>
        <v/>
      </c>
      <c r="D7" s="32">
        <f>SUBSTITUTE(SUBSTITUTE(SUBSTITUTE(SUBSTITUTE(SUBSTITUTE(SUBSTITUTE(SUBSTITUTE(SUBSTITUTE(C7," ",""),"-",""),"(",""),")",""),".",""),"+",""),"/",""),CHAR(160),"")</f>
        <v/>
      </c>
      <c r="E7" s="32">
        <f>IF(LEN(D7)&gt;=10,RIGHT(D7,10),D7)</f>
        <v/>
      </c>
      <c r="F7" s="32">
        <f>IF(B7="","",TRIM(INDEX('Form Responses'!$D:$D,ROW())&amp;""))</f>
        <v/>
      </c>
      <c r="G7" s="32">
        <f>IF(B7="","",IF(LEFT(TRIM(INDEX('Form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" s="32">
        <f>IF(B7="","",MAX(0,IFERROR(INT(--(INDEX('Form Responses'!$F:$F,ROW())&amp;"")),1)))</f>
        <v/>
      </c>
      <c r="I7" s="32">
        <f>IF(B7="","",MAX(0,IFERROR(INT(--(INDEX('Form Responses'!$G:$G,ROW())&amp;"")),0)))</f>
        <v/>
      </c>
      <c r="J7" s="32">
        <f>IF(B7="","",TRIM(INDEX('Form Responses'!$H:$H,ROW())&amp;""))</f>
        <v/>
      </c>
      <c r="K7" s="32">
        <f>IF(B7="","",TRIM(INDEX('Form Responses'!$I:$I,ROW())&amp;""))</f>
        <v/>
      </c>
      <c r="L7" s="32">
        <f>IF(B7="","",TRIM(INDEX('Form Responses'!$J:$J,ROW())&amp;""))</f>
        <v/>
      </c>
      <c r="M7" s="32">
        <f>IF(B7="","",TRIM(INDEX('Form Responses'!$K:$K,ROW())&amp;""))</f>
        <v/>
      </c>
      <c r="N7" s="32">
        <f>IF(B7="","",IF(E7&lt;&gt;"","P"&amp;E7,"N"&amp;B7))</f>
        <v/>
      </c>
      <c r="O7" s="32">
        <f>IF(N7="",0,IF(COUNTIF(N8:N$602,N7)=0,1,0))</f>
        <v/>
      </c>
      <c r="P7" s="32">
        <f>IF(AND(O7=1,E7&lt;&gt;""),E7,"")</f>
        <v/>
      </c>
      <c r="Q7" s="32">
        <f>IF(O7=1,B7,"")</f>
        <v/>
      </c>
      <c r="R7" s="32">
        <f>IF(O7&lt;&gt;1,"",IF(E7&lt;&gt;"",IFERROR(MATCH(E7,Guests!$S$6:$S$505,0)+5,IFERROR(MATCH(B7,Guests!$A$6:$A$505,0)+5,"")),IFERROR(MATCH(B7,Guests!$A$6:$A$505,0)+5,"")))</f>
        <v/>
      </c>
      <c r="S7" s="32">
        <f>IF(R7="","",TRIM(INDEX(Guests!$E$1:$E$505,R7)&amp;""))</f>
        <v/>
      </c>
      <c r="T7" s="32">
        <f>IF(R7="","",IF(S7="",1,COUNTIF(Guests!$E$6:$E$505,S7)))</f>
        <v/>
      </c>
      <c r="U7" s="32">
        <f>IF(R7="","",IF(S7="",1,IF(COUNTIF(S$1:S6,S7)=0,1,0)))</f>
        <v/>
      </c>
      <c r="V7" s="32">
        <f>IF(AND(R7&lt;&gt;"",G7="Attending",U7=1),MAX(0,H7+I7-T7),0)</f>
        <v/>
      </c>
      <c r="W7" s="32">
        <f>IF(AND(O7=1,R7=""),1,0)</f>
        <v/>
      </c>
      <c r="X7" s="32">
        <f>IF(B7="",0,H7+I7)</f>
        <v/>
      </c>
      <c r="Y7" s="32">
        <f>N(Y6)+O7</f>
        <v/>
      </c>
      <c r="Z7" s="32">
        <f>IF(O7=1,Y7,"")</f>
        <v/>
      </c>
      <c r="AA7" s="32">
        <f>IF(AND(W7=1,G7="Not sure yet"),1,0)</f>
        <v/>
      </c>
      <c r="AB7" s="32">
        <f>N(AB6)+AA7</f>
        <v/>
      </c>
      <c r="AC7" s="32">
        <f>IF(AA7=1,AB7,"")</f>
        <v/>
      </c>
      <c r="AD7" s="32">
        <f>IF(D7="","",IF(LEN(D7)=10,"+1"&amp;D7,IF(AND(LEN(D7)=11,LEFT(D7,1)="1"),"+"&amp;D7,IF(LEFT(C7,1)="+","+"&amp;D7,D7))))</f>
        <v/>
      </c>
      <c r="AE7" s="32">
        <f>IF(B7="","",PROPER(IFERROR(LEFT(B7,FIND(" ",B7)-1),B7)))</f>
        <v/>
      </c>
      <c r="AF7" s="32">
        <f>SUBSTITUTE(SUBSTITUTE(SUBSTITUTE(SUBSTITUTE(SUBSTITUTE(SUBSTITUTE(SUBSTITUTE(SUBSTITUTE(SUBSTITUTE(SUBSTITUTE(AE7,"%","%25"),"&amp;","%26"),"#","%23"),"+","%2B"),"=","%3D"),"?","%3F"),CHAR(34),"%22"),CHAR(10),"%0A"),CHAR(13),"")," ","+")</f>
        <v/>
      </c>
      <c r="AG7" s="32">
        <f>IF(OR(AD7="",AE7=""),"",'Start Here'!$B$20&amp;"#p="&amp;SUBSTITUTE(AD7,"+","%2B")&amp;"&amp;n="&amp;AF7&amp;"&amp;m="&amp;SUBSTITUTE('Start Here'!$B$24,"{name}",AF7))</f>
        <v/>
      </c>
      <c r="AH7" s="32">
        <f>N(AH6)+W7</f>
        <v/>
      </c>
      <c r="AI7" s="32">
        <f>IF(W7=1,AH7,"")</f>
        <v/>
      </c>
    </row>
    <row r="8">
      <c r="A8" s="32">
        <f>IF(INDEX('Form Responses'!$A:$A,ROW())="","",INDEX('Form Responses'!$A:$A,ROW()))</f>
        <v/>
      </c>
      <c r="B8" s="32">
        <f>TRIM(INDEX('Form Responses'!$B:$B,ROW())&amp;"")</f>
        <v/>
      </c>
      <c r="C8" s="32">
        <f>IF(B8="","",TRIM(INDEX('Form Responses'!$C:$C,ROW())&amp;""))</f>
        <v/>
      </c>
      <c r="D8" s="32">
        <f>SUBSTITUTE(SUBSTITUTE(SUBSTITUTE(SUBSTITUTE(SUBSTITUTE(SUBSTITUTE(SUBSTITUTE(SUBSTITUTE(C8," ",""),"-",""),"(",""),")",""),".",""),"+",""),"/",""),CHAR(160),"")</f>
        <v/>
      </c>
      <c r="E8" s="32">
        <f>IF(LEN(D8)&gt;=10,RIGHT(D8,10),D8)</f>
        <v/>
      </c>
      <c r="F8" s="32">
        <f>IF(B8="","",TRIM(INDEX('Form Responses'!$D:$D,ROW())&amp;""))</f>
        <v/>
      </c>
      <c r="G8" s="32">
        <f>IF(B8="","",IF(LEFT(TRIM(INDEX('Form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" s="32">
        <f>IF(B8="","",MAX(0,IFERROR(INT(--(INDEX('Form Responses'!$F:$F,ROW())&amp;"")),1)))</f>
        <v/>
      </c>
      <c r="I8" s="32">
        <f>IF(B8="","",MAX(0,IFERROR(INT(--(INDEX('Form Responses'!$G:$G,ROW())&amp;"")),0)))</f>
        <v/>
      </c>
      <c r="J8" s="32">
        <f>IF(B8="","",TRIM(INDEX('Form Responses'!$H:$H,ROW())&amp;""))</f>
        <v/>
      </c>
      <c r="K8" s="32">
        <f>IF(B8="","",TRIM(INDEX('Form Responses'!$I:$I,ROW())&amp;""))</f>
        <v/>
      </c>
      <c r="L8" s="32">
        <f>IF(B8="","",TRIM(INDEX('Form Responses'!$J:$J,ROW())&amp;""))</f>
        <v/>
      </c>
      <c r="M8" s="32">
        <f>IF(B8="","",TRIM(INDEX('Form Responses'!$K:$K,ROW())&amp;""))</f>
        <v/>
      </c>
      <c r="N8" s="32">
        <f>IF(B8="","",IF(E8&lt;&gt;"","P"&amp;E8,"N"&amp;B8))</f>
        <v/>
      </c>
      <c r="O8" s="32">
        <f>IF(N8="",0,IF(COUNTIF(N9:N$602,N8)=0,1,0))</f>
        <v/>
      </c>
      <c r="P8" s="32">
        <f>IF(AND(O8=1,E8&lt;&gt;""),E8,"")</f>
        <v/>
      </c>
      <c r="Q8" s="32">
        <f>IF(O8=1,B8,"")</f>
        <v/>
      </c>
      <c r="R8" s="32">
        <f>IF(O8&lt;&gt;1,"",IF(E8&lt;&gt;"",IFERROR(MATCH(E8,Guests!$S$6:$S$505,0)+5,IFERROR(MATCH(B8,Guests!$A$6:$A$505,0)+5,"")),IFERROR(MATCH(B8,Guests!$A$6:$A$505,0)+5,"")))</f>
        <v/>
      </c>
      <c r="S8" s="32">
        <f>IF(R8="","",TRIM(INDEX(Guests!$E$1:$E$505,R8)&amp;""))</f>
        <v/>
      </c>
      <c r="T8" s="32">
        <f>IF(R8="","",IF(S8="",1,COUNTIF(Guests!$E$6:$E$505,S8)))</f>
        <v/>
      </c>
      <c r="U8" s="32">
        <f>IF(R8="","",IF(S8="",1,IF(COUNTIF(S$1:S7,S8)=0,1,0)))</f>
        <v/>
      </c>
      <c r="V8" s="32">
        <f>IF(AND(R8&lt;&gt;"",G8="Attending",U8=1),MAX(0,H8+I8-T8),0)</f>
        <v/>
      </c>
      <c r="W8" s="32">
        <f>IF(AND(O8=1,R8=""),1,0)</f>
        <v/>
      </c>
      <c r="X8" s="32">
        <f>IF(B8="",0,H8+I8)</f>
        <v/>
      </c>
      <c r="Y8" s="32">
        <f>N(Y7)+O8</f>
        <v/>
      </c>
      <c r="Z8" s="32">
        <f>IF(O8=1,Y8,"")</f>
        <v/>
      </c>
      <c r="AA8" s="32">
        <f>IF(AND(W8=1,G8="Not sure yet"),1,0)</f>
        <v/>
      </c>
      <c r="AB8" s="32">
        <f>N(AB7)+AA8</f>
        <v/>
      </c>
      <c r="AC8" s="32">
        <f>IF(AA8=1,AB8,"")</f>
        <v/>
      </c>
      <c r="AD8" s="32">
        <f>IF(D8="","",IF(LEN(D8)=10,"+1"&amp;D8,IF(AND(LEN(D8)=11,LEFT(D8,1)="1"),"+"&amp;D8,IF(LEFT(C8,1)="+","+"&amp;D8,D8))))</f>
        <v/>
      </c>
      <c r="AE8" s="32">
        <f>IF(B8="","",PROPER(IFERROR(LEFT(B8,FIND(" ",B8)-1),B8)))</f>
        <v/>
      </c>
      <c r="AF8" s="32">
        <f>SUBSTITUTE(SUBSTITUTE(SUBSTITUTE(SUBSTITUTE(SUBSTITUTE(SUBSTITUTE(SUBSTITUTE(SUBSTITUTE(SUBSTITUTE(SUBSTITUTE(AE8,"%","%25"),"&amp;","%26"),"#","%23"),"+","%2B"),"=","%3D"),"?","%3F"),CHAR(34),"%22"),CHAR(10),"%0A"),CHAR(13),"")," ","+")</f>
        <v/>
      </c>
      <c r="AG8" s="32">
        <f>IF(OR(AD8="",AE8=""),"",'Start Here'!$B$20&amp;"#p="&amp;SUBSTITUTE(AD8,"+","%2B")&amp;"&amp;n="&amp;AF8&amp;"&amp;m="&amp;SUBSTITUTE('Start Here'!$B$24,"{name}",AF8))</f>
        <v/>
      </c>
      <c r="AH8" s="32">
        <f>N(AH7)+W8</f>
        <v/>
      </c>
      <c r="AI8" s="32">
        <f>IF(W8=1,AH8,"")</f>
        <v/>
      </c>
    </row>
    <row r="9">
      <c r="A9" s="32">
        <f>IF(INDEX('Form Responses'!$A:$A,ROW())="","",INDEX('Form Responses'!$A:$A,ROW()))</f>
        <v/>
      </c>
      <c r="B9" s="32">
        <f>TRIM(INDEX('Form Responses'!$B:$B,ROW())&amp;"")</f>
        <v/>
      </c>
      <c r="C9" s="32">
        <f>IF(B9="","",TRIM(INDEX('Form Responses'!$C:$C,ROW())&amp;""))</f>
        <v/>
      </c>
      <c r="D9" s="32">
        <f>SUBSTITUTE(SUBSTITUTE(SUBSTITUTE(SUBSTITUTE(SUBSTITUTE(SUBSTITUTE(SUBSTITUTE(SUBSTITUTE(C9," ",""),"-",""),"(",""),")",""),".",""),"+",""),"/",""),CHAR(160),"")</f>
        <v/>
      </c>
      <c r="E9" s="32">
        <f>IF(LEN(D9)&gt;=10,RIGHT(D9,10),D9)</f>
        <v/>
      </c>
      <c r="F9" s="32">
        <f>IF(B9="","",TRIM(INDEX('Form Responses'!$D:$D,ROW())&amp;""))</f>
        <v/>
      </c>
      <c r="G9" s="32">
        <f>IF(B9="","",IF(LEFT(TRIM(INDEX('Form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" s="32">
        <f>IF(B9="","",MAX(0,IFERROR(INT(--(INDEX('Form Responses'!$F:$F,ROW())&amp;"")),1)))</f>
        <v/>
      </c>
      <c r="I9" s="32">
        <f>IF(B9="","",MAX(0,IFERROR(INT(--(INDEX('Form Responses'!$G:$G,ROW())&amp;"")),0)))</f>
        <v/>
      </c>
      <c r="J9" s="32">
        <f>IF(B9="","",TRIM(INDEX('Form Responses'!$H:$H,ROW())&amp;""))</f>
        <v/>
      </c>
      <c r="K9" s="32">
        <f>IF(B9="","",TRIM(INDEX('Form Responses'!$I:$I,ROW())&amp;""))</f>
        <v/>
      </c>
      <c r="L9" s="32">
        <f>IF(B9="","",TRIM(INDEX('Form Responses'!$J:$J,ROW())&amp;""))</f>
        <v/>
      </c>
      <c r="M9" s="32">
        <f>IF(B9="","",TRIM(INDEX('Form Responses'!$K:$K,ROW())&amp;""))</f>
        <v/>
      </c>
      <c r="N9" s="32">
        <f>IF(B9="","",IF(E9&lt;&gt;"","P"&amp;E9,"N"&amp;B9))</f>
        <v/>
      </c>
      <c r="O9" s="32">
        <f>IF(N9="",0,IF(COUNTIF(N10:N$602,N9)=0,1,0))</f>
        <v/>
      </c>
      <c r="P9" s="32">
        <f>IF(AND(O9=1,E9&lt;&gt;""),E9,"")</f>
        <v/>
      </c>
      <c r="Q9" s="32">
        <f>IF(O9=1,B9,"")</f>
        <v/>
      </c>
      <c r="R9" s="32">
        <f>IF(O9&lt;&gt;1,"",IF(E9&lt;&gt;"",IFERROR(MATCH(E9,Guests!$S$6:$S$505,0)+5,IFERROR(MATCH(B9,Guests!$A$6:$A$505,0)+5,"")),IFERROR(MATCH(B9,Guests!$A$6:$A$505,0)+5,"")))</f>
        <v/>
      </c>
      <c r="S9" s="32">
        <f>IF(R9="","",TRIM(INDEX(Guests!$E$1:$E$505,R9)&amp;""))</f>
        <v/>
      </c>
      <c r="T9" s="32">
        <f>IF(R9="","",IF(S9="",1,COUNTIF(Guests!$E$6:$E$505,S9)))</f>
        <v/>
      </c>
      <c r="U9" s="32">
        <f>IF(R9="","",IF(S9="",1,IF(COUNTIF(S$1:S8,S9)=0,1,0)))</f>
        <v/>
      </c>
      <c r="V9" s="32">
        <f>IF(AND(R9&lt;&gt;"",G9="Attending",U9=1),MAX(0,H9+I9-T9),0)</f>
        <v/>
      </c>
      <c r="W9" s="32">
        <f>IF(AND(O9=1,R9=""),1,0)</f>
        <v/>
      </c>
      <c r="X9" s="32">
        <f>IF(B9="",0,H9+I9)</f>
        <v/>
      </c>
      <c r="Y9" s="32">
        <f>N(Y8)+O9</f>
        <v/>
      </c>
      <c r="Z9" s="32">
        <f>IF(O9=1,Y9,"")</f>
        <v/>
      </c>
      <c r="AA9" s="32">
        <f>IF(AND(W9=1,G9="Not sure yet"),1,0)</f>
        <v/>
      </c>
      <c r="AB9" s="32">
        <f>N(AB8)+AA9</f>
        <v/>
      </c>
      <c r="AC9" s="32">
        <f>IF(AA9=1,AB9,"")</f>
        <v/>
      </c>
      <c r="AD9" s="32">
        <f>IF(D9="","",IF(LEN(D9)=10,"+1"&amp;D9,IF(AND(LEN(D9)=11,LEFT(D9,1)="1"),"+"&amp;D9,IF(LEFT(C9,1)="+","+"&amp;D9,D9))))</f>
        <v/>
      </c>
      <c r="AE9" s="32">
        <f>IF(B9="","",PROPER(IFERROR(LEFT(B9,FIND(" ",B9)-1),B9)))</f>
        <v/>
      </c>
      <c r="AF9" s="32">
        <f>SUBSTITUTE(SUBSTITUTE(SUBSTITUTE(SUBSTITUTE(SUBSTITUTE(SUBSTITUTE(SUBSTITUTE(SUBSTITUTE(SUBSTITUTE(SUBSTITUTE(AE9,"%","%25"),"&amp;","%26"),"#","%23"),"+","%2B"),"=","%3D"),"?","%3F"),CHAR(34),"%22"),CHAR(10),"%0A"),CHAR(13),"")," ","+")</f>
        <v/>
      </c>
      <c r="AG9" s="32">
        <f>IF(OR(AD9="",AE9=""),"",'Start Here'!$B$20&amp;"#p="&amp;SUBSTITUTE(AD9,"+","%2B")&amp;"&amp;n="&amp;AF9&amp;"&amp;m="&amp;SUBSTITUTE('Start Here'!$B$24,"{name}",AF9))</f>
        <v/>
      </c>
      <c r="AH9" s="32">
        <f>N(AH8)+W9</f>
        <v/>
      </c>
      <c r="AI9" s="32">
        <f>IF(W9=1,AH9,"")</f>
        <v/>
      </c>
    </row>
    <row r="10">
      <c r="A10" s="32">
        <f>IF(INDEX('Form Responses'!$A:$A,ROW())="","",INDEX('Form Responses'!$A:$A,ROW()))</f>
        <v/>
      </c>
      <c r="B10" s="32">
        <f>TRIM(INDEX('Form Responses'!$B:$B,ROW())&amp;"")</f>
        <v/>
      </c>
      <c r="C10" s="32">
        <f>IF(B10="","",TRIM(INDEX('Form Responses'!$C:$C,ROW())&amp;""))</f>
        <v/>
      </c>
      <c r="D10" s="32">
        <f>SUBSTITUTE(SUBSTITUTE(SUBSTITUTE(SUBSTITUTE(SUBSTITUTE(SUBSTITUTE(SUBSTITUTE(SUBSTITUTE(C10," ",""),"-",""),"(",""),")",""),".",""),"+",""),"/",""),CHAR(160),"")</f>
        <v/>
      </c>
      <c r="E10" s="32">
        <f>IF(LEN(D10)&gt;=10,RIGHT(D10,10),D10)</f>
        <v/>
      </c>
      <c r="F10" s="32">
        <f>IF(B10="","",TRIM(INDEX('Form Responses'!$D:$D,ROW())&amp;""))</f>
        <v/>
      </c>
      <c r="G10" s="32">
        <f>IF(B10="","",IF(LEFT(TRIM(INDEX('Form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" s="32">
        <f>IF(B10="","",MAX(0,IFERROR(INT(--(INDEX('Form Responses'!$F:$F,ROW())&amp;"")),1)))</f>
        <v/>
      </c>
      <c r="I10" s="32">
        <f>IF(B10="","",MAX(0,IFERROR(INT(--(INDEX('Form Responses'!$G:$G,ROW())&amp;"")),0)))</f>
        <v/>
      </c>
      <c r="J10" s="32">
        <f>IF(B10="","",TRIM(INDEX('Form Responses'!$H:$H,ROW())&amp;""))</f>
        <v/>
      </c>
      <c r="K10" s="32">
        <f>IF(B10="","",TRIM(INDEX('Form Responses'!$I:$I,ROW())&amp;""))</f>
        <v/>
      </c>
      <c r="L10" s="32">
        <f>IF(B10="","",TRIM(INDEX('Form Responses'!$J:$J,ROW())&amp;""))</f>
        <v/>
      </c>
      <c r="M10" s="32">
        <f>IF(B10="","",TRIM(INDEX('Form Responses'!$K:$K,ROW())&amp;""))</f>
        <v/>
      </c>
      <c r="N10" s="32">
        <f>IF(B10="","",IF(E10&lt;&gt;"","P"&amp;E10,"N"&amp;B10))</f>
        <v/>
      </c>
      <c r="O10" s="32">
        <f>IF(N10="",0,IF(COUNTIF(N11:N$602,N10)=0,1,0))</f>
        <v/>
      </c>
      <c r="P10" s="32">
        <f>IF(AND(O10=1,E10&lt;&gt;""),E10,"")</f>
        <v/>
      </c>
      <c r="Q10" s="32">
        <f>IF(O10=1,B10,"")</f>
        <v/>
      </c>
      <c r="R10" s="32">
        <f>IF(O10&lt;&gt;1,"",IF(E10&lt;&gt;"",IFERROR(MATCH(E10,Guests!$S$6:$S$505,0)+5,IFERROR(MATCH(B10,Guests!$A$6:$A$505,0)+5,"")),IFERROR(MATCH(B10,Guests!$A$6:$A$505,0)+5,"")))</f>
        <v/>
      </c>
      <c r="S10" s="32">
        <f>IF(R10="","",TRIM(INDEX(Guests!$E$1:$E$505,R10)&amp;""))</f>
        <v/>
      </c>
      <c r="T10" s="32">
        <f>IF(R10="","",IF(S10="",1,COUNTIF(Guests!$E$6:$E$505,S10)))</f>
        <v/>
      </c>
      <c r="U10" s="32">
        <f>IF(R10="","",IF(S10="",1,IF(COUNTIF(S$1:S9,S10)=0,1,0)))</f>
        <v/>
      </c>
      <c r="V10" s="32">
        <f>IF(AND(R10&lt;&gt;"",G10="Attending",U10=1),MAX(0,H10+I10-T10),0)</f>
        <v/>
      </c>
      <c r="W10" s="32">
        <f>IF(AND(O10=1,R10=""),1,0)</f>
        <v/>
      </c>
      <c r="X10" s="32">
        <f>IF(B10="",0,H10+I10)</f>
        <v/>
      </c>
      <c r="Y10" s="32">
        <f>N(Y9)+O10</f>
        <v/>
      </c>
      <c r="Z10" s="32">
        <f>IF(O10=1,Y10,"")</f>
        <v/>
      </c>
      <c r="AA10" s="32">
        <f>IF(AND(W10=1,G10="Not sure yet"),1,0)</f>
        <v/>
      </c>
      <c r="AB10" s="32">
        <f>N(AB9)+AA10</f>
        <v/>
      </c>
      <c r="AC10" s="32">
        <f>IF(AA10=1,AB10,"")</f>
        <v/>
      </c>
      <c r="AD10" s="32">
        <f>IF(D10="","",IF(LEN(D10)=10,"+1"&amp;D10,IF(AND(LEN(D10)=11,LEFT(D10,1)="1"),"+"&amp;D10,IF(LEFT(C10,1)="+","+"&amp;D10,D10))))</f>
        <v/>
      </c>
      <c r="AE10" s="32">
        <f>IF(B10="","",PROPER(IFERROR(LEFT(B10,FIND(" ",B10)-1),B10)))</f>
        <v/>
      </c>
      <c r="AF10" s="32">
        <f>SUBSTITUTE(SUBSTITUTE(SUBSTITUTE(SUBSTITUTE(SUBSTITUTE(SUBSTITUTE(SUBSTITUTE(SUBSTITUTE(SUBSTITUTE(SUBSTITUTE(AE10,"%","%25"),"&amp;","%26"),"#","%23"),"+","%2B"),"=","%3D"),"?","%3F"),CHAR(34),"%22"),CHAR(10),"%0A"),CHAR(13),"")," ","+")</f>
        <v/>
      </c>
      <c r="AG10" s="32">
        <f>IF(OR(AD10="",AE10=""),"",'Start Here'!$B$20&amp;"#p="&amp;SUBSTITUTE(AD10,"+","%2B")&amp;"&amp;n="&amp;AF10&amp;"&amp;m="&amp;SUBSTITUTE('Start Here'!$B$24,"{name}",AF10))</f>
        <v/>
      </c>
      <c r="AH10" s="32">
        <f>N(AH9)+W10</f>
        <v/>
      </c>
      <c r="AI10" s="32">
        <f>IF(W10=1,AH10,"")</f>
        <v/>
      </c>
    </row>
    <row r="11">
      <c r="A11" s="32">
        <f>IF(INDEX('Form Responses'!$A:$A,ROW())="","",INDEX('Form Responses'!$A:$A,ROW()))</f>
        <v/>
      </c>
      <c r="B11" s="32">
        <f>TRIM(INDEX('Form Responses'!$B:$B,ROW())&amp;"")</f>
        <v/>
      </c>
      <c r="C11" s="32">
        <f>IF(B11="","",TRIM(INDEX('Form Responses'!$C:$C,ROW())&amp;""))</f>
        <v/>
      </c>
      <c r="D11" s="32">
        <f>SUBSTITUTE(SUBSTITUTE(SUBSTITUTE(SUBSTITUTE(SUBSTITUTE(SUBSTITUTE(SUBSTITUTE(SUBSTITUTE(C11," ",""),"-",""),"(",""),")",""),".",""),"+",""),"/",""),CHAR(160),"")</f>
        <v/>
      </c>
      <c r="E11" s="32">
        <f>IF(LEN(D11)&gt;=10,RIGHT(D11,10),D11)</f>
        <v/>
      </c>
      <c r="F11" s="32">
        <f>IF(B11="","",TRIM(INDEX('Form Responses'!$D:$D,ROW())&amp;""))</f>
        <v/>
      </c>
      <c r="G11" s="32">
        <f>IF(B11="","",IF(LEFT(TRIM(INDEX('Form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" s="32">
        <f>IF(B11="","",MAX(0,IFERROR(INT(--(INDEX('Form Responses'!$F:$F,ROW())&amp;"")),1)))</f>
        <v/>
      </c>
      <c r="I11" s="32">
        <f>IF(B11="","",MAX(0,IFERROR(INT(--(INDEX('Form Responses'!$G:$G,ROW())&amp;"")),0)))</f>
        <v/>
      </c>
      <c r="J11" s="32">
        <f>IF(B11="","",TRIM(INDEX('Form Responses'!$H:$H,ROW())&amp;""))</f>
        <v/>
      </c>
      <c r="K11" s="32">
        <f>IF(B11="","",TRIM(INDEX('Form Responses'!$I:$I,ROW())&amp;""))</f>
        <v/>
      </c>
      <c r="L11" s="32">
        <f>IF(B11="","",TRIM(INDEX('Form Responses'!$J:$J,ROW())&amp;""))</f>
        <v/>
      </c>
      <c r="M11" s="32">
        <f>IF(B11="","",TRIM(INDEX('Form Responses'!$K:$K,ROW())&amp;""))</f>
        <v/>
      </c>
      <c r="N11" s="32">
        <f>IF(B11="","",IF(E11&lt;&gt;"","P"&amp;E11,"N"&amp;B11))</f>
        <v/>
      </c>
      <c r="O11" s="32">
        <f>IF(N11="",0,IF(COUNTIF(N12:N$602,N11)=0,1,0))</f>
        <v/>
      </c>
      <c r="P11" s="32">
        <f>IF(AND(O11=1,E11&lt;&gt;""),E11,"")</f>
        <v/>
      </c>
      <c r="Q11" s="32">
        <f>IF(O11=1,B11,"")</f>
        <v/>
      </c>
      <c r="R11" s="32">
        <f>IF(O11&lt;&gt;1,"",IF(E11&lt;&gt;"",IFERROR(MATCH(E11,Guests!$S$6:$S$505,0)+5,IFERROR(MATCH(B11,Guests!$A$6:$A$505,0)+5,"")),IFERROR(MATCH(B11,Guests!$A$6:$A$505,0)+5,"")))</f>
        <v/>
      </c>
      <c r="S11" s="32">
        <f>IF(R11="","",TRIM(INDEX(Guests!$E$1:$E$505,R11)&amp;""))</f>
        <v/>
      </c>
      <c r="T11" s="32">
        <f>IF(R11="","",IF(S11="",1,COUNTIF(Guests!$E$6:$E$505,S11)))</f>
        <v/>
      </c>
      <c r="U11" s="32">
        <f>IF(R11="","",IF(S11="",1,IF(COUNTIF(S$1:S10,S11)=0,1,0)))</f>
        <v/>
      </c>
      <c r="V11" s="32">
        <f>IF(AND(R11&lt;&gt;"",G11="Attending",U11=1),MAX(0,H11+I11-T11),0)</f>
        <v/>
      </c>
      <c r="W11" s="32">
        <f>IF(AND(O11=1,R11=""),1,0)</f>
        <v/>
      </c>
      <c r="X11" s="32">
        <f>IF(B11="",0,H11+I11)</f>
        <v/>
      </c>
      <c r="Y11" s="32">
        <f>N(Y10)+O11</f>
        <v/>
      </c>
      <c r="Z11" s="32">
        <f>IF(O11=1,Y11,"")</f>
        <v/>
      </c>
      <c r="AA11" s="32">
        <f>IF(AND(W11=1,G11="Not sure yet"),1,0)</f>
        <v/>
      </c>
      <c r="AB11" s="32">
        <f>N(AB10)+AA11</f>
        <v/>
      </c>
      <c r="AC11" s="32">
        <f>IF(AA11=1,AB11,"")</f>
        <v/>
      </c>
      <c r="AD11" s="32">
        <f>IF(D11="","",IF(LEN(D11)=10,"+1"&amp;D11,IF(AND(LEN(D11)=11,LEFT(D11,1)="1"),"+"&amp;D11,IF(LEFT(C11,1)="+","+"&amp;D11,D11))))</f>
        <v/>
      </c>
      <c r="AE11" s="32">
        <f>IF(B11="","",PROPER(IFERROR(LEFT(B11,FIND(" ",B11)-1),B11)))</f>
        <v/>
      </c>
      <c r="AF11" s="32">
        <f>SUBSTITUTE(SUBSTITUTE(SUBSTITUTE(SUBSTITUTE(SUBSTITUTE(SUBSTITUTE(SUBSTITUTE(SUBSTITUTE(SUBSTITUTE(SUBSTITUTE(AE11,"%","%25"),"&amp;","%26"),"#","%23"),"+","%2B"),"=","%3D"),"?","%3F"),CHAR(34),"%22"),CHAR(10),"%0A"),CHAR(13),"")," ","+")</f>
        <v/>
      </c>
      <c r="AG11" s="32">
        <f>IF(OR(AD11="",AE11=""),"",'Start Here'!$B$20&amp;"#p="&amp;SUBSTITUTE(AD11,"+","%2B")&amp;"&amp;n="&amp;AF11&amp;"&amp;m="&amp;SUBSTITUTE('Start Here'!$B$24,"{name}",AF11))</f>
        <v/>
      </c>
      <c r="AH11" s="32">
        <f>N(AH10)+W11</f>
        <v/>
      </c>
      <c r="AI11" s="32">
        <f>IF(W11=1,AH11,"")</f>
        <v/>
      </c>
    </row>
    <row r="12">
      <c r="A12" s="32">
        <f>IF(INDEX('Form Responses'!$A:$A,ROW())="","",INDEX('Form Responses'!$A:$A,ROW()))</f>
        <v/>
      </c>
      <c r="B12" s="32">
        <f>TRIM(INDEX('Form Responses'!$B:$B,ROW())&amp;"")</f>
        <v/>
      </c>
      <c r="C12" s="32">
        <f>IF(B12="","",TRIM(INDEX('Form Responses'!$C:$C,ROW())&amp;""))</f>
        <v/>
      </c>
      <c r="D12" s="32">
        <f>SUBSTITUTE(SUBSTITUTE(SUBSTITUTE(SUBSTITUTE(SUBSTITUTE(SUBSTITUTE(SUBSTITUTE(SUBSTITUTE(C12," ",""),"-",""),"(",""),")",""),".",""),"+",""),"/",""),CHAR(160),"")</f>
        <v/>
      </c>
      <c r="E12" s="32">
        <f>IF(LEN(D12)&gt;=10,RIGHT(D12,10),D12)</f>
        <v/>
      </c>
      <c r="F12" s="32">
        <f>IF(B12="","",TRIM(INDEX('Form Responses'!$D:$D,ROW())&amp;""))</f>
        <v/>
      </c>
      <c r="G12" s="32">
        <f>IF(B12="","",IF(LEFT(TRIM(INDEX('Form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" s="32">
        <f>IF(B12="","",MAX(0,IFERROR(INT(--(INDEX('Form Responses'!$F:$F,ROW())&amp;"")),1)))</f>
        <v/>
      </c>
      <c r="I12" s="32">
        <f>IF(B12="","",MAX(0,IFERROR(INT(--(INDEX('Form Responses'!$G:$G,ROW())&amp;"")),0)))</f>
        <v/>
      </c>
      <c r="J12" s="32">
        <f>IF(B12="","",TRIM(INDEX('Form Responses'!$H:$H,ROW())&amp;""))</f>
        <v/>
      </c>
      <c r="K12" s="32">
        <f>IF(B12="","",TRIM(INDEX('Form Responses'!$I:$I,ROW())&amp;""))</f>
        <v/>
      </c>
      <c r="L12" s="32">
        <f>IF(B12="","",TRIM(INDEX('Form Responses'!$J:$J,ROW())&amp;""))</f>
        <v/>
      </c>
      <c r="M12" s="32">
        <f>IF(B12="","",TRIM(INDEX('Form Responses'!$K:$K,ROW())&amp;""))</f>
        <v/>
      </c>
      <c r="N12" s="32">
        <f>IF(B12="","",IF(E12&lt;&gt;"","P"&amp;E12,"N"&amp;B12))</f>
        <v/>
      </c>
      <c r="O12" s="32">
        <f>IF(N12="",0,IF(COUNTIF(N13:N$602,N12)=0,1,0))</f>
        <v/>
      </c>
      <c r="P12" s="32">
        <f>IF(AND(O12=1,E12&lt;&gt;""),E12,"")</f>
        <v/>
      </c>
      <c r="Q12" s="32">
        <f>IF(O12=1,B12,"")</f>
        <v/>
      </c>
      <c r="R12" s="32">
        <f>IF(O12&lt;&gt;1,"",IF(E12&lt;&gt;"",IFERROR(MATCH(E12,Guests!$S$6:$S$505,0)+5,IFERROR(MATCH(B12,Guests!$A$6:$A$505,0)+5,"")),IFERROR(MATCH(B12,Guests!$A$6:$A$505,0)+5,"")))</f>
        <v/>
      </c>
      <c r="S12" s="32">
        <f>IF(R12="","",TRIM(INDEX(Guests!$E$1:$E$505,R12)&amp;""))</f>
        <v/>
      </c>
      <c r="T12" s="32">
        <f>IF(R12="","",IF(S12="",1,COUNTIF(Guests!$E$6:$E$505,S12)))</f>
        <v/>
      </c>
      <c r="U12" s="32">
        <f>IF(R12="","",IF(S12="",1,IF(COUNTIF(S$1:S11,S12)=0,1,0)))</f>
        <v/>
      </c>
      <c r="V12" s="32">
        <f>IF(AND(R12&lt;&gt;"",G12="Attending",U12=1),MAX(0,H12+I12-T12),0)</f>
        <v/>
      </c>
      <c r="W12" s="32">
        <f>IF(AND(O12=1,R12=""),1,0)</f>
        <v/>
      </c>
      <c r="X12" s="32">
        <f>IF(B12="",0,H12+I12)</f>
        <v/>
      </c>
      <c r="Y12" s="32">
        <f>N(Y11)+O12</f>
        <v/>
      </c>
      <c r="Z12" s="32">
        <f>IF(O12=1,Y12,"")</f>
        <v/>
      </c>
      <c r="AA12" s="32">
        <f>IF(AND(W12=1,G12="Not sure yet"),1,0)</f>
        <v/>
      </c>
      <c r="AB12" s="32">
        <f>N(AB11)+AA12</f>
        <v/>
      </c>
      <c r="AC12" s="32">
        <f>IF(AA12=1,AB12,"")</f>
        <v/>
      </c>
      <c r="AD12" s="32">
        <f>IF(D12="","",IF(LEN(D12)=10,"+1"&amp;D12,IF(AND(LEN(D12)=11,LEFT(D12,1)="1"),"+"&amp;D12,IF(LEFT(C12,1)="+","+"&amp;D12,D12))))</f>
        <v/>
      </c>
      <c r="AE12" s="32">
        <f>IF(B12="","",PROPER(IFERROR(LEFT(B12,FIND(" ",B12)-1),B12)))</f>
        <v/>
      </c>
      <c r="AF12" s="32">
        <f>SUBSTITUTE(SUBSTITUTE(SUBSTITUTE(SUBSTITUTE(SUBSTITUTE(SUBSTITUTE(SUBSTITUTE(SUBSTITUTE(SUBSTITUTE(SUBSTITUTE(AE12,"%","%25"),"&amp;","%26"),"#","%23"),"+","%2B"),"=","%3D"),"?","%3F"),CHAR(34),"%22"),CHAR(10),"%0A"),CHAR(13),"")," ","+")</f>
        <v/>
      </c>
      <c r="AG12" s="32">
        <f>IF(OR(AD12="",AE12=""),"",'Start Here'!$B$20&amp;"#p="&amp;SUBSTITUTE(AD12,"+","%2B")&amp;"&amp;n="&amp;AF12&amp;"&amp;m="&amp;SUBSTITUTE('Start Here'!$B$24,"{name}",AF12))</f>
        <v/>
      </c>
      <c r="AH12" s="32">
        <f>N(AH11)+W12</f>
        <v/>
      </c>
      <c r="AI12" s="32">
        <f>IF(W12=1,AH12,"")</f>
        <v/>
      </c>
    </row>
    <row r="13">
      <c r="A13" s="32">
        <f>IF(INDEX('Form Responses'!$A:$A,ROW())="","",INDEX('Form Responses'!$A:$A,ROW()))</f>
        <v/>
      </c>
      <c r="B13" s="32">
        <f>TRIM(INDEX('Form Responses'!$B:$B,ROW())&amp;"")</f>
        <v/>
      </c>
      <c r="C13" s="32">
        <f>IF(B13="","",TRIM(INDEX('Form Responses'!$C:$C,ROW())&amp;""))</f>
        <v/>
      </c>
      <c r="D13" s="32">
        <f>SUBSTITUTE(SUBSTITUTE(SUBSTITUTE(SUBSTITUTE(SUBSTITUTE(SUBSTITUTE(SUBSTITUTE(SUBSTITUTE(C13," ",""),"-",""),"(",""),")",""),".",""),"+",""),"/",""),CHAR(160),"")</f>
        <v/>
      </c>
      <c r="E13" s="32">
        <f>IF(LEN(D13)&gt;=10,RIGHT(D13,10),D13)</f>
        <v/>
      </c>
      <c r="F13" s="32">
        <f>IF(B13="","",TRIM(INDEX('Form Responses'!$D:$D,ROW())&amp;""))</f>
        <v/>
      </c>
      <c r="G13" s="32">
        <f>IF(B13="","",IF(LEFT(TRIM(INDEX('Form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" s="32">
        <f>IF(B13="","",MAX(0,IFERROR(INT(--(INDEX('Form Responses'!$F:$F,ROW())&amp;"")),1)))</f>
        <v/>
      </c>
      <c r="I13" s="32">
        <f>IF(B13="","",MAX(0,IFERROR(INT(--(INDEX('Form Responses'!$G:$G,ROW())&amp;"")),0)))</f>
        <v/>
      </c>
      <c r="J13" s="32">
        <f>IF(B13="","",TRIM(INDEX('Form Responses'!$H:$H,ROW())&amp;""))</f>
        <v/>
      </c>
      <c r="K13" s="32">
        <f>IF(B13="","",TRIM(INDEX('Form Responses'!$I:$I,ROW())&amp;""))</f>
        <v/>
      </c>
      <c r="L13" s="32">
        <f>IF(B13="","",TRIM(INDEX('Form Responses'!$J:$J,ROW())&amp;""))</f>
        <v/>
      </c>
      <c r="M13" s="32">
        <f>IF(B13="","",TRIM(INDEX('Form Responses'!$K:$K,ROW())&amp;""))</f>
        <v/>
      </c>
      <c r="N13" s="32">
        <f>IF(B13="","",IF(E13&lt;&gt;"","P"&amp;E13,"N"&amp;B13))</f>
        <v/>
      </c>
      <c r="O13" s="32">
        <f>IF(N13="",0,IF(COUNTIF(N14:N$602,N13)=0,1,0))</f>
        <v/>
      </c>
      <c r="P13" s="32">
        <f>IF(AND(O13=1,E13&lt;&gt;""),E13,"")</f>
        <v/>
      </c>
      <c r="Q13" s="32">
        <f>IF(O13=1,B13,"")</f>
        <v/>
      </c>
      <c r="R13" s="32">
        <f>IF(O13&lt;&gt;1,"",IF(E13&lt;&gt;"",IFERROR(MATCH(E13,Guests!$S$6:$S$505,0)+5,IFERROR(MATCH(B13,Guests!$A$6:$A$505,0)+5,"")),IFERROR(MATCH(B13,Guests!$A$6:$A$505,0)+5,"")))</f>
        <v/>
      </c>
      <c r="S13" s="32">
        <f>IF(R13="","",TRIM(INDEX(Guests!$E$1:$E$505,R13)&amp;""))</f>
        <v/>
      </c>
      <c r="T13" s="32">
        <f>IF(R13="","",IF(S13="",1,COUNTIF(Guests!$E$6:$E$505,S13)))</f>
        <v/>
      </c>
      <c r="U13" s="32">
        <f>IF(R13="","",IF(S13="",1,IF(COUNTIF(S$1:S12,S13)=0,1,0)))</f>
        <v/>
      </c>
      <c r="V13" s="32">
        <f>IF(AND(R13&lt;&gt;"",G13="Attending",U13=1),MAX(0,H13+I13-T13),0)</f>
        <v/>
      </c>
      <c r="W13" s="32">
        <f>IF(AND(O13=1,R13=""),1,0)</f>
        <v/>
      </c>
      <c r="X13" s="32">
        <f>IF(B13="",0,H13+I13)</f>
        <v/>
      </c>
      <c r="Y13" s="32">
        <f>N(Y12)+O13</f>
        <v/>
      </c>
      <c r="Z13" s="32">
        <f>IF(O13=1,Y13,"")</f>
        <v/>
      </c>
      <c r="AA13" s="32">
        <f>IF(AND(W13=1,G13="Not sure yet"),1,0)</f>
        <v/>
      </c>
      <c r="AB13" s="32">
        <f>N(AB12)+AA13</f>
        <v/>
      </c>
      <c r="AC13" s="32">
        <f>IF(AA13=1,AB13,"")</f>
        <v/>
      </c>
      <c r="AD13" s="32">
        <f>IF(D13="","",IF(LEN(D13)=10,"+1"&amp;D13,IF(AND(LEN(D13)=11,LEFT(D13,1)="1"),"+"&amp;D13,IF(LEFT(C13,1)="+","+"&amp;D13,D13))))</f>
        <v/>
      </c>
      <c r="AE13" s="32">
        <f>IF(B13="","",PROPER(IFERROR(LEFT(B13,FIND(" ",B13)-1),B13)))</f>
        <v/>
      </c>
      <c r="AF13" s="32">
        <f>SUBSTITUTE(SUBSTITUTE(SUBSTITUTE(SUBSTITUTE(SUBSTITUTE(SUBSTITUTE(SUBSTITUTE(SUBSTITUTE(SUBSTITUTE(SUBSTITUTE(AE13,"%","%25"),"&amp;","%26"),"#","%23"),"+","%2B"),"=","%3D"),"?","%3F"),CHAR(34),"%22"),CHAR(10),"%0A"),CHAR(13),"")," ","+")</f>
        <v/>
      </c>
      <c r="AG13" s="32">
        <f>IF(OR(AD13="",AE13=""),"",'Start Here'!$B$20&amp;"#p="&amp;SUBSTITUTE(AD13,"+","%2B")&amp;"&amp;n="&amp;AF13&amp;"&amp;m="&amp;SUBSTITUTE('Start Here'!$B$24,"{name}",AF13))</f>
        <v/>
      </c>
      <c r="AH13" s="32">
        <f>N(AH12)+W13</f>
        <v/>
      </c>
      <c r="AI13" s="32">
        <f>IF(W13=1,AH13,"")</f>
        <v/>
      </c>
    </row>
    <row r="14">
      <c r="A14" s="32">
        <f>IF(INDEX('Form Responses'!$A:$A,ROW())="","",INDEX('Form Responses'!$A:$A,ROW()))</f>
        <v/>
      </c>
      <c r="B14" s="32">
        <f>TRIM(INDEX('Form Responses'!$B:$B,ROW())&amp;"")</f>
        <v/>
      </c>
      <c r="C14" s="32">
        <f>IF(B14="","",TRIM(INDEX('Form Responses'!$C:$C,ROW())&amp;""))</f>
        <v/>
      </c>
      <c r="D14" s="32">
        <f>SUBSTITUTE(SUBSTITUTE(SUBSTITUTE(SUBSTITUTE(SUBSTITUTE(SUBSTITUTE(SUBSTITUTE(SUBSTITUTE(C14," ",""),"-",""),"(",""),")",""),".",""),"+",""),"/",""),CHAR(160),"")</f>
        <v/>
      </c>
      <c r="E14" s="32">
        <f>IF(LEN(D14)&gt;=10,RIGHT(D14,10),D14)</f>
        <v/>
      </c>
      <c r="F14" s="32">
        <f>IF(B14="","",TRIM(INDEX('Form Responses'!$D:$D,ROW())&amp;""))</f>
        <v/>
      </c>
      <c r="G14" s="32">
        <f>IF(B14="","",IF(LEFT(TRIM(INDEX('Form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" s="32">
        <f>IF(B14="","",MAX(0,IFERROR(INT(--(INDEX('Form Responses'!$F:$F,ROW())&amp;"")),1)))</f>
        <v/>
      </c>
      <c r="I14" s="32">
        <f>IF(B14="","",MAX(0,IFERROR(INT(--(INDEX('Form Responses'!$G:$G,ROW())&amp;"")),0)))</f>
        <v/>
      </c>
      <c r="J14" s="32">
        <f>IF(B14="","",TRIM(INDEX('Form Responses'!$H:$H,ROW())&amp;""))</f>
        <v/>
      </c>
      <c r="K14" s="32">
        <f>IF(B14="","",TRIM(INDEX('Form Responses'!$I:$I,ROW())&amp;""))</f>
        <v/>
      </c>
      <c r="L14" s="32">
        <f>IF(B14="","",TRIM(INDEX('Form Responses'!$J:$J,ROW())&amp;""))</f>
        <v/>
      </c>
      <c r="M14" s="32">
        <f>IF(B14="","",TRIM(INDEX('Form Responses'!$K:$K,ROW())&amp;""))</f>
        <v/>
      </c>
      <c r="N14" s="32">
        <f>IF(B14="","",IF(E14&lt;&gt;"","P"&amp;E14,"N"&amp;B14))</f>
        <v/>
      </c>
      <c r="O14" s="32">
        <f>IF(N14="",0,IF(COUNTIF(N15:N$602,N14)=0,1,0))</f>
        <v/>
      </c>
      <c r="P14" s="32">
        <f>IF(AND(O14=1,E14&lt;&gt;""),E14,"")</f>
        <v/>
      </c>
      <c r="Q14" s="32">
        <f>IF(O14=1,B14,"")</f>
        <v/>
      </c>
      <c r="R14" s="32">
        <f>IF(O14&lt;&gt;1,"",IF(E14&lt;&gt;"",IFERROR(MATCH(E14,Guests!$S$6:$S$505,0)+5,IFERROR(MATCH(B14,Guests!$A$6:$A$505,0)+5,"")),IFERROR(MATCH(B14,Guests!$A$6:$A$505,0)+5,"")))</f>
        <v/>
      </c>
      <c r="S14" s="32">
        <f>IF(R14="","",TRIM(INDEX(Guests!$E$1:$E$505,R14)&amp;""))</f>
        <v/>
      </c>
      <c r="T14" s="32">
        <f>IF(R14="","",IF(S14="",1,COUNTIF(Guests!$E$6:$E$505,S14)))</f>
        <v/>
      </c>
      <c r="U14" s="32">
        <f>IF(R14="","",IF(S14="",1,IF(COUNTIF(S$1:S13,S14)=0,1,0)))</f>
        <v/>
      </c>
      <c r="V14" s="32">
        <f>IF(AND(R14&lt;&gt;"",G14="Attending",U14=1),MAX(0,H14+I14-T14),0)</f>
        <v/>
      </c>
      <c r="W14" s="32">
        <f>IF(AND(O14=1,R14=""),1,0)</f>
        <v/>
      </c>
      <c r="X14" s="32">
        <f>IF(B14="",0,H14+I14)</f>
        <v/>
      </c>
      <c r="Y14" s="32">
        <f>N(Y13)+O14</f>
        <v/>
      </c>
      <c r="Z14" s="32">
        <f>IF(O14=1,Y14,"")</f>
        <v/>
      </c>
      <c r="AA14" s="32">
        <f>IF(AND(W14=1,G14="Not sure yet"),1,0)</f>
        <v/>
      </c>
      <c r="AB14" s="32">
        <f>N(AB13)+AA14</f>
        <v/>
      </c>
      <c r="AC14" s="32">
        <f>IF(AA14=1,AB14,"")</f>
        <v/>
      </c>
      <c r="AD14" s="32">
        <f>IF(D14="","",IF(LEN(D14)=10,"+1"&amp;D14,IF(AND(LEN(D14)=11,LEFT(D14,1)="1"),"+"&amp;D14,IF(LEFT(C14,1)="+","+"&amp;D14,D14))))</f>
        <v/>
      </c>
      <c r="AE14" s="32">
        <f>IF(B14="","",PROPER(IFERROR(LEFT(B14,FIND(" ",B14)-1),B14)))</f>
        <v/>
      </c>
      <c r="AF14" s="32">
        <f>SUBSTITUTE(SUBSTITUTE(SUBSTITUTE(SUBSTITUTE(SUBSTITUTE(SUBSTITUTE(SUBSTITUTE(SUBSTITUTE(SUBSTITUTE(SUBSTITUTE(AE14,"%","%25"),"&amp;","%26"),"#","%23"),"+","%2B"),"=","%3D"),"?","%3F"),CHAR(34),"%22"),CHAR(10),"%0A"),CHAR(13),"")," ","+")</f>
        <v/>
      </c>
      <c r="AG14" s="32">
        <f>IF(OR(AD14="",AE14=""),"",'Start Here'!$B$20&amp;"#p="&amp;SUBSTITUTE(AD14,"+","%2B")&amp;"&amp;n="&amp;AF14&amp;"&amp;m="&amp;SUBSTITUTE('Start Here'!$B$24,"{name}",AF14))</f>
        <v/>
      </c>
      <c r="AH14" s="32">
        <f>N(AH13)+W14</f>
        <v/>
      </c>
      <c r="AI14" s="32">
        <f>IF(W14=1,AH14,"")</f>
        <v/>
      </c>
    </row>
    <row r="15">
      <c r="A15" s="32">
        <f>IF(INDEX('Form Responses'!$A:$A,ROW())="","",INDEX('Form Responses'!$A:$A,ROW()))</f>
        <v/>
      </c>
      <c r="B15" s="32">
        <f>TRIM(INDEX('Form Responses'!$B:$B,ROW())&amp;"")</f>
        <v/>
      </c>
      <c r="C15" s="32">
        <f>IF(B15="","",TRIM(INDEX('Form Responses'!$C:$C,ROW())&amp;""))</f>
        <v/>
      </c>
      <c r="D15" s="32">
        <f>SUBSTITUTE(SUBSTITUTE(SUBSTITUTE(SUBSTITUTE(SUBSTITUTE(SUBSTITUTE(SUBSTITUTE(SUBSTITUTE(C15," ",""),"-",""),"(",""),")",""),".",""),"+",""),"/",""),CHAR(160),"")</f>
        <v/>
      </c>
      <c r="E15" s="32">
        <f>IF(LEN(D15)&gt;=10,RIGHT(D15,10),D15)</f>
        <v/>
      </c>
      <c r="F15" s="32">
        <f>IF(B15="","",TRIM(INDEX('Form Responses'!$D:$D,ROW())&amp;""))</f>
        <v/>
      </c>
      <c r="G15" s="32">
        <f>IF(B15="","",IF(LEFT(TRIM(INDEX('Form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" s="32">
        <f>IF(B15="","",MAX(0,IFERROR(INT(--(INDEX('Form Responses'!$F:$F,ROW())&amp;"")),1)))</f>
        <v/>
      </c>
      <c r="I15" s="32">
        <f>IF(B15="","",MAX(0,IFERROR(INT(--(INDEX('Form Responses'!$G:$G,ROW())&amp;"")),0)))</f>
        <v/>
      </c>
      <c r="J15" s="32">
        <f>IF(B15="","",TRIM(INDEX('Form Responses'!$H:$H,ROW())&amp;""))</f>
        <v/>
      </c>
      <c r="K15" s="32">
        <f>IF(B15="","",TRIM(INDEX('Form Responses'!$I:$I,ROW())&amp;""))</f>
        <v/>
      </c>
      <c r="L15" s="32">
        <f>IF(B15="","",TRIM(INDEX('Form Responses'!$J:$J,ROW())&amp;""))</f>
        <v/>
      </c>
      <c r="M15" s="32">
        <f>IF(B15="","",TRIM(INDEX('Form Responses'!$K:$K,ROW())&amp;""))</f>
        <v/>
      </c>
      <c r="N15" s="32">
        <f>IF(B15="","",IF(E15&lt;&gt;"","P"&amp;E15,"N"&amp;B15))</f>
        <v/>
      </c>
      <c r="O15" s="32">
        <f>IF(N15="",0,IF(COUNTIF(N16:N$602,N15)=0,1,0))</f>
        <v/>
      </c>
      <c r="P15" s="32">
        <f>IF(AND(O15=1,E15&lt;&gt;""),E15,"")</f>
        <v/>
      </c>
      <c r="Q15" s="32">
        <f>IF(O15=1,B15,"")</f>
        <v/>
      </c>
      <c r="R15" s="32">
        <f>IF(O15&lt;&gt;1,"",IF(E15&lt;&gt;"",IFERROR(MATCH(E15,Guests!$S$6:$S$505,0)+5,IFERROR(MATCH(B15,Guests!$A$6:$A$505,0)+5,"")),IFERROR(MATCH(B15,Guests!$A$6:$A$505,0)+5,"")))</f>
        <v/>
      </c>
      <c r="S15" s="32">
        <f>IF(R15="","",TRIM(INDEX(Guests!$E$1:$E$505,R15)&amp;""))</f>
        <v/>
      </c>
      <c r="T15" s="32">
        <f>IF(R15="","",IF(S15="",1,COUNTIF(Guests!$E$6:$E$505,S15)))</f>
        <v/>
      </c>
      <c r="U15" s="32">
        <f>IF(R15="","",IF(S15="",1,IF(COUNTIF(S$1:S14,S15)=0,1,0)))</f>
        <v/>
      </c>
      <c r="V15" s="32">
        <f>IF(AND(R15&lt;&gt;"",G15="Attending",U15=1),MAX(0,H15+I15-T15),0)</f>
        <v/>
      </c>
      <c r="W15" s="32">
        <f>IF(AND(O15=1,R15=""),1,0)</f>
        <v/>
      </c>
      <c r="X15" s="32">
        <f>IF(B15="",0,H15+I15)</f>
        <v/>
      </c>
      <c r="Y15" s="32">
        <f>N(Y14)+O15</f>
        <v/>
      </c>
      <c r="Z15" s="32">
        <f>IF(O15=1,Y15,"")</f>
        <v/>
      </c>
      <c r="AA15" s="32">
        <f>IF(AND(W15=1,G15="Not sure yet"),1,0)</f>
        <v/>
      </c>
      <c r="AB15" s="32">
        <f>N(AB14)+AA15</f>
        <v/>
      </c>
      <c r="AC15" s="32">
        <f>IF(AA15=1,AB15,"")</f>
        <v/>
      </c>
      <c r="AD15" s="32">
        <f>IF(D15="","",IF(LEN(D15)=10,"+1"&amp;D15,IF(AND(LEN(D15)=11,LEFT(D15,1)="1"),"+"&amp;D15,IF(LEFT(C15,1)="+","+"&amp;D15,D15))))</f>
        <v/>
      </c>
      <c r="AE15" s="32">
        <f>IF(B15="","",PROPER(IFERROR(LEFT(B15,FIND(" ",B15)-1),B15)))</f>
        <v/>
      </c>
      <c r="AF15" s="32">
        <f>SUBSTITUTE(SUBSTITUTE(SUBSTITUTE(SUBSTITUTE(SUBSTITUTE(SUBSTITUTE(SUBSTITUTE(SUBSTITUTE(SUBSTITUTE(SUBSTITUTE(AE15,"%","%25"),"&amp;","%26"),"#","%23"),"+","%2B"),"=","%3D"),"?","%3F"),CHAR(34),"%22"),CHAR(10),"%0A"),CHAR(13),"")," ","+")</f>
        <v/>
      </c>
      <c r="AG15" s="32">
        <f>IF(OR(AD15="",AE15=""),"",'Start Here'!$B$20&amp;"#p="&amp;SUBSTITUTE(AD15,"+","%2B")&amp;"&amp;n="&amp;AF15&amp;"&amp;m="&amp;SUBSTITUTE('Start Here'!$B$24,"{name}",AF15))</f>
        <v/>
      </c>
      <c r="AH15" s="32">
        <f>N(AH14)+W15</f>
        <v/>
      </c>
      <c r="AI15" s="32">
        <f>IF(W15=1,AH15,"")</f>
        <v/>
      </c>
    </row>
    <row r="16">
      <c r="A16" s="32">
        <f>IF(INDEX('Form Responses'!$A:$A,ROW())="","",INDEX('Form Responses'!$A:$A,ROW()))</f>
        <v/>
      </c>
      <c r="B16" s="32">
        <f>TRIM(INDEX('Form Responses'!$B:$B,ROW())&amp;"")</f>
        <v/>
      </c>
      <c r="C16" s="32">
        <f>IF(B16="","",TRIM(INDEX('Form Responses'!$C:$C,ROW())&amp;""))</f>
        <v/>
      </c>
      <c r="D16" s="32">
        <f>SUBSTITUTE(SUBSTITUTE(SUBSTITUTE(SUBSTITUTE(SUBSTITUTE(SUBSTITUTE(SUBSTITUTE(SUBSTITUTE(C16," ",""),"-",""),"(",""),")",""),".",""),"+",""),"/",""),CHAR(160),"")</f>
        <v/>
      </c>
      <c r="E16" s="32">
        <f>IF(LEN(D16)&gt;=10,RIGHT(D16,10),D16)</f>
        <v/>
      </c>
      <c r="F16" s="32">
        <f>IF(B16="","",TRIM(INDEX('Form Responses'!$D:$D,ROW())&amp;""))</f>
        <v/>
      </c>
      <c r="G16" s="32">
        <f>IF(B16="","",IF(LEFT(TRIM(INDEX('Form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" s="32">
        <f>IF(B16="","",MAX(0,IFERROR(INT(--(INDEX('Form Responses'!$F:$F,ROW())&amp;"")),1)))</f>
        <v/>
      </c>
      <c r="I16" s="32">
        <f>IF(B16="","",MAX(0,IFERROR(INT(--(INDEX('Form Responses'!$G:$G,ROW())&amp;"")),0)))</f>
        <v/>
      </c>
      <c r="J16" s="32">
        <f>IF(B16="","",TRIM(INDEX('Form Responses'!$H:$H,ROW())&amp;""))</f>
        <v/>
      </c>
      <c r="K16" s="32">
        <f>IF(B16="","",TRIM(INDEX('Form Responses'!$I:$I,ROW())&amp;""))</f>
        <v/>
      </c>
      <c r="L16" s="32">
        <f>IF(B16="","",TRIM(INDEX('Form Responses'!$J:$J,ROW())&amp;""))</f>
        <v/>
      </c>
      <c r="M16" s="32">
        <f>IF(B16="","",TRIM(INDEX('Form Responses'!$K:$K,ROW())&amp;""))</f>
        <v/>
      </c>
      <c r="N16" s="32">
        <f>IF(B16="","",IF(E16&lt;&gt;"","P"&amp;E16,"N"&amp;B16))</f>
        <v/>
      </c>
      <c r="O16" s="32">
        <f>IF(N16="",0,IF(COUNTIF(N17:N$602,N16)=0,1,0))</f>
        <v/>
      </c>
      <c r="P16" s="32">
        <f>IF(AND(O16=1,E16&lt;&gt;""),E16,"")</f>
        <v/>
      </c>
      <c r="Q16" s="32">
        <f>IF(O16=1,B16,"")</f>
        <v/>
      </c>
      <c r="R16" s="32">
        <f>IF(O16&lt;&gt;1,"",IF(E16&lt;&gt;"",IFERROR(MATCH(E16,Guests!$S$6:$S$505,0)+5,IFERROR(MATCH(B16,Guests!$A$6:$A$505,0)+5,"")),IFERROR(MATCH(B16,Guests!$A$6:$A$505,0)+5,"")))</f>
        <v/>
      </c>
      <c r="S16" s="32">
        <f>IF(R16="","",TRIM(INDEX(Guests!$E$1:$E$505,R16)&amp;""))</f>
        <v/>
      </c>
      <c r="T16" s="32">
        <f>IF(R16="","",IF(S16="",1,COUNTIF(Guests!$E$6:$E$505,S16)))</f>
        <v/>
      </c>
      <c r="U16" s="32">
        <f>IF(R16="","",IF(S16="",1,IF(COUNTIF(S$1:S15,S16)=0,1,0)))</f>
        <v/>
      </c>
      <c r="V16" s="32">
        <f>IF(AND(R16&lt;&gt;"",G16="Attending",U16=1),MAX(0,H16+I16-T16),0)</f>
        <v/>
      </c>
      <c r="W16" s="32">
        <f>IF(AND(O16=1,R16=""),1,0)</f>
        <v/>
      </c>
      <c r="X16" s="32">
        <f>IF(B16="",0,H16+I16)</f>
        <v/>
      </c>
      <c r="Y16" s="32">
        <f>N(Y15)+O16</f>
        <v/>
      </c>
      <c r="Z16" s="32">
        <f>IF(O16=1,Y16,"")</f>
        <v/>
      </c>
      <c r="AA16" s="32">
        <f>IF(AND(W16=1,G16="Not sure yet"),1,0)</f>
        <v/>
      </c>
      <c r="AB16" s="32">
        <f>N(AB15)+AA16</f>
        <v/>
      </c>
      <c r="AC16" s="32">
        <f>IF(AA16=1,AB16,"")</f>
        <v/>
      </c>
      <c r="AD16" s="32">
        <f>IF(D16="","",IF(LEN(D16)=10,"+1"&amp;D16,IF(AND(LEN(D16)=11,LEFT(D16,1)="1"),"+"&amp;D16,IF(LEFT(C16,1)="+","+"&amp;D16,D16))))</f>
        <v/>
      </c>
      <c r="AE16" s="32">
        <f>IF(B16="","",PROPER(IFERROR(LEFT(B16,FIND(" ",B16)-1),B16)))</f>
        <v/>
      </c>
      <c r="AF16" s="32">
        <f>SUBSTITUTE(SUBSTITUTE(SUBSTITUTE(SUBSTITUTE(SUBSTITUTE(SUBSTITUTE(SUBSTITUTE(SUBSTITUTE(SUBSTITUTE(SUBSTITUTE(AE16,"%","%25"),"&amp;","%26"),"#","%23"),"+","%2B"),"=","%3D"),"?","%3F"),CHAR(34),"%22"),CHAR(10),"%0A"),CHAR(13),"")," ","+")</f>
        <v/>
      </c>
      <c r="AG16" s="32">
        <f>IF(OR(AD16="",AE16=""),"",'Start Here'!$B$20&amp;"#p="&amp;SUBSTITUTE(AD16,"+","%2B")&amp;"&amp;n="&amp;AF16&amp;"&amp;m="&amp;SUBSTITUTE('Start Here'!$B$24,"{name}",AF16))</f>
        <v/>
      </c>
      <c r="AH16" s="32">
        <f>N(AH15)+W16</f>
        <v/>
      </c>
      <c r="AI16" s="32">
        <f>IF(W16=1,AH16,"")</f>
        <v/>
      </c>
    </row>
    <row r="17">
      <c r="A17" s="32">
        <f>IF(INDEX('Form Responses'!$A:$A,ROW())="","",INDEX('Form Responses'!$A:$A,ROW()))</f>
        <v/>
      </c>
      <c r="B17" s="32">
        <f>TRIM(INDEX('Form Responses'!$B:$B,ROW())&amp;"")</f>
        <v/>
      </c>
      <c r="C17" s="32">
        <f>IF(B17="","",TRIM(INDEX('Form Responses'!$C:$C,ROW())&amp;""))</f>
        <v/>
      </c>
      <c r="D17" s="32">
        <f>SUBSTITUTE(SUBSTITUTE(SUBSTITUTE(SUBSTITUTE(SUBSTITUTE(SUBSTITUTE(SUBSTITUTE(SUBSTITUTE(C17," ",""),"-",""),"(",""),")",""),".",""),"+",""),"/",""),CHAR(160),"")</f>
        <v/>
      </c>
      <c r="E17" s="32">
        <f>IF(LEN(D17)&gt;=10,RIGHT(D17,10),D17)</f>
        <v/>
      </c>
      <c r="F17" s="32">
        <f>IF(B17="","",TRIM(INDEX('Form Responses'!$D:$D,ROW())&amp;""))</f>
        <v/>
      </c>
      <c r="G17" s="32">
        <f>IF(B17="","",IF(LEFT(TRIM(INDEX('Form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" s="32">
        <f>IF(B17="","",MAX(0,IFERROR(INT(--(INDEX('Form Responses'!$F:$F,ROW())&amp;"")),1)))</f>
        <v/>
      </c>
      <c r="I17" s="32">
        <f>IF(B17="","",MAX(0,IFERROR(INT(--(INDEX('Form Responses'!$G:$G,ROW())&amp;"")),0)))</f>
        <v/>
      </c>
      <c r="J17" s="32">
        <f>IF(B17="","",TRIM(INDEX('Form Responses'!$H:$H,ROW())&amp;""))</f>
        <v/>
      </c>
      <c r="K17" s="32">
        <f>IF(B17="","",TRIM(INDEX('Form Responses'!$I:$I,ROW())&amp;""))</f>
        <v/>
      </c>
      <c r="L17" s="32">
        <f>IF(B17="","",TRIM(INDEX('Form Responses'!$J:$J,ROW())&amp;""))</f>
        <v/>
      </c>
      <c r="M17" s="32">
        <f>IF(B17="","",TRIM(INDEX('Form Responses'!$K:$K,ROW())&amp;""))</f>
        <v/>
      </c>
      <c r="N17" s="32">
        <f>IF(B17="","",IF(E17&lt;&gt;"","P"&amp;E17,"N"&amp;B17))</f>
        <v/>
      </c>
      <c r="O17" s="32">
        <f>IF(N17="",0,IF(COUNTIF(N18:N$602,N17)=0,1,0))</f>
        <v/>
      </c>
      <c r="P17" s="32">
        <f>IF(AND(O17=1,E17&lt;&gt;""),E17,"")</f>
        <v/>
      </c>
      <c r="Q17" s="32">
        <f>IF(O17=1,B17,"")</f>
        <v/>
      </c>
      <c r="R17" s="32">
        <f>IF(O17&lt;&gt;1,"",IF(E17&lt;&gt;"",IFERROR(MATCH(E17,Guests!$S$6:$S$505,0)+5,IFERROR(MATCH(B17,Guests!$A$6:$A$505,0)+5,"")),IFERROR(MATCH(B17,Guests!$A$6:$A$505,0)+5,"")))</f>
        <v/>
      </c>
      <c r="S17" s="32">
        <f>IF(R17="","",TRIM(INDEX(Guests!$E$1:$E$505,R17)&amp;""))</f>
        <v/>
      </c>
      <c r="T17" s="32">
        <f>IF(R17="","",IF(S17="",1,COUNTIF(Guests!$E$6:$E$505,S17)))</f>
        <v/>
      </c>
      <c r="U17" s="32">
        <f>IF(R17="","",IF(S17="",1,IF(COUNTIF(S$1:S16,S17)=0,1,0)))</f>
        <v/>
      </c>
      <c r="V17" s="32">
        <f>IF(AND(R17&lt;&gt;"",G17="Attending",U17=1),MAX(0,H17+I17-T17),0)</f>
        <v/>
      </c>
      <c r="W17" s="32">
        <f>IF(AND(O17=1,R17=""),1,0)</f>
        <v/>
      </c>
      <c r="X17" s="32">
        <f>IF(B17="",0,H17+I17)</f>
        <v/>
      </c>
      <c r="Y17" s="32">
        <f>N(Y16)+O17</f>
        <v/>
      </c>
      <c r="Z17" s="32">
        <f>IF(O17=1,Y17,"")</f>
        <v/>
      </c>
      <c r="AA17" s="32">
        <f>IF(AND(W17=1,G17="Not sure yet"),1,0)</f>
        <v/>
      </c>
      <c r="AB17" s="32">
        <f>N(AB16)+AA17</f>
        <v/>
      </c>
      <c r="AC17" s="32">
        <f>IF(AA17=1,AB17,"")</f>
        <v/>
      </c>
      <c r="AD17" s="32">
        <f>IF(D17="","",IF(LEN(D17)=10,"+1"&amp;D17,IF(AND(LEN(D17)=11,LEFT(D17,1)="1"),"+"&amp;D17,IF(LEFT(C17,1)="+","+"&amp;D17,D17))))</f>
        <v/>
      </c>
      <c r="AE17" s="32">
        <f>IF(B17="","",PROPER(IFERROR(LEFT(B17,FIND(" ",B17)-1),B17)))</f>
        <v/>
      </c>
      <c r="AF17" s="32">
        <f>SUBSTITUTE(SUBSTITUTE(SUBSTITUTE(SUBSTITUTE(SUBSTITUTE(SUBSTITUTE(SUBSTITUTE(SUBSTITUTE(SUBSTITUTE(SUBSTITUTE(AE17,"%","%25"),"&amp;","%26"),"#","%23"),"+","%2B"),"=","%3D"),"?","%3F"),CHAR(34),"%22"),CHAR(10),"%0A"),CHAR(13),"")," ","+")</f>
        <v/>
      </c>
      <c r="AG17" s="32">
        <f>IF(OR(AD17="",AE17=""),"",'Start Here'!$B$20&amp;"#p="&amp;SUBSTITUTE(AD17,"+","%2B")&amp;"&amp;n="&amp;AF17&amp;"&amp;m="&amp;SUBSTITUTE('Start Here'!$B$24,"{name}",AF17))</f>
        <v/>
      </c>
      <c r="AH17" s="32">
        <f>N(AH16)+W17</f>
        <v/>
      </c>
      <c r="AI17" s="32">
        <f>IF(W17=1,AH17,"")</f>
        <v/>
      </c>
    </row>
    <row r="18">
      <c r="A18" s="32">
        <f>IF(INDEX('Form Responses'!$A:$A,ROW())="","",INDEX('Form Responses'!$A:$A,ROW()))</f>
        <v/>
      </c>
      <c r="B18" s="32">
        <f>TRIM(INDEX('Form Responses'!$B:$B,ROW())&amp;"")</f>
        <v/>
      </c>
      <c r="C18" s="32">
        <f>IF(B18="","",TRIM(INDEX('Form Responses'!$C:$C,ROW())&amp;""))</f>
        <v/>
      </c>
      <c r="D18" s="32">
        <f>SUBSTITUTE(SUBSTITUTE(SUBSTITUTE(SUBSTITUTE(SUBSTITUTE(SUBSTITUTE(SUBSTITUTE(SUBSTITUTE(C18," ",""),"-",""),"(",""),")",""),".",""),"+",""),"/",""),CHAR(160),"")</f>
        <v/>
      </c>
      <c r="E18" s="32">
        <f>IF(LEN(D18)&gt;=10,RIGHT(D18,10),D18)</f>
        <v/>
      </c>
      <c r="F18" s="32">
        <f>IF(B18="","",TRIM(INDEX('Form Responses'!$D:$D,ROW())&amp;""))</f>
        <v/>
      </c>
      <c r="G18" s="32">
        <f>IF(B18="","",IF(LEFT(TRIM(INDEX('Form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" s="32">
        <f>IF(B18="","",MAX(0,IFERROR(INT(--(INDEX('Form Responses'!$F:$F,ROW())&amp;"")),1)))</f>
        <v/>
      </c>
      <c r="I18" s="32">
        <f>IF(B18="","",MAX(0,IFERROR(INT(--(INDEX('Form Responses'!$G:$G,ROW())&amp;"")),0)))</f>
        <v/>
      </c>
      <c r="J18" s="32">
        <f>IF(B18="","",TRIM(INDEX('Form Responses'!$H:$H,ROW())&amp;""))</f>
        <v/>
      </c>
      <c r="K18" s="32">
        <f>IF(B18="","",TRIM(INDEX('Form Responses'!$I:$I,ROW())&amp;""))</f>
        <v/>
      </c>
      <c r="L18" s="32">
        <f>IF(B18="","",TRIM(INDEX('Form Responses'!$J:$J,ROW())&amp;""))</f>
        <v/>
      </c>
      <c r="M18" s="32">
        <f>IF(B18="","",TRIM(INDEX('Form Responses'!$K:$K,ROW())&amp;""))</f>
        <v/>
      </c>
      <c r="N18" s="32">
        <f>IF(B18="","",IF(E18&lt;&gt;"","P"&amp;E18,"N"&amp;B18))</f>
        <v/>
      </c>
      <c r="O18" s="32">
        <f>IF(N18="",0,IF(COUNTIF(N19:N$602,N18)=0,1,0))</f>
        <v/>
      </c>
      <c r="P18" s="32">
        <f>IF(AND(O18=1,E18&lt;&gt;""),E18,"")</f>
        <v/>
      </c>
      <c r="Q18" s="32">
        <f>IF(O18=1,B18,"")</f>
        <v/>
      </c>
      <c r="R18" s="32">
        <f>IF(O18&lt;&gt;1,"",IF(E18&lt;&gt;"",IFERROR(MATCH(E18,Guests!$S$6:$S$505,0)+5,IFERROR(MATCH(B18,Guests!$A$6:$A$505,0)+5,"")),IFERROR(MATCH(B18,Guests!$A$6:$A$505,0)+5,"")))</f>
        <v/>
      </c>
      <c r="S18" s="32">
        <f>IF(R18="","",TRIM(INDEX(Guests!$E$1:$E$505,R18)&amp;""))</f>
        <v/>
      </c>
      <c r="T18" s="32">
        <f>IF(R18="","",IF(S18="",1,COUNTIF(Guests!$E$6:$E$505,S18)))</f>
        <v/>
      </c>
      <c r="U18" s="32">
        <f>IF(R18="","",IF(S18="",1,IF(COUNTIF(S$1:S17,S18)=0,1,0)))</f>
        <v/>
      </c>
      <c r="V18" s="32">
        <f>IF(AND(R18&lt;&gt;"",G18="Attending",U18=1),MAX(0,H18+I18-T18),0)</f>
        <v/>
      </c>
      <c r="W18" s="32">
        <f>IF(AND(O18=1,R18=""),1,0)</f>
        <v/>
      </c>
      <c r="X18" s="32">
        <f>IF(B18="",0,H18+I18)</f>
        <v/>
      </c>
      <c r="Y18" s="32">
        <f>N(Y17)+O18</f>
        <v/>
      </c>
      <c r="Z18" s="32">
        <f>IF(O18=1,Y18,"")</f>
        <v/>
      </c>
      <c r="AA18" s="32">
        <f>IF(AND(W18=1,G18="Not sure yet"),1,0)</f>
        <v/>
      </c>
      <c r="AB18" s="32">
        <f>N(AB17)+AA18</f>
        <v/>
      </c>
      <c r="AC18" s="32">
        <f>IF(AA18=1,AB18,"")</f>
        <v/>
      </c>
      <c r="AD18" s="32">
        <f>IF(D18="","",IF(LEN(D18)=10,"+1"&amp;D18,IF(AND(LEN(D18)=11,LEFT(D18,1)="1"),"+"&amp;D18,IF(LEFT(C18,1)="+","+"&amp;D18,D18))))</f>
        <v/>
      </c>
      <c r="AE18" s="32">
        <f>IF(B18="","",PROPER(IFERROR(LEFT(B18,FIND(" ",B18)-1),B18)))</f>
        <v/>
      </c>
      <c r="AF18" s="32">
        <f>SUBSTITUTE(SUBSTITUTE(SUBSTITUTE(SUBSTITUTE(SUBSTITUTE(SUBSTITUTE(SUBSTITUTE(SUBSTITUTE(SUBSTITUTE(SUBSTITUTE(AE18,"%","%25"),"&amp;","%26"),"#","%23"),"+","%2B"),"=","%3D"),"?","%3F"),CHAR(34),"%22"),CHAR(10),"%0A"),CHAR(13),"")," ","+")</f>
        <v/>
      </c>
      <c r="AG18" s="32">
        <f>IF(OR(AD18="",AE18=""),"",'Start Here'!$B$20&amp;"#p="&amp;SUBSTITUTE(AD18,"+","%2B")&amp;"&amp;n="&amp;AF18&amp;"&amp;m="&amp;SUBSTITUTE('Start Here'!$B$24,"{name}",AF18))</f>
        <v/>
      </c>
      <c r="AH18" s="32">
        <f>N(AH17)+W18</f>
        <v/>
      </c>
      <c r="AI18" s="32">
        <f>IF(W18=1,AH18,"")</f>
        <v/>
      </c>
    </row>
    <row r="19">
      <c r="A19" s="32">
        <f>IF(INDEX('Form Responses'!$A:$A,ROW())="","",INDEX('Form Responses'!$A:$A,ROW()))</f>
        <v/>
      </c>
      <c r="B19" s="32">
        <f>TRIM(INDEX('Form Responses'!$B:$B,ROW())&amp;"")</f>
        <v/>
      </c>
      <c r="C19" s="32">
        <f>IF(B19="","",TRIM(INDEX('Form Responses'!$C:$C,ROW())&amp;""))</f>
        <v/>
      </c>
      <c r="D19" s="32">
        <f>SUBSTITUTE(SUBSTITUTE(SUBSTITUTE(SUBSTITUTE(SUBSTITUTE(SUBSTITUTE(SUBSTITUTE(SUBSTITUTE(C19," ",""),"-",""),"(",""),")",""),".",""),"+",""),"/",""),CHAR(160),"")</f>
        <v/>
      </c>
      <c r="E19" s="32">
        <f>IF(LEN(D19)&gt;=10,RIGHT(D19,10),D19)</f>
        <v/>
      </c>
      <c r="F19" s="32">
        <f>IF(B19="","",TRIM(INDEX('Form Responses'!$D:$D,ROW())&amp;""))</f>
        <v/>
      </c>
      <c r="G19" s="32">
        <f>IF(B19="","",IF(LEFT(TRIM(INDEX('Form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" s="32">
        <f>IF(B19="","",MAX(0,IFERROR(INT(--(INDEX('Form Responses'!$F:$F,ROW())&amp;"")),1)))</f>
        <v/>
      </c>
      <c r="I19" s="32">
        <f>IF(B19="","",MAX(0,IFERROR(INT(--(INDEX('Form Responses'!$G:$G,ROW())&amp;"")),0)))</f>
        <v/>
      </c>
      <c r="J19" s="32">
        <f>IF(B19="","",TRIM(INDEX('Form Responses'!$H:$H,ROW())&amp;""))</f>
        <v/>
      </c>
      <c r="K19" s="32">
        <f>IF(B19="","",TRIM(INDEX('Form Responses'!$I:$I,ROW())&amp;""))</f>
        <v/>
      </c>
      <c r="L19" s="32">
        <f>IF(B19="","",TRIM(INDEX('Form Responses'!$J:$J,ROW())&amp;""))</f>
        <v/>
      </c>
      <c r="M19" s="32">
        <f>IF(B19="","",TRIM(INDEX('Form Responses'!$K:$K,ROW())&amp;""))</f>
        <v/>
      </c>
      <c r="N19" s="32">
        <f>IF(B19="","",IF(E19&lt;&gt;"","P"&amp;E19,"N"&amp;B19))</f>
        <v/>
      </c>
      <c r="O19" s="32">
        <f>IF(N19="",0,IF(COUNTIF(N20:N$602,N19)=0,1,0))</f>
        <v/>
      </c>
      <c r="P19" s="32">
        <f>IF(AND(O19=1,E19&lt;&gt;""),E19,"")</f>
        <v/>
      </c>
      <c r="Q19" s="32">
        <f>IF(O19=1,B19,"")</f>
        <v/>
      </c>
      <c r="R19" s="32">
        <f>IF(O19&lt;&gt;1,"",IF(E19&lt;&gt;"",IFERROR(MATCH(E19,Guests!$S$6:$S$505,0)+5,IFERROR(MATCH(B19,Guests!$A$6:$A$505,0)+5,"")),IFERROR(MATCH(B19,Guests!$A$6:$A$505,0)+5,"")))</f>
        <v/>
      </c>
      <c r="S19" s="32">
        <f>IF(R19="","",TRIM(INDEX(Guests!$E$1:$E$505,R19)&amp;""))</f>
        <v/>
      </c>
      <c r="T19" s="32">
        <f>IF(R19="","",IF(S19="",1,COUNTIF(Guests!$E$6:$E$505,S19)))</f>
        <v/>
      </c>
      <c r="U19" s="32">
        <f>IF(R19="","",IF(S19="",1,IF(COUNTIF(S$1:S18,S19)=0,1,0)))</f>
        <v/>
      </c>
      <c r="V19" s="32">
        <f>IF(AND(R19&lt;&gt;"",G19="Attending",U19=1),MAX(0,H19+I19-T19),0)</f>
        <v/>
      </c>
      <c r="W19" s="32">
        <f>IF(AND(O19=1,R19=""),1,0)</f>
        <v/>
      </c>
      <c r="X19" s="32">
        <f>IF(B19="",0,H19+I19)</f>
        <v/>
      </c>
      <c r="Y19" s="32">
        <f>N(Y18)+O19</f>
        <v/>
      </c>
      <c r="Z19" s="32">
        <f>IF(O19=1,Y19,"")</f>
        <v/>
      </c>
      <c r="AA19" s="32">
        <f>IF(AND(W19=1,G19="Not sure yet"),1,0)</f>
        <v/>
      </c>
      <c r="AB19" s="32">
        <f>N(AB18)+AA19</f>
        <v/>
      </c>
      <c r="AC19" s="32">
        <f>IF(AA19=1,AB19,"")</f>
        <v/>
      </c>
      <c r="AD19" s="32">
        <f>IF(D19="","",IF(LEN(D19)=10,"+1"&amp;D19,IF(AND(LEN(D19)=11,LEFT(D19,1)="1"),"+"&amp;D19,IF(LEFT(C19,1)="+","+"&amp;D19,D19))))</f>
        <v/>
      </c>
      <c r="AE19" s="32">
        <f>IF(B19="","",PROPER(IFERROR(LEFT(B19,FIND(" ",B19)-1),B19)))</f>
        <v/>
      </c>
      <c r="AF19" s="32">
        <f>SUBSTITUTE(SUBSTITUTE(SUBSTITUTE(SUBSTITUTE(SUBSTITUTE(SUBSTITUTE(SUBSTITUTE(SUBSTITUTE(SUBSTITUTE(SUBSTITUTE(AE19,"%","%25"),"&amp;","%26"),"#","%23"),"+","%2B"),"=","%3D"),"?","%3F"),CHAR(34),"%22"),CHAR(10),"%0A"),CHAR(13),"")," ","+")</f>
        <v/>
      </c>
      <c r="AG19" s="32">
        <f>IF(OR(AD19="",AE19=""),"",'Start Here'!$B$20&amp;"#p="&amp;SUBSTITUTE(AD19,"+","%2B")&amp;"&amp;n="&amp;AF19&amp;"&amp;m="&amp;SUBSTITUTE('Start Here'!$B$24,"{name}",AF19))</f>
        <v/>
      </c>
      <c r="AH19" s="32">
        <f>N(AH18)+W19</f>
        <v/>
      </c>
      <c r="AI19" s="32">
        <f>IF(W19=1,AH19,"")</f>
        <v/>
      </c>
    </row>
    <row r="20">
      <c r="A20" s="32">
        <f>IF(INDEX('Form Responses'!$A:$A,ROW())="","",INDEX('Form Responses'!$A:$A,ROW()))</f>
        <v/>
      </c>
      <c r="B20" s="32">
        <f>TRIM(INDEX('Form Responses'!$B:$B,ROW())&amp;"")</f>
        <v/>
      </c>
      <c r="C20" s="32">
        <f>IF(B20="","",TRIM(INDEX('Form Responses'!$C:$C,ROW())&amp;""))</f>
        <v/>
      </c>
      <c r="D20" s="32">
        <f>SUBSTITUTE(SUBSTITUTE(SUBSTITUTE(SUBSTITUTE(SUBSTITUTE(SUBSTITUTE(SUBSTITUTE(SUBSTITUTE(C20," ",""),"-",""),"(",""),")",""),".",""),"+",""),"/",""),CHAR(160),"")</f>
        <v/>
      </c>
      <c r="E20" s="32">
        <f>IF(LEN(D20)&gt;=10,RIGHT(D20,10),D20)</f>
        <v/>
      </c>
      <c r="F20" s="32">
        <f>IF(B20="","",TRIM(INDEX('Form Responses'!$D:$D,ROW())&amp;""))</f>
        <v/>
      </c>
      <c r="G20" s="32">
        <f>IF(B20="","",IF(LEFT(TRIM(INDEX('Form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" s="32">
        <f>IF(B20="","",MAX(0,IFERROR(INT(--(INDEX('Form Responses'!$F:$F,ROW())&amp;"")),1)))</f>
        <v/>
      </c>
      <c r="I20" s="32">
        <f>IF(B20="","",MAX(0,IFERROR(INT(--(INDEX('Form Responses'!$G:$G,ROW())&amp;"")),0)))</f>
        <v/>
      </c>
      <c r="J20" s="32">
        <f>IF(B20="","",TRIM(INDEX('Form Responses'!$H:$H,ROW())&amp;""))</f>
        <v/>
      </c>
      <c r="K20" s="32">
        <f>IF(B20="","",TRIM(INDEX('Form Responses'!$I:$I,ROW())&amp;""))</f>
        <v/>
      </c>
      <c r="L20" s="32">
        <f>IF(B20="","",TRIM(INDEX('Form Responses'!$J:$J,ROW())&amp;""))</f>
        <v/>
      </c>
      <c r="M20" s="32">
        <f>IF(B20="","",TRIM(INDEX('Form Responses'!$K:$K,ROW())&amp;""))</f>
        <v/>
      </c>
      <c r="N20" s="32">
        <f>IF(B20="","",IF(E20&lt;&gt;"","P"&amp;E20,"N"&amp;B20))</f>
        <v/>
      </c>
      <c r="O20" s="32">
        <f>IF(N20="",0,IF(COUNTIF(N21:N$602,N20)=0,1,0))</f>
        <v/>
      </c>
      <c r="P20" s="32">
        <f>IF(AND(O20=1,E20&lt;&gt;""),E20,"")</f>
        <v/>
      </c>
      <c r="Q20" s="32">
        <f>IF(O20=1,B20,"")</f>
        <v/>
      </c>
      <c r="R20" s="32">
        <f>IF(O20&lt;&gt;1,"",IF(E20&lt;&gt;"",IFERROR(MATCH(E20,Guests!$S$6:$S$505,0)+5,IFERROR(MATCH(B20,Guests!$A$6:$A$505,0)+5,"")),IFERROR(MATCH(B20,Guests!$A$6:$A$505,0)+5,"")))</f>
        <v/>
      </c>
      <c r="S20" s="32">
        <f>IF(R20="","",TRIM(INDEX(Guests!$E$1:$E$505,R20)&amp;""))</f>
        <v/>
      </c>
      <c r="T20" s="32">
        <f>IF(R20="","",IF(S20="",1,COUNTIF(Guests!$E$6:$E$505,S20)))</f>
        <v/>
      </c>
      <c r="U20" s="32">
        <f>IF(R20="","",IF(S20="",1,IF(COUNTIF(S$1:S19,S20)=0,1,0)))</f>
        <v/>
      </c>
      <c r="V20" s="32">
        <f>IF(AND(R20&lt;&gt;"",G20="Attending",U20=1),MAX(0,H20+I20-T20),0)</f>
        <v/>
      </c>
      <c r="W20" s="32">
        <f>IF(AND(O20=1,R20=""),1,0)</f>
        <v/>
      </c>
      <c r="X20" s="32">
        <f>IF(B20="",0,H20+I20)</f>
        <v/>
      </c>
      <c r="Y20" s="32">
        <f>N(Y19)+O20</f>
        <v/>
      </c>
      <c r="Z20" s="32">
        <f>IF(O20=1,Y20,"")</f>
        <v/>
      </c>
      <c r="AA20" s="32">
        <f>IF(AND(W20=1,G20="Not sure yet"),1,0)</f>
        <v/>
      </c>
      <c r="AB20" s="32">
        <f>N(AB19)+AA20</f>
        <v/>
      </c>
      <c r="AC20" s="32">
        <f>IF(AA20=1,AB20,"")</f>
        <v/>
      </c>
      <c r="AD20" s="32">
        <f>IF(D20="","",IF(LEN(D20)=10,"+1"&amp;D20,IF(AND(LEN(D20)=11,LEFT(D20,1)="1"),"+"&amp;D20,IF(LEFT(C20,1)="+","+"&amp;D20,D20))))</f>
        <v/>
      </c>
      <c r="AE20" s="32">
        <f>IF(B20="","",PROPER(IFERROR(LEFT(B20,FIND(" ",B20)-1),B20)))</f>
        <v/>
      </c>
      <c r="AF20" s="32">
        <f>SUBSTITUTE(SUBSTITUTE(SUBSTITUTE(SUBSTITUTE(SUBSTITUTE(SUBSTITUTE(SUBSTITUTE(SUBSTITUTE(SUBSTITUTE(SUBSTITUTE(AE20,"%","%25"),"&amp;","%26"),"#","%23"),"+","%2B"),"=","%3D"),"?","%3F"),CHAR(34),"%22"),CHAR(10),"%0A"),CHAR(13),"")," ","+")</f>
        <v/>
      </c>
      <c r="AG20" s="32">
        <f>IF(OR(AD20="",AE20=""),"",'Start Here'!$B$20&amp;"#p="&amp;SUBSTITUTE(AD20,"+","%2B")&amp;"&amp;n="&amp;AF20&amp;"&amp;m="&amp;SUBSTITUTE('Start Here'!$B$24,"{name}",AF20))</f>
        <v/>
      </c>
      <c r="AH20" s="32">
        <f>N(AH19)+W20</f>
        <v/>
      </c>
      <c r="AI20" s="32">
        <f>IF(W20=1,AH20,"")</f>
        <v/>
      </c>
    </row>
    <row r="21">
      <c r="A21" s="32">
        <f>IF(INDEX('Form Responses'!$A:$A,ROW())="","",INDEX('Form Responses'!$A:$A,ROW()))</f>
        <v/>
      </c>
      <c r="B21" s="32">
        <f>TRIM(INDEX('Form Responses'!$B:$B,ROW())&amp;"")</f>
        <v/>
      </c>
      <c r="C21" s="32">
        <f>IF(B21="","",TRIM(INDEX('Form Responses'!$C:$C,ROW())&amp;""))</f>
        <v/>
      </c>
      <c r="D21" s="32">
        <f>SUBSTITUTE(SUBSTITUTE(SUBSTITUTE(SUBSTITUTE(SUBSTITUTE(SUBSTITUTE(SUBSTITUTE(SUBSTITUTE(C21," ",""),"-",""),"(",""),")",""),".",""),"+",""),"/",""),CHAR(160),"")</f>
        <v/>
      </c>
      <c r="E21" s="32">
        <f>IF(LEN(D21)&gt;=10,RIGHT(D21,10),D21)</f>
        <v/>
      </c>
      <c r="F21" s="32">
        <f>IF(B21="","",TRIM(INDEX('Form Responses'!$D:$D,ROW())&amp;""))</f>
        <v/>
      </c>
      <c r="G21" s="32">
        <f>IF(B21="","",IF(LEFT(TRIM(INDEX('Form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" s="32">
        <f>IF(B21="","",MAX(0,IFERROR(INT(--(INDEX('Form Responses'!$F:$F,ROW())&amp;"")),1)))</f>
        <v/>
      </c>
      <c r="I21" s="32">
        <f>IF(B21="","",MAX(0,IFERROR(INT(--(INDEX('Form Responses'!$G:$G,ROW())&amp;"")),0)))</f>
        <v/>
      </c>
      <c r="J21" s="32">
        <f>IF(B21="","",TRIM(INDEX('Form Responses'!$H:$H,ROW())&amp;""))</f>
        <v/>
      </c>
      <c r="K21" s="32">
        <f>IF(B21="","",TRIM(INDEX('Form Responses'!$I:$I,ROW())&amp;""))</f>
        <v/>
      </c>
      <c r="L21" s="32">
        <f>IF(B21="","",TRIM(INDEX('Form Responses'!$J:$J,ROW())&amp;""))</f>
        <v/>
      </c>
      <c r="M21" s="32">
        <f>IF(B21="","",TRIM(INDEX('Form Responses'!$K:$K,ROW())&amp;""))</f>
        <v/>
      </c>
      <c r="N21" s="32">
        <f>IF(B21="","",IF(E21&lt;&gt;"","P"&amp;E21,"N"&amp;B21))</f>
        <v/>
      </c>
      <c r="O21" s="32">
        <f>IF(N21="",0,IF(COUNTIF(N22:N$602,N21)=0,1,0))</f>
        <v/>
      </c>
      <c r="P21" s="32">
        <f>IF(AND(O21=1,E21&lt;&gt;""),E21,"")</f>
        <v/>
      </c>
      <c r="Q21" s="32">
        <f>IF(O21=1,B21,"")</f>
        <v/>
      </c>
      <c r="R21" s="32">
        <f>IF(O21&lt;&gt;1,"",IF(E21&lt;&gt;"",IFERROR(MATCH(E21,Guests!$S$6:$S$505,0)+5,IFERROR(MATCH(B21,Guests!$A$6:$A$505,0)+5,"")),IFERROR(MATCH(B21,Guests!$A$6:$A$505,0)+5,"")))</f>
        <v/>
      </c>
      <c r="S21" s="32">
        <f>IF(R21="","",TRIM(INDEX(Guests!$E$1:$E$505,R21)&amp;""))</f>
        <v/>
      </c>
      <c r="T21" s="32">
        <f>IF(R21="","",IF(S21="",1,COUNTIF(Guests!$E$6:$E$505,S21)))</f>
        <v/>
      </c>
      <c r="U21" s="32">
        <f>IF(R21="","",IF(S21="",1,IF(COUNTIF(S$1:S20,S21)=0,1,0)))</f>
        <v/>
      </c>
      <c r="V21" s="32">
        <f>IF(AND(R21&lt;&gt;"",G21="Attending",U21=1),MAX(0,H21+I21-T21),0)</f>
        <v/>
      </c>
      <c r="W21" s="32">
        <f>IF(AND(O21=1,R21=""),1,0)</f>
        <v/>
      </c>
      <c r="X21" s="32">
        <f>IF(B21="",0,H21+I21)</f>
        <v/>
      </c>
      <c r="Y21" s="32">
        <f>N(Y20)+O21</f>
        <v/>
      </c>
      <c r="Z21" s="32">
        <f>IF(O21=1,Y21,"")</f>
        <v/>
      </c>
      <c r="AA21" s="32">
        <f>IF(AND(W21=1,G21="Not sure yet"),1,0)</f>
        <v/>
      </c>
      <c r="AB21" s="32">
        <f>N(AB20)+AA21</f>
        <v/>
      </c>
      <c r="AC21" s="32">
        <f>IF(AA21=1,AB21,"")</f>
        <v/>
      </c>
      <c r="AD21" s="32">
        <f>IF(D21="","",IF(LEN(D21)=10,"+1"&amp;D21,IF(AND(LEN(D21)=11,LEFT(D21,1)="1"),"+"&amp;D21,IF(LEFT(C21,1)="+","+"&amp;D21,D21))))</f>
        <v/>
      </c>
      <c r="AE21" s="32">
        <f>IF(B21="","",PROPER(IFERROR(LEFT(B21,FIND(" ",B21)-1),B21)))</f>
        <v/>
      </c>
      <c r="AF21" s="32">
        <f>SUBSTITUTE(SUBSTITUTE(SUBSTITUTE(SUBSTITUTE(SUBSTITUTE(SUBSTITUTE(SUBSTITUTE(SUBSTITUTE(SUBSTITUTE(SUBSTITUTE(AE21,"%","%25"),"&amp;","%26"),"#","%23"),"+","%2B"),"=","%3D"),"?","%3F"),CHAR(34),"%22"),CHAR(10),"%0A"),CHAR(13),"")," ","+")</f>
        <v/>
      </c>
      <c r="AG21" s="32">
        <f>IF(OR(AD21="",AE21=""),"",'Start Here'!$B$20&amp;"#p="&amp;SUBSTITUTE(AD21,"+","%2B")&amp;"&amp;n="&amp;AF21&amp;"&amp;m="&amp;SUBSTITUTE('Start Here'!$B$24,"{name}",AF21))</f>
        <v/>
      </c>
      <c r="AH21" s="32">
        <f>N(AH20)+W21</f>
        <v/>
      </c>
      <c r="AI21" s="32">
        <f>IF(W21=1,AH21,"")</f>
        <v/>
      </c>
    </row>
    <row r="22">
      <c r="A22" s="32">
        <f>IF(INDEX('Form Responses'!$A:$A,ROW())="","",INDEX('Form Responses'!$A:$A,ROW()))</f>
        <v/>
      </c>
      <c r="B22" s="32">
        <f>TRIM(INDEX('Form Responses'!$B:$B,ROW())&amp;"")</f>
        <v/>
      </c>
      <c r="C22" s="32">
        <f>IF(B22="","",TRIM(INDEX('Form Responses'!$C:$C,ROW())&amp;""))</f>
        <v/>
      </c>
      <c r="D22" s="32">
        <f>SUBSTITUTE(SUBSTITUTE(SUBSTITUTE(SUBSTITUTE(SUBSTITUTE(SUBSTITUTE(SUBSTITUTE(SUBSTITUTE(C22," ",""),"-",""),"(",""),")",""),".",""),"+",""),"/",""),CHAR(160),"")</f>
        <v/>
      </c>
      <c r="E22" s="32">
        <f>IF(LEN(D22)&gt;=10,RIGHT(D22,10),D22)</f>
        <v/>
      </c>
      <c r="F22" s="32">
        <f>IF(B22="","",TRIM(INDEX('Form Responses'!$D:$D,ROW())&amp;""))</f>
        <v/>
      </c>
      <c r="G22" s="32">
        <f>IF(B22="","",IF(LEFT(TRIM(INDEX('Form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" s="32">
        <f>IF(B22="","",MAX(0,IFERROR(INT(--(INDEX('Form Responses'!$F:$F,ROW())&amp;"")),1)))</f>
        <v/>
      </c>
      <c r="I22" s="32">
        <f>IF(B22="","",MAX(0,IFERROR(INT(--(INDEX('Form Responses'!$G:$G,ROW())&amp;"")),0)))</f>
        <v/>
      </c>
      <c r="J22" s="32">
        <f>IF(B22="","",TRIM(INDEX('Form Responses'!$H:$H,ROW())&amp;""))</f>
        <v/>
      </c>
      <c r="K22" s="32">
        <f>IF(B22="","",TRIM(INDEX('Form Responses'!$I:$I,ROW())&amp;""))</f>
        <v/>
      </c>
      <c r="L22" s="32">
        <f>IF(B22="","",TRIM(INDEX('Form Responses'!$J:$J,ROW())&amp;""))</f>
        <v/>
      </c>
      <c r="M22" s="32">
        <f>IF(B22="","",TRIM(INDEX('Form Responses'!$K:$K,ROW())&amp;""))</f>
        <v/>
      </c>
      <c r="N22" s="32">
        <f>IF(B22="","",IF(E22&lt;&gt;"","P"&amp;E22,"N"&amp;B22))</f>
        <v/>
      </c>
      <c r="O22" s="32">
        <f>IF(N22="",0,IF(COUNTIF(N23:N$602,N22)=0,1,0))</f>
        <v/>
      </c>
      <c r="P22" s="32">
        <f>IF(AND(O22=1,E22&lt;&gt;""),E22,"")</f>
        <v/>
      </c>
      <c r="Q22" s="32">
        <f>IF(O22=1,B22,"")</f>
        <v/>
      </c>
      <c r="R22" s="32">
        <f>IF(O22&lt;&gt;1,"",IF(E22&lt;&gt;"",IFERROR(MATCH(E22,Guests!$S$6:$S$505,0)+5,IFERROR(MATCH(B22,Guests!$A$6:$A$505,0)+5,"")),IFERROR(MATCH(B22,Guests!$A$6:$A$505,0)+5,"")))</f>
        <v/>
      </c>
      <c r="S22" s="32">
        <f>IF(R22="","",TRIM(INDEX(Guests!$E$1:$E$505,R22)&amp;""))</f>
        <v/>
      </c>
      <c r="T22" s="32">
        <f>IF(R22="","",IF(S22="",1,COUNTIF(Guests!$E$6:$E$505,S22)))</f>
        <v/>
      </c>
      <c r="U22" s="32">
        <f>IF(R22="","",IF(S22="",1,IF(COUNTIF(S$1:S21,S22)=0,1,0)))</f>
        <v/>
      </c>
      <c r="V22" s="32">
        <f>IF(AND(R22&lt;&gt;"",G22="Attending",U22=1),MAX(0,H22+I22-T22),0)</f>
        <v/>
      </c>
      <c r="W22" s="32">
        <f>IF(AND(O22=1,R22=""),1,0)</f>
        <v/>
      </c>
      <c r="X22" s="32">
        <f>IF(B22="",0,H22+I22)</f>
        <v/>
      </c>
      <c r="Y22" s="32">
        <f>N(Y21)+O22</f>
        <v/>
      </c>
      <c r="Z22" s="32">
        <f>IF(O22=1,Y22,"")</f>
        <v/>
      </c>
      <c r="AA22" s="32">
        <f>IF(AND(W22=1,G22="Not sure yet"),1,0)</f>
        <v/>
      </c>
      <c r="AB22" s="32">
        <f>N(AB21)+AA22</f>
        <v/>
      </c>
      <c r="AC22" s="32">
        <f>IF(AA22=1,AB22,"")</f>
        <v/>
      </c>
      <c r="AD22" s="32">
        <f>IF(D22="","",IF(LEN(D22)=10,"+1"&amp;D22,IF(AND(LEN(D22)=11,LEFT(D22,1)="1"),"+"&amp;D22,IF(LEFT(C22,1)="+","+"&amp;D22,D22))))</f>
        <v/>
      </c>
      <c r="AE22" s="32">
        <f>IF(B22="","",PROPER(IFERROR(LEFT(B22,FIND(" ",B22)-1),B22)))</f>
        <v/>
      </c>
      <c r="AF22" s="32">
        <f>SUBSTITUTE(SUBSTITUTE(SUBSTITUTE(SUBSTITUTE(SUBSTITUTE(SUBSTITUTE(SUBSTITUTE(SUBSTITUTE(SUBSTITUTE(SUBSTITUTE(AE22,"%","%25"),"&amp;","%26"),"#","%23"),"+","%2B"),"=","%3D"),"?","%3F"),CHAR(34),"%22"),CHAR(10),"%0A"),CHAR(13),"")," ","+")</f>
        <v/>
      </c>
      <c r="AG22" s="32">
        <f>IF(OR(AD22="",AE22=""),"",'Start Here'!$B$20&amp;"#p="&amp;SUBSTITUTE(AD22,"+","%2B")&amp;"&amp;n="&amp;AF22&amp;"&amp;m="&amp;SUBSTITUTE('Start Here'!$B$24,"{name}",AF22))</f>
        <v/>
      </c>
      <c r="AH22" s="32">
        <f>N(AH21)+W22</f>
        <v/>
      </c>
      <c r="AI22" s="32">
        <f>IF(W22=1,AH22,"")</f>
        <v/>
      </c>
    </row>
    <row r="23">
      <c r="A23" s="32">
        <f>IF(INDEX('Form Responses'!$A:$A,ROW())="","",INDEX('Form Responses'!$A:$A,ROW()))</f>
        <v/>
      </c>
      <c r="B23" s="32">
        <f>TRIM(INDEX('Form Responses'!$B:$B,ROW())&amp;"")</f>
        <v/>
      </c>
      <c r="C23" s="32">
        <f>IF(B23="","",TRIM(INDEX('Form Responses'!$C:$C,ROW())&amp;""))</f>
        <v/>
      </c>
      <c r="D23" s="32">
        <f>SUBSTITUTE(SUBSTITUTE(SUBSTITUTE(SUBSTITUTE(SUBSTITUTE(SUBSTITUTE(SUBSTITUTE(SUBSTITUTE(C23," ",""),"-",""),"(",""),")",""),".",""),"+",""),"/",""),CHAR(160),"")</f>
        <v/>
      </c>
      <c r="E23" s="32">
        <f>IF(LEN(D23)&gt;=10,RIGHT(D23,10),D23)</f>
        <v/>
      </c>
      <c r="F23" s="32">
        <f>IF(B23="","",TRIM(INDEX('Form Responses'!$D:$D,ROW())&amp;""))</f>
        <v/>
      </c>
      <c r="G23" s="32">
        <f>IF(B23="","",IF(LEFT(TRIM(INDEX('Form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" s="32">
        <f>IF(B23="","",MAX(0,IFERROR(INT(--(INDEX('Form Responses'!$F:$F,ROW())&amp;"")),1)))</f>
        <v/>
      </c>
      <c r="I23" s="32">
        <f>IF(B23="","",MAX(0,IFERROR(INT(--(INDEX('Form Responses'!$G:$G,ROW())&amp;"")),0)))</f>
        <v/>
      </c>
      <c r="J23" s="32">
        <f>IF(B23="","",TRIM(INDEX('Form Responses'!$H:$H,ROW())&amp;""))</f>
        <v/>
      </c>
      <c r="K23" s="32">
        <f>IF(B23="","",TRIM(INDEX('Form Responses'!$I:$I,ROW())&amp;""))</f>
        <v/>
      </c>
      <c r="L23" s="32">
        <f>IF(B23="","",TRIM(INDEX('Form Responses'!$J:$J,ROW())&amp;""))</f>
        <v/>
      </c>
      <c r="M23" s="32">
        <f>IF(B23="","",TRIM(INDEX('Form Responses'!$K:$K,ROW())&amp;""))</f>
        <v/>
      </c>
      <c r="N23" s="32">
        <f>IF(B23="","",IF(E23&lt;&gt;"","P"&amp;E23,"N"&amp;B23))</f>
        <v/>
      </c>
      <c r="O23" s="32">
        <f>IF(N23="",0,IF(COUNTIF(N24:N$602,N23)=0,1,0))</f>
        <v/>
      </c>
      <c r="P23" s="32">
        <f>IF(AND(O23=1,E23&lt;&gt;""),E23,"")</f>
        <v/>
      </c>
      <c r="Q23" s="32">
        <f>IF(O23=1,B23,"")</f>
        <v/>
      </c>
      <c r="R23" s="32">
        <f>IF(O23&lt;&gt;1,"",IF(E23&lt;&gt;"",IFERROR(MATCH(E23,Guests!$S$6:$S$505,0)+5,IFERROR(MATCH(B23,Guests!$A$6:$A$505,0)+5,"")),IFERROR(MATCH(B23,Guests!$A$6:$A$505,0)+5,"")))</f>
        <v/>
      </c>
      <c r="S23" s="32">
        <f>IF(R23="","",TRIM(INDEX(Guests!$E$1:$E$505,R23)&amp;""))</f>
        <v/>
      </c>
      <c r="T23" s="32">
        <f>IF(R23="","",IF(S23="",1,COUNTIF(Guests!$E$6:$E$505,S23)))</f>
        <v/>
      </c>
      <c r="U23" s="32">
        <f>IF(R23="","",IF(S23="",1,IF(COUNTIF(S$1:S22,S23)=0,1,0)))</f>
        <v/>
      </c>
      <c r="V23" s="32">
        <f>IF(AND(R23&lt;&gt;"",G23="Attending",U23=1),MAX(0,H23+I23-T23),0)</f>
        <v/>
      </c>
      <c r="W23" s="32">
        <f>IF(AND(O23=1,R23=""),1,0)</f>
        <v/>
      </c>
      <c r="X23" s="32">
        <f>IF(B23="",0,H23+I23)</f>
        <v/>
      </c>
      <c r="Y23" s="32">
        <f>N(Y22)+O23</f>
        <v/>
      </c>
      <c r="Z23" s="32">
        <f>IF(O23=1,Y23,"")</f>
        <v/>
      </c>
      <c r="AA23" s="32">
        <f>IF(AND(W23=1,G23="Not sure yet"),1,0)</f>
        <v/>
      </c>
      <c r="AB23" s="32">
        <f>N(AB22)+AA23</f>
        <v/>
      </c>
      <c r="AC23" s="32">
        <f>IF(AA23=1,AB23,"")</f>
        <v/>
      </c>
      <c r="AD23" s="32">
        <f>IF(D23="","",IF(LEN(D23)=10,"+1"&amp;D23,IF(AND(LEN(D23)=11,LEFT(D23,1)="1"),"+"&amp;D23,IF(LEFT(C23,1)="+","+"&amp;D23,D23))))</f>
        <v/>
      </c>
      <c r="AE23" s="32">
        <f>IF(B23="","",PROPER(IFERROR(LEFT(B23,FIND(" ",B23)-1),B23)))</f>
        <v/>
      </c>
      <c r="AF23" s="32">
        <f>SUBSTITUTE(SUBSTITUTE(SUBSTITUTE(SUBSTITUTE(SUBSTITUTE(SUBSTITUTE(SUBSTITUTE(SUBSTITUTE(SUBSTITUTE(SUBSTITUTE(AE23,"%","%25"),"&amp;","%26"),"#","%23"),"+","%2B"),"=","%3D"),"?","%3F"),CHAR(34),"%22"),CHAR(10),"%0A"),CHAR(13),"")," ","+")</f>
        <v/>
      </c>
      <c r="AG23" s="32">
        <f>IF(OR(AD23="",AE23=""),"",'Start Here'!$B$20&amp;"#p="&amp;SUBSTITUTE(AD23,"+","%2B")&amp;"&amp;n="&amp;AF23&amp;"&amp;m="&amp;SUBSTITUTE('Start Here'!$B$24,"{name}",AF23))</f>
        <v/>
      </c>
      <c r="AH23" s="32">
        <f>N(AH22)+W23</f>
        <v/>
      </c>
      <c r="AI23" s="32">
        <f>IF(W23=1,AH23,"")</f>
        <v/>
      </c>
    </row>
    <row r="24">
      <c r="A24" s="32">
        <f>IF(INDEX('Form Responses'!$A:$A,ROW())="","",INDEX('Form Responses'!$A:$A,ROW()))</f>
        <v/>
      </c>
      <c r="B24" s="32">
        <f>TRIM(INDEX('Form Responses'!$B:$B,ROW())&amp;"")</f>
        <v/>
      </c>
      <c r="C24" s="32">
        <f>IF(B24="","",TRIM(INDEX('Form Responses'!$C:$C,ROW())&amp;""))</f>
        <v/>
      </c>
      <c r="D24" s="32">
        <f>SUBSTITUTE(SUBSTITUTE(SUBSTITUTE(SUBSTITUTE(SUBSTITUTE(SUBSTITUTE(SUBSTITUTE(SUBSTITUTE(C24," ",""),"-",""),"(",""),")",""),".",""),"+",""),"/",""),CHAR(160),"")</f>
        <v/>
      </c>
      <c r="E24" s="32">
        <f>IF(LEN(D24)&gt;=10,RIGHT(D24,10),D24)</f>
        <v/>
      </c>
      <c r="F24" s="32">
        <f>IF(B24="","",TRIM(INDEX('Form Responses'!$D:$D,ROW())&amp;""))</f>
        <v/>
      </c>
      <c r="G24" s="32">
        <f>IF(B24="","",IF(LEFT(TRIM(INDEX('Form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" s="32">
        <f>IF(B24="","",MAX(0,IFERROR(INT(--(INDEX('Form Responses'!$F:$F,ROW())&amp;"")),1)))</f>
        <v/>
      </c>
      <c r="I24" s="32">
        <f>IF(B24="","",MAX(0,IFERROR(INT(--(INDEX('Form Responses'!$G:$G,ROW())&amp;"")),0)))</f>
        <v/>
      </c>
      <c r="J24" s="32">
        <f>IF(B24="","",TRIM(INDEX('Form Responses'!$H:$H,ROW())&amp;""))</f>
        <v/>
      </c>
      <c r="K24" s="32">
        <f>IF(B24="","",TRIM(INDEX('Form Responses'!$I:$I,ROW())&amp;""))</f>
        <v/>
      </c>
      <c r="L24" s="32">
        <f>IF(B24="","",TRIM(INDEX('Form Responses'!$J:$J,ROW())&amp;""))</f>
        <v/>
      </c>
      <c r="M24" s="32">
        <f>IF(B24="","",TRIM(INDEX('Form Responses'!$K:$K,ROW())&amp;""))</f>
        <v/>
      </c>
      <c r="N24" s="32">
        <f>IF(B24="","",IF(E24&lt;&gt;"","P"&amp;E24,"N"&amp;B24))</f>
        <v/>
      </c>
      <c r="O24" s="32">
        <f>IF(N24="",0,IF(COUNTIF(N25:N$602,N24)=0,1,0))</f>
        <v/>
      </c>
      <c r="P24" s="32">
        <f>IF(AND(O24=1,E24&lt;&gt;""),E24,"")</f>
        <v/>
      </c>
      <c r="Q24" s="32">
        <f>IF(O24=1,B24,"")</f>
        <v/>
      </c>
      <c r="R24" s="32">
        <f>IF(O24&lt;&gt;1,"",IF(E24&lt;&gt;"",IFERROR(MATCH(E24,Guests!$S$6:$S$505,0)+5,IFERROR(MATCH(B24,Guests!$A$6:$A$505,0)+5,"")),IFERROR(MATCH(B24,Guests!$A$6:$A$505,0)+5,"")))</f>
        <v/>
      </c>
      <c r="S24" s="32">
        <f>IF(R24="","",TRIM(INDEX(Guests!$E$1:$E$505,R24)&amp;""))</f>
        <v/>
      </c>
      <c r="T24" s="32">
        <f>IF(R24="","",IF(S24="",1,COUNTIF(Guests!$E$6:$E$505,S24)))</f>
        <v/>
      </c>
      <c r="U24" s="32">
        <f>IF(R24="","",IF(S24="",1,IF(COUNTIF(S$1:S23,S24)=0,1,0)))</f>
        <v/>
      </c>
      <c r="V24" s="32">
        <f>IF(AND(R24&lt;&gt;"",G24="Attending",U24=1),MAX(0,H24+I24-T24),0)</f>
        <v/>
      </c>
      <c r="W24" s="32">
        <f>IF(AND(O24=1,R24=""),1,0)</f>
        <v/>
      </c>
      <c r="X24" s="32">
        <f>IF(B24="",0,H24+I24)</f>
        <v/>
      </c>
      <c r="Y24" s="32">
        <f>N(Y23)+O24</f>
        <v/>
      </c>
      <c r="Z24" s="32">
        <f>IF(O24=1,Y24,"")</f>
        <v/>
      </c>
      <c r="AA24" s="32">
        <f>IF(AND(W24=1,G24="Not sure yet"),1,0)</f>
        <v/>
      </c>
      <c r="AB24" s="32">
        <f>N(AB23)+AA24</f>
        <v/>
      </c>
      <c r="AC24" s="32">
        <f>IF(AA24=1,AB24,"")</f>
        <v/>
      </c>
      <c r="AD24" s="32">
        <f>IF(D24="","",IF(LEN(D24)=10,"+1"&amp;D24,IF(AND(LEN(D24)=11,LEFT(D24,1)="1"),"+"&amp;D24,IF(LEFT(C24,1)="+","+"&amp;D24,D24))))</f>
        <v/>
      </c>
      <c r="AE24" s="32">
        <f>IF(B24="","",PROPER(IFERROR(LEFT(B24,FIND(" ",B24)-1),B24)))</f>
        <v/>
      </c>
      <c r="AF24" s="32">
        <f>SUBSTITUTE(SUBSTITUTE(SUBSTITUTE(SUBSTITUTE(SUBSTITUTE(SUBSTITUTE(SUBSTITUTE(SUBSTITUTE(SUBSTITUTE(SUBSTITUTE(AE24,"%","%25"),"&amp;","%26"),"#","%23"),"+","%2B"),"=","%3D"),"?","%3F"),CHAR(34),"%22"),CHAR(10),"%0A"),CHAR(13),"")," ","+")</f>
        <v/>
      </c>
      <c r="AG24" s="32">
        <f>IF(OR(AD24="",AE24=""),"",'Start Here'!$B$20&amp;"#p="&amp;SUBSTITUTE(AD24,"+","%2B")&amp;"&amp;n="&amp;AF24&amp;"&amp;m="&amp;SUBSTITUTE('Start Here'!$B$24,"{name}",AF24))</f>
        <v/>
      </c>
      <c r="AH24" s="32">
        <f>N(AH23)+W24</f>
        <v/>
      </c>
      <c r="AI24" s="32">
        <f>IF(W24=1,AH24,"")</f>
        <v/>
      </c>
    </row>
    <row r="25">
      <c r="A25" s="32">
        <f>IF(INDEX('Form Responses'!$A:$A,ROW())="","",INDEX('Form Responses'!$A:$A,ROW()))</f>
        <v/>
      </c>
      <c r="B25" s="32">
        <f>TRIM(INDEX('Form Responses'!$B:$B,ROW())&amp;"")</f>
        <v/>
      </c>
      <c r="C25" s="32">
        <f>IF(B25="","",TRIM(INDEX('Form Responses'!$C:$C,ROW())&amp;""))</f>
        <v/>
      </c>
      <c r="D25" s="32">
        <f>SUBSTITUTE(SUBSTITUTE(SUBSTITUTE(SUBSTITUTE(SUBSTITUTE(SUBSTITUTE(SUBSTITUTE(SUBSTITUTE(C25," ",""),"-",""),"(",""),")",""),".",""),"+",""),"/",""),CHAR(160),"")</f>
        <v/>
      </c>
      <c r="E25" s="32">
        <f>IF(LEN(D25)&gt;=10,RIGHT(D25,10),D25)</f>
        <v/>
      </c>
      <c r="F25" s="32">
        <f>IF(B25="","",TRIM(INDEX('Form Responses'!$D:$D,ROW())&amp;""))</f>
        <v/>
      </c>
      <c r="G25" s="32">
        <f>IF(B25="","",IF(LEFT(TRIM(INDEX('Form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" s="32">
        <f>IF(B25="","",MAX(0,IFERROR(INT(--(INDEX('Form Responses'!$F:$F,ROW())&amp;"")),1)))</f>
        <v/>
      </c>
      <c r="I25" s="32">
        <f>IF(B25="","",MAX(0,IFERROR(INT(--(INDEX('Form Responses'!$G:$G,ROW())&amp;"")),0)))</f>
        <v/>
      </c>
      <c r="J25" s="32">
        <f>IF(B25="","",TRIM(INDEX('Form Responses'!$H:$H,ROW())&amp;""))</f>
        <v/>
      </c>
      <c r="K25" s="32">
        <f>IF(B25="","",TRIM(INDEX('Form Responses'!$I:$I,ROW())&amp;""))</f>
        <v/>
      </c>
      <c r="L25" s="32">
        <f>IF(B25="","",TRIM(INDEX('Form Responses'!$J:$J,ROW())&amp;""))</f>
        <v/>
      </c>
      <c r="M25" s="32">
        <f>IF(B25="","",TRIM(INDEX('Form Responses'!$K:$K,ROW())&amp;""))</f>
        <v/>
      </c>
      <c r="N25" s="32">
        <f>IF(B25="","",IF(E25&lt;&gt;"","P"&amp;E25,"N"&amp;B25))</f>
        <v/>
      </c>
      <c r="O25" s="32">
        <f>IF(N25="",0,IF(COUNTIF(N26:N$602,N25)=0,1,0))</f>
        <v/>
      </c>
      <c r="P25" s="32">
        <f>IF(AND(O25=1,E25&lt;&gt;""),E25,"")</f>
        <v/>
      </c>
      <c r="Q25" s="32">
        <f>IF(O25=1,B25,"")</f>
        <v/>
      </c>
      <c r="R25" s="32">
        <f>IF(O25&lt;&gt;1,"",IF(E25&lt;&gt;"",IFERROR(MATCH(E25,Guests!$S$6:$S$505,0)+5,IFERROR(MATCH(B25,Guests!$A$6:$A$505,0)+5,"")),IFERROR(MATCH(B25,Guests!$A$6:$A$505,0)+5,"")))</f>
        <v/>
      </c>
      <c r="S25" s="32">
        <f>IF(R25="","",TRIM(INDEX(Guests!$E$1:$E$505,R25)&amp;""))</f>
        <v/>
      </c>
      <c r="T25" s="32">
        <f>IF(R25="","",IF(S25="",1,COUNTIF(Guests!$E$6:$E$505,S25)))</f>
        <v/>
      </c>
      <c r="U25" s="32">
        <f>IF(R25="","",IF(S25="",1,IF(COUNTIF(S$1:S24,S25)=0,1,0)))</f>
        <v/>
      </c>
      <c r="V25" s="32">
        <f>IF(AND(R25&lt;&gt;"",G25="Attending",U25=1),MAX(0,H25+I25-T25),0)</f>
        <v/>
      </c>
      <c r="W25" s="32">
        <f>IF(AND(O25=1,R25=""),1,0)</f>
        <v/>
      </c>
      <c r="X25" s="32">
        <f>IF(B25="",0,H25+I25)</f>
        <v/>
      </c>
      <c r="Y25" s="32">
        <f>N(Y24)+O25</f>
        <v/>
      </c>
      <c r="Z25" s="32">
        <f>IF(O25=1,Y25,"")</f>
        <v/>
      </c>
      <c r="AA25" s="32">
        <f>IF(AND(W25=1,G25="Not sure yet"),1,0)</f>
        <v/>
      </c>
      <c r="AB25" s="32">
        <f>N(AB24)+AA25</f>
        <v/>
      </c>
      <c r="AC25" s="32">
        <f>IF(AA25=1,AB25,"")</f>
        <v/>
      </c>
      <c r="AD25" s="32">
        <f>IF(D25="","",IF(LEN(D25)=10,"+1"&amp;D25,IF(AND(LEN(D25)=11,LEFT(D25,1)="1"),"+"&amp;D25,IF(LEFT(C25,1)="+","+"&amp;D25,D25))))</f>
        <v/>
      </c>
      <c r="AE25" s="32">
        <f>IF(B25="","",PROPER(IFERROR(LEFT(B25,FIND(" ",B25)-1),B25)))</f>
        <v/>
      </c>
      <c r="AF25" s="32">
        <f>SUBSTITUTE(SUBSTITUTE(SUBSTITUTE(SUBSTITUTE(SUBSTITUTE(SUBSTITUTE(SUBSTITUTE(SUBSTITUTE(SUBSTITUTE(SUBSTITUTE(AE25,"%","%25"),"&amp;","%26"),"#","%23"),"+","%2B"),"=","%3D"),"?","%3F"),CHAR(34),"%22"),CHAR(10),"%0A"),CHAR(13),"")," ","+")</f>
        <v/>
      </c>
      <c r="AG25" s="32">
        <f>IF(OR(AD25="",AE25=""),"",'Start Here'!$B$20&amp;"#p="&amp;SUBSTITUTE(AD25,"+","%2B")&amp;"&amp;n="&amp;AF25&amp;"&amp;m="&amp;SUBSTITUTE('Start Here'!$B$24,"{name}",AF25))</f>
        <v/>
      </c>
      <c r="AH25" s="32">
        <f>N(AH24)+W25</f>
        <v/>
      </c>
      <c r="AI25" s="32">
        <f>IF(W25=1,AH25,"")</f>
        <v/>
      </c>
    </row>
    <row r="26">
      <c r="A26" s="32">
        <f>IF(INDEX('Form Responses'!$A:$A,ROW())="","",INDEX('Form Responses'!$A:$A,ROW()))</f>
        <v/>
      </c>
      <c r="B26" s="32">
        <f>TRIM(INDEX('Form Responses'!$B:$B,ROW())&amp;"")</f>
        <v/>
      </c>
      <c r="C26" s="32">
        <f>IF(B26="","",TRIM(INDEX('Form Responses'!$C:$C,ROW())&amp;""))</f>
        <v/>
      </c>
      <c r="D26" s="32">
        <f>SUBSTITUTE(SUBSTITUTE(SUBSTITUTE(SUBSTITUTE(SUBSTITUTE(SUBSTITUTE(SUBSTITUTE(SUBSTITUTE(C26," ",""),"-",""),"(",""),")",""),".",""),"+",""),"/",""),CHAR(160),"")</f>
        <v/>
      </c>
      <c r="E26" s="32">
        <f>IF(LEN(D26)&gt;=10,RIGHT(D26,10),D26)</f>
        <v/>
      </c>
      <c r="F26" s="32">
        <f>IF(B26="","",TRIM(INDEX('Form Responses'!$D:$D,ROW())&amp;""))</f>
        <v/>
      </c>
      <c r="G26" s="32">
        <f>IF(B26="","",IF(LEFT(TRIM(INDEX('Form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" s="32">
        <f>IF(B26="","",MAX(0,IFERROR(INT(--(INDEX('Form Responses'!$F:$F,ROW())&amp;"")),1)))</f>
        <v/>
      </c>
      <c r="I26" s="32">
        <f>IF(B26="","",MAX(0,IFERROR(INT(--(INDEX('Form Responses'!$G:$G,ROW())&amp;"")),0)))</f>
        <v/>
      </c>
      <c r="J26" s="32">
        <f>IF(B26="","",TRIM(INDEX('Form Responses'!$H:$H,ROW())&amp;""))</f>
        <v/>
      </c>
      <c r="K26" s="32">
        <f>IF(B26="","",TRIM(INDEX('Form Responses'!$I:$I,ROW())&amp;""))</f>
        <v/>
      </c>
      <c r="L26" s="32">
        <f>IF(B26="","",TRIM(INDEX('Form Responses'!$J:$J,ROW())&amp;""))</f>
        <v/>
      </c>
      <c r="M26" s="32">
        <f>IF(B26="","",TRIM(INDEX('Form Responses'!$K:$K,ROW())&amp;""))</f>
        <v/>
      </c>
      <c r="N26" s="32">
        <f>IF(B26="","",IF(E26&lt;&gt;"","P"&amp;E26,"N"&amp;B26))</f>
        <v/>
      </c>
      <c r="O26" s="32">
        <f>IF(N26="",0,IF(COUNTIF(N27:N$602,N26)=0,1,0))</f>
        <v/>
      </c>
      <c r="P26" s="32">
        <f>IF(AND(O26=1,E26&lt;&gt;""),E26,"")</f>
        <v/>
      </c>
      <c r="Q26" s="32">
        <f>IF(O26=1,B26,"")</f>
        <v/>
      </c>
      <c r="R26" s="32">
        <f>IF(O26&lt;&gt;1,"",IF(E26&lt;&gt;"",IFERROR(MATCH(E26,Guests!$S$6:$S$505,0)+5,IFERROR(MATCH(B26,Guests!$A$6:$A$505,0)+5,"")),IFERROR(MATCH(B26,Guests!$A$6:$A$505,0)+5,"")))</f>
        <v/>
      </c>
      <c r="S26" s="32">
        <f>IF(R26="","",TRIM(INDEX(Guests!$E$1:$E$505,R26)&amp;""))</f>
        <v/>
      </c>
      <c r="T26" s="32">
        <f>IF(R26="","",IF(S26="",1,COUNTIF(Guests!$E$6:$E$505,S26)))</f>
        <v/>
      </c>
      <c r="U26" s="32">
        <f>IF(R26="","",IF(S26="",1,IF(COUNTIF(S$1:S25,S26)=0,1,0)))</f>
        <v/>
      </c>
      <c r="V26" s="32">
        <f>IF(AND(R26&lt;&gt;"",G26="Attending",U26=1),MAX(0,H26+I26-T26),0)</f>
        <v/>
      </c>
      <c r="W26" s="32">
        <f>IF(AND(O26=1,R26=""),1,0)</f>
        <v/>
      </c>
      <c r="X26" s="32">
        <f>IF(B26="",0,H26+I26)</f>
        <v/>
      </c>
      <c r="Y26" s="32">
        <f>N(Y25)+O26</f>
        <v/>
      </c>
      <c r="Z26" s="32">
        <f>IF(O26=1,Y26,"")</f>
        <v/>
      </c>
      <c r="AA26" s="32">
        <f>IF(AND(W26=1,G26="Not sure yet"),1,0)</f>
        <v/>
      </c>
      <c r="AB26" s="32">
        <f>N(AB25)+AA26</f>
        <v/>
      </c>
      <c r="AC26" s="32">
        <f>IF(AA26=1,AB26,"")</f>
        <v/>
      </c>
      <c r="AD26" s="32">
        <f>IF(D26="","",IF(LEN(D26)=10,"+1"&amp;D26,IF(AND(LEN(D26)=11,LEFT(D26,1)="1"),"+"&amp;D26,IF(LEFT(C26,1)="+","+"&amp;D26,D26))))</f>
        <v/>
      </c>
      <c r="AE26" s="32">
        <f>IF(B26="","",PROPER(IFERROR(LEFT(B26,FIND(" ",B26)-1),B26)))</f>
        <v/>
      </c>
      <c r="AF26" s="32">
        <f>SUBSTITUTE(SUBSTITUTE(SUBSTITUTE(SUBSTITUTE(SUBSTITUTE(SUBSTITUTE(SUBSTITUTE(SUBSTITUTE(SUBSTITUTE(SUBSTITUTE(AE26,"%","%25"),"&amp;","%26"),"#","%23"),"+","%2B"),"=","%3D"),"?","%3F"),CHAR(34),"%22"),CHAR(10),"%0A"),CHAR(13),"")," ","+")</f>
        <v/>
      </c>
      <c r="AG26" s="32">
        <f>IF(OR(AD26="",AE26=""),"",'Start Here'!$B$20&amp;"#p="&amp;SUBSTITUTE(AD26,"+","%2B")&amp;"&amp;n="&amp;AF26&amp;"&amp;m="&amp;SUBSTITUTE('Start Here'!$B$24,"{name}",AF26))</f>
        <v/>
      </c>
      <c r="AH26" s="32">
        <f>N(AH25)+W26</f>
        <v/>
      </c>
      <c r="AI26" s="32">
        <f>IF(W26=1,AH26,"")</f>
        <v/>
      </c>
    </row>
    <row r="27">
      <c r="A27" s="32">
        <f>IF(INDEX('Form Responses'!$A:$A,ROW())="","",INDEX('Form Responses'!$A:$A,ROW()))</f>
        <v/>
      </c>
      <c r="B27" s="32">
        <f>TRIM(INDEX('Form Responses'!$B:$B,ROW())&amp;"")</f>
        <v/>
      </c>
      <c r="C27" s="32">
        <f>IF(B27="","",TRIM(INDEX('Form Responses'!$C:$C,ROW())&amp;""))</f>
        <v/>
      </c>
      <c r="D27" s="32">
        <f>SUBSTITUTE(SUBSTITUTE(SUBSTITUTE(SUBSTITUTE(SUBSTITUTE(SUBSTITUTE(SUBSTITUTE(SUBSTITUTE(C27," ",""),"-",""),"(",""),")",""),".",""),"+",""),"/",""),CHAR(160),"")</f>
        <v/>
      </c>
      <c r="E27" s="32">
        <f>IF(LEN(D27)&gt;=10,RIGHT(D27,10),D27)</f>
        <v/>
      </c>
      <c r="F27" s="32">
        <f>IF(B27="","",TRIM(INDEX('Form Responses'!$D:$D,ROW())&amp;""))</f>
        <v/>
      </c>
      <c r="G27" s="32">
        <f>IF(B27="","",IF(LEFT(TRIM(INDEX('Form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" s="32">
        <f>IF(B27="","",MAX(0,IFERROR(INT(--(INDEX('Form Responses'!$F:$F,ROW())&amp;"")),1)))</f>
        <v/>
      </c>
      <c r="I27" s="32">
        <f>IF(B27="","",MAX(0,IFERROR(INT(--(INDEX('Form Responses'!$G:$G,ROW())&amp;"")),0)))</f>
        <v/>
      </c>
      <c r="J27" s="32">
        <f>IF(B27="","",TRIM(INDEX('Form Responses'!$H:$H,ROW())&amp;""))</f>
        <v/>
      </c>
      <c r="K27" s="32">
        <f>IF(B27="","",TRIM(INDEX('Form Responses'!$I:$I,ROW())&amp;""))</f>
        <v/>
      </c>
      <c r="L27" s="32">
        <f>IF(B27="","",TRIM(INDEX('Form Responses'!$J:$J,ROW())&amp;""))</f>
        <v/>
      </c>
      <c r="M27" s="32">
        <f>IF(B27="","",TRIM(INDEX('Form Responses'!$K:$K,ROW())&amp;""))</f>
        <v/>
      </c>
      <c r="N27" s="32">
        <f>IF(B27="","",IF(E27&lt;&gt;"","P"&amp;E27,"N"&amp;B27))</f>
        <v/>
      </c>
      <c r="O27" s="32">
        <f>IF(N27="",0,IF(COUNTIF(N28:N$602,N27)=0,1,0))</f>
        <v/>
      </c>
      <c r="P27" s="32">
        <f>IF(AND(O27=1,E27&lt;&gt;""),E27,"")</f>
        <v/>
      </c>
      <c r="Q27" s="32">
        <f>IF(O27=1,B27,"")</f>
        <v/>
      </c>
      <c r="R27" s="32">
        <f>IF(O27&lt;&gt;1,"",IF(E27&lt;&gt;"",IFERROR(MATCH(E27,Guests!$S$6:$S$505,0)+5,IFERROR(MATCH(B27,Guests!$A$6:$A$505,0)+5,"")),IFERROR(MATCH(B27,Guests!$A$6:$A$505,0)+5,"")))</f>
        <v/>
      </c>
      <c r="S27" s="32">
        <f>IF(R27="","",TRIM(INDEX(Guests!$E$1:$E$505,R27)&amp;""))</f>
        <v/>
      </c>
      <c r="T27" s="32">
        <f>IF(R27="","",IF(S27="",1,COUNTIF(Guests!$E$6:$E$505,S27)))</f>
        <v/>
      </c>
      <c r="U27" s="32">
        <f>IF(R27="","",IF(S27="",1,IF(COUNTIF(S$1:S26,S27)=0,1,0)))</f>
        <v/>
      </c>
      <c r="V27" s="32">
        <f>IF(AND(R27&lt;&gt;"",G27="Attending",U27=1),MAX(0,H27+I27-T27),0)</f>
        <v/>
      </c>
      <c r="W27" s="32">
        <f>IF(AND(O27=1,R27=""),1,0)</f>
        <v/>
      </c>
      <c r="X27" s="32">
        <f>IF(B27="",0,H27+I27)</f>
        <v/>
      </c>
      <c r="Y27" s="32">
        <f>N(Y26)+O27</f>
        <v/>
      </c>
      <c r="Z27" s="32">
        <f>IF(O27=1,Y27,"")</f>
        <v/>
      </c>
      <c r="AA27" s="32">
        <f>IF(AND(W27=1,G27="Not sure yet"),1,0)</f>
        <v/>
      </c>
      <c r="AB27" s="32">
        <f>N(AB26)+AA27</f>
        <v/>
      </c>
      <c r="AC27" s="32">
        <f>IF(AA27=1,AB27,"")</f>
        <v/>
      </c>
      <c r="AD27" s="32">
        <f>IF(D27="","",IF(LEN(D27)=10,"+1"&amp;D27,IF(AND(LEN(D27)=11,LEFT(D27,1)="1"),"+"&amp;D27,IF(LEFT(C27,1)="+","+"&amp;D27,D27))))</f>
        <v/>
      </c>
      <c r="AE27" s="32">
        <f>IF(B27="","",PROPER(IFERROR(LEFT(B27,FIND(" ",B27)-1),B27)))</f>
        <v/>
      </c>
      <c r="AF27" s="32">
        <f>SUBSTITUTE(SUBSTITUTE(SUBSTITUTE(SUBSTITUTE(SUBSTITUTE(SUBSTITUTE(SUBSTITUTE(SUBSTITUTE(SUBSTITUTE(SUBSTITUTE(AE27,"%","%25"),"&amp;","%26"),"#","%23"),"+","%2B"),"=","%3D"),"?","%3F"),CHAR(34),"%22"),CHAR(10),"%0A"),CHAR(13),"")," ","+")</f>
        <v/>
      </c>
      <c r="AG27" s="32">
        <f>IF(OR(AD27="",AE27=""),"",'Start Here'!$B$20&amp;"#p="&amp;SUBSTITUTE(AD27,"+","%2B")&amp;"&amp;n="&amp;AF27&amp;"&amp;m="&amp;SUBSTITUTE('Start Here'!$B$24,"{name}",AF27))</f>
        <v/>
      </c>
      <c r="AH27" s="32">
        <f>N(AH26)+W27</f>
        <v/>
      </c>
      <c r="AI27" s="32">
        <f>IF(W27=1,AH27,"")</f>
        <v/>
      </c>
    </row>
    <row r="28">
      <c r="A28" s="32">
        <f>IF(INDEX('Form Responses'!$A:$A,ROW())="","",INDEX('Form Responses'!$A:$A,ROW()))</f>
        <v/>
      </c>
      <c r="B28" s="32">
        <f>TRIM(INDEX('Form Responses'!$B:$B,ROW())&amp;"")</f>
        <v/>
      </c>
      <c r="C28" s="32">
        <f>IF(B28="","",TRIM(INDEX('Form Responses'!$C:$C,ROW())&amp;""))</f>
        <v/>
      </c>
      <c r="D28" s="32">
        <f>SUBSTITUTE(SUBSTITUTE(SUBSTITUTE(SUBSTITUTE(SUBSTITUTE(SUBSTITUTE(SUBSTITUTE(SUBSTITUTE(C28," ",""),"-",""),"(",""),")",""),".",""),"+",""),"/",""),CHAR(160),"")</f>
        <v/>
      </c>
      <c r="E28" s="32">
        <f>IF(LEN(D28)&gt;=10,RIGHT(D28,10),D28)</f>
        <v/>
      </c>
      <c r="F28" s="32">
        <f>IF(B28="","",TRIM(INDEX('Form Responses'!$D:$D,ROW())&amp;""))</f>
        <v/>
      </c>
      <c r="G28" s="32">
        <f>IF(B28="","",IF(LEFT(TRIM(INDEX('Form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" s="32">
        <f>IF(B28="","",MAX(0,IFERROR(INT(--(INDEX('Form Responses'!$F:$F,ROW())&amp;"")),1)))</f>
        <v/>
      </c>
      <c r="I28" s="32">
        <f>IF(B28="","",MAX(0,IFERROR(INT(--(INDEX('Form Responses'!$G:$G,ROW())&amp;"")),0)))</f>
        <v/>
      </c>
      <c r="J28" s="32">
        <f>IF(B28="","",TRIM(INDEX('Form Responses'!$H:$H,ROW())&amp;""))</f>
        <v/>
      </c>
      <c r="K28" s="32">
        <f>IF(B28="","",TRIM(INDEX('Form Responses'!$I:$I,ROW())&amp;""))</f>
        <v/>
      </c>
      <c r="L28" s="32">
        <f>IF(B28="","",TRIM(INDEX('Form Responses'!$J:$J,ROW())&amp;""))</f>
        <v/>
      </c>
      <c r="M28" s="32">
        <f>IF(B28="","",TRIM(INDEX('Form Responses'!$K:$K,ROW())&amp;""))</f>
        <v/>
      </c>
      <c r="N28" s="32">
        <f>IF(B28="","",IF(E28&lt;&gt;"","P"&amp;E28,"N"&amp;B28))</f>
        <v/>
      </c>
      <c r="O28" s="32">
        <f>IF(N28="",0,IF(COUNTIF(N29:N$602,N28)=0,1,0))</f>
        <v/>
      </c>
      <c r="P28" s="32">
        <f>IF(AND(O28=1,E28&lt;&gt;""),E28,"")</f>
        <v/>
      </c>
      <c r="Q28" s="32">
        <f>IF(O28=1,B28,"")</f>
        <v/>
      </c>
      <c r="R28" s="32">
        <f>IF(O28&lt;&gt;1,"",IF(E28&lt;&gt;"",IFERROR(MATCH(E28,Guests!$S$6:$S$505,0)+5,IFERROR(MATCH(B28,Guests!$A$6:$A$505,0)+5,"")),IFERROR(MATCH(B28,Guests!$A$6:$A$505,0)+5,"")))</f>
        <v/>
      </c>
      <c r="S28" s="32">
        <f>IF(R28="","",TRIM(INDEX(Guests!$E$1:$E$505,R28)&amp;""))</f>
        <v/>
      </c>
      <c r="T28" s="32">
        <f>IF(R28="","",IF(S28="",1,COUNTIF(Guests!$E$6:$E$505,S28)))</f>
        <v/>
      </c>
      <c r="U28" s="32">
        <f>IF(R28="","",IF(S28="",1,IF(COUNTIF(S$1:S27,S28)=0,1,0)))</f>
        <v/>
      </c>
      <c r="V28" s="32">
        <f>IF(AND(R28&lt;&gt;"",G28="Attending",U28=1),MAX(0,H28+I28-T28),0)</f>
        <v/>
      </c>
      <c r="W28" s="32">
        <f>IF(AND(O28=1,R28=""),1,0)</f>
        <v/>
      </c>
      <c r="X28" s="32">
        <f>IF(B28="",0,H28+I28)</f>
        <v/>
      </c>
      <c r="Y28" s="32">
        <f>N(Y27)+O28</f>
        <v/>
      </c>
      <c r="Z28" s="32">
        <f>IF(O28=1,Y28,"")</f>
        <v/>
      </c>
      <c r="AA28" s="32">
        <f>IF(AND(W28=1,G28="Not sure yet"),1,0)</f>
        <v/>
      </c>
      <c r="AB28" s="32">
        <f>N(AB27)+AA28</f>
        <v/>
      </c>
      <c r="AC28" s="32">
        <f>IF(AA28=1,AB28,"")</f>
        <v/>
      </c>
      <c r="AD28" s="32">
        <f>IF(D28="","",IF(LEN(D28)=10,"+1"&amp;D28,IF(AND(LEN(D28)=11,LEFT(D28,1)="1"),"+"&amp;D28,IF(LEFT(C28,1)="+","+"&amp;D28,D28))))</f>
        <v/>
      </c>
      <c r="AE28" s="32">
        <f>IF(B28="","",PROPER(IFERROR(LEFT(B28,FIND(" ",B28)-1),B28)))</f>
        <v/>
      </c>
      <c r="AF28" s="32">
        <f>SUBSTITUTE(SUBSTITUTE(SUBSTITUTE(SUBSTITUTE(SUBSTITUTE(SUBSTITUTE(SUBSTITUTE(SUBSTITUTE(SUBSTITUTE(SUBSTITUTE(AE28,"%","%25"),"&amp;","%26"),"#","%23"),"+","%2B"),"=","%3D"),"?","%3F"),CHAR(34),"%22"),CHAR(10),"%0A"),CHAR(13),"")," ","+")</f>
        <v/>
      </c>
      <c r="AG28" s="32">
        <f>IF(OR(AD28="",AE28=""),"",'Start Here'!$B$20&amp;"#p="&amp;SUBSTITUTE(AD28,"+","%2B")&amp;"&amp;n="&amp;AF28&amp;"&amp;m="&amp;SUBSTITUTE('Start Here'!$B$24,"{name}",AF28))</f>
        <v/>
      </c>
      <c r="AH28" s="32">
        <f>N(AH27)+W28</f>
        <v/>
      </c>
      <c r="AI28" s="32">
        <f>IF(W28=1,AH28,"")</f>
        <v/>
      </c>
    </row>
    <row r="29">
      <c r="A29" s="32">
        <f>IF(INDEX('Form Responses'!$A:$A,ROW())="","",INDEX('Form Responses'!$A:$A,ROW()))</f>
        <v/>
      </c>
      <c r="B29" s="32">
        <f>TRIM(INDEX('Form Responses'!$B:$B,ROW())&amp;"")</f>
        <v/>
      </c>
      <c r="C29" s="32">
        <f>IF(B29="","",TRIM(INDEX('Form Responses'!$C:$C,ROW())&amp;""))</f>
        <v/>
      </c>
      <c r="D29" s="32">
        <f>SUBSTITUTE(SUBSTITUTE(SUBSTITUTE(SUBSTITUTE(SUBSTITUTE(SUBSTITUTE(SUBSTITUTE(SUBSTITUTE(C29," ",""),"-",""),"(",""),")",""),".",""),"+",""),"/",""),CHAR(160),"")</f>
        <v/>
      </c>
      <c r="E29" s="32">
        <f>IF(LEN(D29)&gt;=10,RIGHT(D29,10),D29)</f>
        <v/>
      </c>
      <c r="F29" s="32">
        <f>IF(B29="","",TRIM(INDEX('Form Responses'!$D:$D,ROW())&amp;""))</f>
        <v/>
      </c>
      <c r="G29" s="32">
        <f>IF(B29="","",IF(LEFT(TRIM(INDEX('Form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" s="32">
        <f>IF(B29="","",MAX(0,IFERROR(INT(--(INDEX('Form Responses'!$F:$F,ROW())&amp;"")),1)))</f>
        <v/>
      </c>
      <c r="I29" s="32">
        <f>IF(B29="","",MAX(0,IFERROR(INT(--(INDEX('Form Responses'!$G:$G,ROW())&amp;"")),0)))</f>
        <v/>
      </c>
      <c r="J29" s="32">
        <f>IF(B29="","",TRIM(INDEX('Form Responses'!$H:$H,ROW())&amp;""))</f>
        <v/>
      </c>
      <c r="K29" s="32">
        <f>IF(B29="","",TRIM(INDEX('Form Responses'!$I:$I,ROW())&amp;""))</f>
        <v/>
      </c>
      <c r="L29" s="32">
        <f>IF(B29="","",TRIM(INDEX('Form Responses'!$J:$J,ROW())&amp;""))</f>
        <v/>
      </c>
      <c r="M29" s="32">
        <f>IF(B29="","",TRIM(INDEX('Form Responses'!$K:$K,ROW())&amp;""))</f>
        <v/>
      </c>
      <c r="N29" s="32">
        <f>IF(B29="","",IF(E29&lt;&gt;"","P"&amp;E29,"N"&amp;B29))</f>
        <v/>
      </c>
      <c r="O29" s="32">
        <f>IF(N29="",0,IF(COUNTIF(N30:N$602,N29)=0,1,0))</f>
        <v/>
      </c>
      <c r="P29" s="32">
        <f>IF(AND(O29=1,E29&lt;&gt;""),E29,"")</f>
        <v/>
      </c>
      <c r="Q29" s="32">
        <f>IF(O29=1,B29,"")</f>
        <v/>
      </c>
      <c r="R29" s="32">
        <f>IF(O29&lt;&gt;1,"",IF(E29&lt;&gt;"",IFERROR(MATCH(E29,Guests!$S$6:$S$505,0)+5,IFERROR(MATCH(B29,Guests!$A$6:$A$505,0)+5,"")),IFERROR(MATCH(B29,Guests!$A$6:$A$505,0)+5,"")))</f>
        <v/>
      </c>
      <c r="S29" s="32">
        <f>IF(R29="","",TRIM(INDEX(Guests!$E$1:$E$505,R29)&amp;""))</f>
        <v/>
      </c>
      <c r="T29" s="32">
        <f>IF(R29="","",IF(S29="",1,COUNTIF(Guests!$E$6:$E$505,S29)))</f>
        <v/>
      </c>
      <c r="U29" s="32">
        <f>IF(R29="","",IF(S29="",1,IF(COUNTIF(S$1:S28,S29)=0,1,0)))</f>
        <v/>
      </c>
      <c r="V29" s="32">
        <f>IF(AND(R29&lt;&gt;"",G29="Attending",U29=1),MAX(0,H29+I29-T29),0)</f>
        <v/>
      </c>
      <c r="W29" s="32">
        <f>IF(AND(O29=1,R29=""),1,0)</f>
        <v/>
      </c>
      <c r="X29" s="32">
        <f>IF(B29="",0,H29+I29)</f>
        <v/>
      </c>
      <c r="Y29" s="32">
        <f>N(Y28)+O29</f>
        <v/>
      </c>
      <c r="Z29" s="32">
        <f>IF(O29=1,Y29,"")</f>
        <v/>
      </c>
      <c r="AA29" s="32">
        <f>IF(AND(W29=1,G29="Not sure yet"),1,0)</f>
        <v/>
      </c>
      <c r="AB29" s="32">
        <f>N(AB28)+AA29</f>
        <v/>
      </c>
      <c r="AC29" s="32">
        <f>IF(AA29=1,AB29,"")</f>
        <v/>
      </c>
      <c r="AD29" s="32">
        <f>IF(D29="","",IF(LEN(D29)=10,"+1"&amp;D29,IF(AND(LEN(D29)=11,LEFT(D29,1)="1"),"+"&amp;D29,IF(LEFT(C29,1)="+","+"&amp;D29,D29))))</f>
        <v/>
      </c>
      <c r="AE29" s="32">
        <f>IF(B29="","",PROPER(IFERROR(LEFT(B29,FIND(" ",B29)-1),B29)))</f>
        <v/>
      </c>
      <c r="AF29" s="32">
        <f>SUBSTITUTE(SUBSTITUTE(SUBSTITUTE(SUBSTITUTE(SUBSTITUTE(SUBSTITUTE(SUBSTITUTE(SUBSTITUTE(SUBSTITUTE(SUBSTITUTE(AE29,"%","%25"),"&amp;","%26"),"#","%23"),"+","%2B"),"=","%3D"),"?","%3F"),CHAR(34),"%22"),CHAR(10),"%0A"),CHAR(13),"")," ","+")</f>
        <v/>
      </c>
      <c r="AG29" s="32">
        <f>IF(OR(AD29="",AE29=""),"",'Start Here'!$B$20&amp;"#p="&amp;SUBSTITUTE(AD29,"+","%2B")&amp;"&amp;n="&amp;AF29&amp;"&amp;m="&amp;SUBSTITUTE('Start Here'!$B$24,"{name}",AF29))</f>
        <v/>
      </c>
      <c r="AH29" s="32">
        <f>N(AH28)+W29</f>
        <v/>
      </c>
      <c r="AI29" s="32">
        <f>IF(W29=1,AH29,"")</f>
        <v/>
      </c>
    </row>
    <row r="30">
      <c r="A30" s="32">
        <f>IF(INDEX('Form Responses'!$A:$A,ROW())="","",INDEX('Form Responses'!$A:$A,ROW()))</f>
        <v/>
      </c>
      <c r="B30" s="32">
        <f>TRIM(INDEX('Form Responses'!$B:$B,ROW())&amp;"")</f>
        <v/>
      </c>
      <c r="C30" s="32">
        <f>IF(B30="","",TRIM(INDEX('Form Responses'!$C:$C,ROW())&amp;""))</f>
        <v/>
      </c>
      <c r="D30" s="32">
        <f>SUBSTITUTE(SUBSTITUTE(SUBSTITUTE(SUBSTITUTE(SUBSTITUTE(SUBSTITUTE(SUBSTITUTE(SUBSTITUTE(C30," ",""),"-",""),"(",""),")",""),".",""),"+",""),"/",""),CHAR(160),"")</f>
        <v/>
      </c>
      <c r="E30" s="32">
        <f>IF(LEN(D30)&gt;=10,RIGHT(D30,10),D30)</f>
        <v/>
      </c>
      <c r="F30" s="32">
        <f>IF(B30="","",TRIM(INDEX('Form Responses'!$D:$D,ROW())&amp;""))</f>
        <v/>
      </c>
      <c r="G30" s="32">
        <f>IF(B30="","",IF(LEFT(TRIM(INDEX('Form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" s="32">
        <f>IF(B30="","",MAX(0,IFERROR(INT(--(INDEX('Form Responses'!$F:$F,ROW())&amp;"")),1)))</f>
        <v/>
      </c>
      <c r="I30" s="32">
        <f>IF(B30="","",MAX(0,IFERROR(INT(--(INDEX('Form Responses'!$G:$G,ROW())&amp;"")),0)))</f>
        <v/>
      </c>
      <c r="J30" s="32">
        <f>IF(B30="","",TRIM(INDEX('Form Responses'!$H:$H,ROW())&amp;""))</f>
        <v/>
      </c>
      <c r="K30" s="32">
        <f>IF(B30="","",TRIM(INDEX('Form Responses'!$I:$I,ROW())&amp;""))</f>
        <v/>
      </c>
      <c r="L30" s="32">
        <f>IF(B30="","",TRIM(INDEX('Form Responses'!$J:$J,ROW())&amp;""))</f>
        <v/>
      </c>
      <c r="M30" s="32">
        <f>IF(B30="","",TRIM(INDEX('Form Responses'!$K:$K,ROW())&amp;""))</f>
        <v/>
      </c>
      <c r="N30" s="32">
        <f>IF(B30="","",IF(E30&lt;&gt;"","P"&amp;E30,"N"&amp;B30))</f>
        <v/>
      </c>
      <c r="O30" s="32">
        <f>IF(N30="",0,IF(COUNTIF(N31:N$602,N30)=0,1,0))</f>
        <v/>
      </c>
      <c r="P30" s="32">
        <f>IF(AND(O30=1,E30&lt;&gt;""),E30,"")</f>
        <v/>
      </c>
      <c r="Q30" s="32">
        <f>IF(O30=1,B30,"")</f>
        <v/>
      </c>
      <c r="R30" s="32">
        <f>IF(O30&lt;&gt;1,"",IF(E30&lt;&gt;"",IFERROR(MATCH(E30,Guests!$S$6:$S$505,0)+5,IFERROR(MATCH(B30,Guests!$A$6:$A$505,0)+5,"")),IFERROR(MATCH(B30,Guests!$A$6:$A$505,0)+5,"")))</f>
        <v/>
      </c>
      <c r="S30" s="32">
        <f>IF(R30="","",TRIM(INDEX(Guests!$E$1:$E$505,R30)&amp;""))</f>
        <v/>
      </c>
      <c r="T30" s="32">
        <f>IF(R30="","",IF(S30="",1,COUNTIF(Guests!$E$6:$E$505,S30)))</f>
        <v/>
      </c>
      <c r="U30" s="32">
        <f>IF(R30="","",IF(S30="",1,IF(COUNTIF(S$1:S29,S30)=0,1,0)))</f>
        <v/>
      </c>
      <c r="V30" s="32">
        <f>IF(AND(R30&lt;&gt;"",G30="Attending",U30=1),MAX(0,H30+I30-T30),0)</f>
        <v/>
      </c>
      <c r="W30" s="32">
        <f>IF(AND(O30=1,R30=""),1,0)</f>
        <v/>
      </c>
      <c r="X30" s="32">
        <f>IF(B30="",0,H30+I30)</f>
        <v/>
      </c>
      <c r="Y30" s="32">
        <f>N(Y29)+O30</f>
        <v/>
      </c>
      <c r="Z30" s="32">
        <f>IF(O30=1,Y30,"")</f>
        <v/>
      </c>
      <c r="AA30" s="32">
        <f>IF(AND(W30=1,G30="Not sure yet"),1,0)</f>
        <v/>
      </c>
      <c r="AB30" s="32">
        <f>N(AB29)+AA30</f>
        <v/>
      </c>
      <c r="AC30" s="32">
        <f>IF(AA30=1,AB30,"")</f>
        <v/>
      </c>
      <c r="AD30" s="32">
        <f>IF(D30="","",IF(LEN(D30)=10,"+1"&amp;D30,IF(AND(LEN(D30)=11,LEFT(D30,1)="1"),"+"&amp;D30,IF(LEFT(C30,1)="+","+"&amp;D30,D30))))</f>
        <v/>
      </c>
      <c r="AE30" s="32">
        <f>IF(B30="","",PROPER(IFERROR(LEFT(B30,FIND(" ",B30)-1),B30)))</f>
        <v/>
      </c>
      <c r="AF30" s="32">
        <f>SUBSTITUTE(SUBSTITUTE(SUBSTITUTE(SUBSTITUTE(SUBSTITUTE(SUBSTITUTE(SUBSTITUTE(SUBSTITUTE(SUBSTITUTE(SUBSTITUTE(AE30,"%","%25"),"&amp;","%26"),"#","%23"),"+","%2B"),"=","%3D"),"?","%3F"),CHAR(34),"%22"),CHAR(10),"%0A"),CHAR(13),"")," ","+")</f>
        <v/>
      </c>
      <c r="AG30" s="32">
        <f>IF(OR(AD30="",AE30=""),"",'Start Here'!$B$20&amp;"#p="&amp;SUBSTITUTE(AD30,"+","%2B")&amp;"&amp;n="&amp;AF30&amp;"&amp;m="&amp;SUBSTITUTE('Start Here'!$B$24,"{name}",AF30))</f>
        <v/>
      </c>
      <c r="AH30" s="32">
        <f>N(AH29)+W30</f>
        <v/>
      </c>
      <c r="AI30" s="32">
        <f>IF(W30=1,AH30,"")</f>
        <v/>
      </c>
    </row>
    <row r="31">
      <c r="A31" s="32">
        <f>IF(INDEX('Form Responses'!$A:$A,ROW())="","",INDEX('Form Responses'!$A:$A,ROW()))</f>
        <v/>
      </c>
      <c r="B31" s="32">
        <f>TRIM(INDEX('Form Responses'!$B:$B,ROW())&amp;"")</f>
        <v/>
      </c>
      <c r="C31" s="32">
        <f>IF(B31="","",TRIM(INDEX('Form Responses'!$C:$C,ROW())&amp;""))</f>
        <v/>
      </c>
      <c r="D31" s="32">
        <f>SUBSTITUTE(SUBSTITUTE(SUBSTITUTE(SUBSTITUTE(SUBSTITUTE(SUBSTITUTE(SUBSTITUTE(SUBSTITUTE(C31," ",""),"-",""),"(",""),")",""),".",""),"+",""),"/",""),CHAR(160),"")</f>
        <v/>
      </c>
      <c r="E31" s="32">
        <f>IF(LEN(D31)&gt;=10,RIGHT(D31,10),D31)</f>
        <v/>
      </c>
      <c r="F31" s="32">
        <f>IF(B31="","",TRIM(INDEX('Form Responses'!$D:$D,ROW())&amp;""))</f>
        <v/>
      </c>
      <c r="G31" s="32">
        <f>IF(B31="","",IF(LEFT(TRIM(INDEX('Form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" s="32">
        <f>IF(B31="","",MAX(0,IFERROR(INT(--(INDEX('Form Responses'!$F:$F,ROW())&amp;"")),1)))</f>
        <v/>
      </c>
      <c r="I31" s="32">
        <f>IF(B31="","",MAX(0,IFERROR(INT(--(INDEX('Form Responses'!$G:$G,ROW())&amp;"")),0)))</f>
        <v/>
      </c>
      <c r="J31" s="32">
        <f>IF(B31="","",TRIM(INDEX('Form Responses'!$H:$H,ROW())&amp;""))</f>
        <v/>
      </c>
      <c r="K31" s="32">
        <f>IF(B31="","",TRIM(INDEX('Form Responses'!$I:$I,ROW())&amp;""))</f>
        <v/>
      </c>
      <c r="L31" s="32">
        <f>IF(B31="","",TRIM(INDEX('Form Responses'!$J:$J,ROW())&amp;""))</f>
        <v/>
      </c>
      <c r="M31" s="32">
        <f>IF(B31="","",TRIM(INDEX('Form Responses'!$K:$K,ROW())&amp;""))</f>
        <v/>
      </c>
      <c r="N31" s="32">
        <f>IF(B31="","",IF(E31&lt;&gt;"","P"&amp;E31,"N"&amp;B31))</f>
        <v/>
      </c>
      <c r="O31" s="32">
        <f>IF(N31="",0,IF(COUNTIF(N32:N$602,N31)=0,1,0))</f>
        <v/>
      </c>
      <c r="P31" s="32">
        <f>IF(AND(O31=1,E31&lt;&gt;""),E31,"")</f>
        <v/>
      </c>
      <c r="Q31" s="32">
        <f>IF(O31=1,B31,"")</f>
        <v/>
      </c>
      <c r="R31" s="32">
        <f>IF(O31&lt;&gt;1,"",IF(E31&lt;&gt;"",IFERROR(MATCH(E31,Guests!$S$6:$S$505,0)+5,IFERROR(MATCH(B31,Guests!$A$6:$A$505,0)+5,"")),IFERROR(MATCH(B31,Guests!$A$6:$A$505,0)+5,"")))</f>
        <v/>
      </c>
      <c r="S31" s="32">
        <f>IF(R31="","",TRIM(INDEX(Guests!$E$1:$E$505,R31)&amp;""))</f>
        <v/>
      </c>
      <c r="T31" s="32">
        <f>IF(R31="","",IF(S31="",1,COUNTIF(Guests!$E$6:$E$505,S31)))</f>
        <v/>
      </c>
      <c r="U31" s="32">
        <f>IF(R31="","",IF(S31="",1,IF(COUNTIF(S$1:S30,S31)=0,1,0)))</f>
        <v/>
      </c>
      <c r="V31" s="32">
        <f>IF(AND(R31&lt;&gt;"",G31="Attending",U31=1),MAX(0,H31+I31-T31),0)</f>
        <v/>
      </c>
      <c r="W31" s="32">
        <f>IF(AND(O31=1,R31=""),1,0)</f>
        <v/>
      </c>
      <c r="X31" s="32">
        <f>IF(B31="",0,H31+I31)</f>
        <v/>
      </c>
      <c r="Y31" s="32">
        <f>N(Y30)+O31</f>
        <v/>
      </c>
      <c r="Z31" s="32">
        <f>IF(O31=1,Y31,"")</f>
        <v/>
      </c>
      <c r="AA31" s="32">
        <f>IF(AND(W31=1,G31="Not sure yet"),1,0)</f>
        <v/>
      </c>
      <c r="AB31" s="32">
        <f>N(AB30)+AA31</f>
        <v/>
      </c>
      <c r="AC31" s="32">
        <f>IF(AA31=1,AB31,"")</f>
        <v/>
      </c>
      <c r="AD31" s="32">
        <f>IF(D31="","",IF(LEN(D31)=10,"+1"&amp;D31,IF(AND(LEN(D31)=11,LEFT(D31,1)="1"),"+"&amp;D31,IF(LEFT(C31,1)="+","+"&amp;D31,D31))))</f>
        <v/>
      </c>
      <c r="AE31" s="32">
        <f>IF(B31="","",PROPER(IFERROR(LEFT(B31,FIND(" ",B31)-1),B31)))</f>
        <v/>
      </c>
      <c r="AF31" s="32">
        <f>SUBSTITUTE(SUBSTITUTE(SUBSTITUTE(SUBSTITUTE(SUBSTITUTE(SUBSTITUTE(SUBSTITUTE(SUBSTITUTE(SUBSTITUTE(SUBSTITUTE(AE31,"%","%25"),"&amp;","%26"),"#","%23"),"+","%2B"),"=","%3D"),"?","%3F"),CHAR(34),"%22"),CHAR(10),"%0A"),CHAR(13),"")," ","+")</f>
        <v/>
      </c>
      <c r="AG31" s="32">
        <f>IF(OR(AD31="",AE31=""),"",'Start Here'!$B$20&amp;"#p="&amp;SUBSTITUTE(AD31,"+","%2B")&amp;"&amp;n="&amp;AF31&amp;"&amp;m="&amp;SUBSTITUTE('Start Here'!$B$24,"{name}",AF31))</f>
        <v/>
      </c>
      <c r="AH31" s="32">
        <f>N(AH30)+W31</f>
        <v/>
      </c>
      <c r="AI31" s="32">
        <f>IF(W31=1,AH31,"")</f>
        <v/>
      </c>
    </row>
    <row r="32">
      <c r="A32" s="32">
        <f>IF(INDEX('Form Responses'!$A:$A,ROW())="","",INDEX('Form Responses'!$A:$A,ROW()))</f>
        <v/>
      </c>
      <c r="B32" s="32">
        <f>TRIM(INDEX('Form Responses'!$B:$B,ROW())&amp;"")</f>
        <v/>
      </c>
      <c r="C32" s="32">
        <f>IF(B32="","",TRIM(INDEX('Form Responses'!$C:$C,ROW())&amp;""))</f>
        <v/>
      </c>
      <c r="D32" s="32">
        <f>SUBSTITUTE(SUBSTITUTE(SUBSTITUTE(SUBSTITUTE(SUBSTITUTE(SUBSTITUTE(SUBSTITUTE(SUBSTITUTE(C32," ",""),"-",""),"(",""),")",""),".",""),"+",""),"/",""),CHAR(160),"")</f>
        <v/>
      </c>
      <c r="E32" s="32">
        <f>IF(LEN(D32)&gt;=10,RIGHT(D32,10),D32)</f>
        <v/>
      </c>
      <c r="F32" s="32">
        <f>IF(B32="","",TRIM(INDEX('Form Responses'!$D:$D,ROW())&amp;""))</f>
        <v/>
      </c>
      <c r="G32" s="32">
        <f>IF(B32="","",IF(LEFT(TRIM(INDEX('Form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" s="32">
        <f>IF(B32="","",MAX(0,IFERROR(INT(--(INDEX('Form Responses'!$F:$F,ROW())&amp;"")),1)))</f>
        <v/>
      </c>
      <c r="I32" s="32">
        <f>IF(B32="","",MAX(0,IFERROR(INT(--(INDEX('Form Responses'!$G:$G,ROW())&amp;"")),0)))</f>
        <v/>
      </c>
      <c r="J32" s="32">
        <f>IF(B32="","",TRIM(INDEX('Form Responses'!$H:$H,ROW())&amp;""))</f>
        <v/>
      </c>
      <c r="K32" s="32">
        <f>IF(B32="","",TRIM(INDEX('Form Responses'!$I:$I,ROW())&amp;""))</f>
        <v/>
      </c>
      <c r="L32" s="32">
        <f>IF(B32="","",TRIM(INDEX('Form Responses'!$J:$J,ROW())&amp;""))</f>
        <v/>
      </c>
      <c r="M32" s="32">
        <f>IF(B32="","",TRIM(INDEX('Form Responses'!$K:$K,ROW())&amp;""))</f>
        <v/>
      </c>
      <c r="N32" s="32">
        <f>IF(B32="","",IF(E32&lt;&gt;"","P"&amp;E32,"N"&amp;B32))</f>
        <v/>
      </c>
      <c r="O32" s="32">
        <f>IF(N32="",0,IF(COUNTIF(N33:N$602,N32)=0,1,0))</f>
        <v/>
      </c>
      <c r="P32" s="32">
        <f>IF(AND(O32=1,E32&lt;&gt;""),E32,"")</f>
        <v/>
      </c>
      <c r="Q32" s="32">
        <f>IF(O32=1,B32,"")</f>
        <v/>
      </c>
      <c r="R32" s="32">
        <f>IF(O32&lt;&gt;1,"",IF(E32&lt;&gt;"",IFERROR(MATCH(E32,Guests!$S$6:$S$505,0)+5,IFERROR(MATCH(B32,Guests!$A$6:$A$505,0)+5,"")),IFERROR(MATCH(B32,Guests!$A$6:$A$505,0)+5,"")))</f>
        <v/>
      </c>
      <c r="S32" s="32">
        <f>IF(R32="","",TRIM(INDEX(Guests!$E$1:$E$505,R32)&amp;""))</f>
        <v/>
      </c>
      <c r="T32" s="32">
        <f>IF(R32="","",IF(S32="",1,COUNTIF(Guests!$E$6:$E$505,S32)))</f>
        <v/>
      </c>
      <c r="U32" s="32">
        <f>IF(R32="","",IF(S32="",1,IF(COUNTIF(S$1:S31,S32)=0,1,0)))</f>
        <v/>
      </c>
      <c r="V32" s="32">
        <f>IF(AND(R32&lt;&gt;"",G32="Attending",U32=1),MAX(0,H32+I32-T32),0)</f>
        <v/>
      </c>
      <c r="W32" s="32">
        <f>IF(AND(O32=1,R32=""),1,0)</f>
        <v/>
      </c>
      <c r="X32" s="32">
        <f>IF(B32="",0,H32+I32)</f>
        <v/>
      </c>
      <c r="Y32" s="32">
        <f>N(Y31)+O32</f>
        <v/>
      </c>
      <c r="Z32" s="32">
        <f>IF(O32=1,Y32,"")</f>
        <v/>
      </c>
      <c r="AA32" s="32">
        <f>IF(AND(W32=1,G32="Not sure yet"),1,0)</f>
        <v/>
      </c>
      <c r="AB32" s="32">
        <f>N(AB31)+AA32</f>
        <v/>
      </c>
      <c r="AC32" s="32">
        <f>IF(AA32=1,AB32,"")</f>
        <v/>
      </c>
      <c r="AD32" s="32">
        <f>IF(D32="","",IF(LEN(D32)=10,"+1"&amp;D32,IF(AND(LEN(D32)=11,LEFT(D32,1)="1"),"+"&amp;D32,IF(LEFT(C32,1)="+","+"&amp;D32,D32))))</f>
        <v/>
      </c>
      <c r="AE32" s="32">
        <f>IF(B32="","",PROPER(IFERROR(LEFT(B32,FIND(" ",B32)-1),B32)))</f>
        <v/>
      </c>
      <c r="AF32" s="32">
        <f>SUBSTITUTE(SUBSTITUTE(SUBSTITUTE(SUBSTITUTE(SUBSTITUTE(SUBSTITUTE(SUBSTITUTE(SUBSTITUTE(SUBSTITUTE(SUBSTITUTE(AE32,"%","%25"),"&amp;","%26"),"#","%23"),"+","%2B"),"=","%3D"),"?","%3F"),CHAR(34),"%22"),CHAR(10),"%0A"),CHAR(13),"")," ","+")</f>
        <v/>
      </c>
      <c r="AG32" s="32">
        <f>IF(OR(AD32="",AE32=""),"",'Start Here'!$B$20&amp;"#p="&amp;SUBSTITUTE(AD32,"+","%2B")&amp;"&amp;n="&amp;AF32&amp;"&amp;m="&amp;SUBSTITUTE('Start Here'!$B$24,"{name}",AF32))</f>
        <v/>
      </c>
      <c r="AH32" s="32">
        <f>N(AH31)+W32</f>
        <v/>
      </c>
      <c r="AI32" s="32">
        <f>IF(W32=1,AH32,"")</f>
        <v/>
      </c>
    </row>
    <row r="33">
      <c r="A33" s="32">
        <f>IF(INDEX('Form Responses'!$A:$A,ROW())="","",INDEX('Form Responses'!$A:$A,ROW()))</f>
        <v/>
      </c>
      <c r="B33" s="32">
        <f>TRIM(INDEX('Form Responses'!$B:$B,ROW())&amp;"")</f>
        <v/>
      </c>
      <c r="C33" s="32">
        <f>IF(B33="","",TRIM(INDEX('Form Responses'!$C:$C,ROW())&amp;""))</f>
        <v/>
      </c>
      <c r="D33" s="32">
        <f>SUBSTITUTE(SUBSTITUTE(SUBSTITUTE(SUBSTITUTE(SUBSTITUTE(SUBSTITUTE(SUBSTITUTE(SUBSTITUTE(C33," ",""),"-",""),"(",""),")",""),".",""),"+",""),"/",""),CHAR(160),"")</f>
        <v/>
      </c>
      <c r="E33" s="32">
        <f>IF(LEN(D33)&gt;=10,RIGHT(D33,10),D33)</f>
        <v/>
      </c>
      <c r="F33" s="32">
        <f>IF(B33="","",TRIM(INDEX('Form Responses'!$D:$D,ROW())&amp;""))</f>
        <v/>
      </c>
      <c r="G33" s="32">
        <f>IF(B33="","",IF(LEFT(TRIM(INDEX('Form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" s="32">
        <f>IF(B33="","",MAX(0,IFERROR(INT(--(INDEX('Form Responses'!$F:$F,ROW())&amp;"")),1)))</f>
        <v/>
      </c>
      <c r="I33" s="32">
        <f>IF(B33="","",MAX(0,IFERROR(INT(--(INDEX('Form Responses'!$G:$G,ROW())&amp;"")),0)))</f>
        <v/>
      </c>
      <c r="J33" s="32">
        <f>IF(B33="","",TRIM(INDEX('Form Responses'!$H:$H,ROW())&amp;""))</f>
        <v/>
      </c>
      <c r="K33" s="32">
        <f>IF(B33="","",TRIM(INDEX('Form Responses'!$I:$I,ROW())&amp;""))</f>
        <v/>
      </c>
      <c r="L33" s="32">
        <f>IF(B33="","",TRIM(INDEX('Form Responses'!$J:$J,ROW())&amp;""))</f>
        <v/>
      </c>
      <c r="M33" s="32">
        <f>IF(B33="","",TRIM(INDEX('Form Responses'!$K:$K,ROW())&amp;""))</f>
        <v/>
      </c>
      <c r="N33" s="32">
        <f>IF(B33="","",IF(E33&lt;&gt;"","P"&amp;E33,"N"&amp;B33))</f>
        <v/>
      </c>
      <c r="O33" s="32">
        <f>IF(N33="",0,IF(COUNTIF(N34:N$602,N33)=0,1,0))</f>
        <v/>
      </c>
      <c r="P33" s="32">
        <f>IF(AND(O33=1,E33&lt;&gt;""),E33,"")</f>
        <v/>
      </c>
      <c r="Q33" s="32">
        <f>IF(O33=1,B33,"")</f>
        <v/>
      </c>
      <c r="R33" s="32">
        <f>IF(O33&lt;&gt;1,"",IF(E33&lt;&gt;"",IFERROR(MATCH(E33,Guests!$S$6:$S$505,0)+5,IFERROR(MATCH(B33,Guests!$A$6:$A$505,0)+5,"")),IFERROR(MATCH(B33,Guests!$A$6:$A$505,0)+5,"")))</f>
        <v/>
      </c>
      <c r="S33" s="32">
        <f>IF(R33="","",TRIM(INDEX(Guests!$E$1:$E$505,R33)&amp;""))</f>
        <v/>
      </c>
      <c r="T33" s="32">
        <f>IF(R33="","",IF(S33="",1,COUNTIF(Guests!$E$6:$E$505,S33)))</f>
        <v/>
      </c>
      <c r="U33" s="32">
        <f>IF(R33="","",IF(S33="",1,IF(COUNTIF(S$1:S32,S33)=0,1,0)))</f>
        <v/>
      </c>
      <c r="V33" s="32">
        <f>IF(AND(R33&lt;&gt;"",G33="Attending",U33=1),MAX(0,H33+I33-T33),0)</f>
        <v/>
      </c>
      <c r="W33" s="32">
        <f>IF(AND(O33=1,R33=""),1,0)</f>
        <v/>
      </c>
      <c r="X33" s="32">
        <f>IF(B33="",0,H33+I33)</f>
        <v/>
      </c>
      <c r="Y33" s="32">
        <f>N(Y32)+O33</f>
        <v/>
      </c>
      <c r="Z33" s="32">
        <f>IF(O33=1,Y33,"")</f>
        <v/>
      </c>
      <c r="AA33" s="32">
        <f>IF(AND(W33=1,G33="Not sure yet"),1,0)</f>
        <v/>
      </c>
      <c r="AB33" s="32">
        <f>N(AB32)+AA33</f>
        <v/>
      </c>
      <c r="AC33" s="32">
        <f>IF(AA33=1,AB33,"")</f>
        <v/>
      </c>
      <c r="AD33" s="32">
        <f>IF(D33="","",IF(LEN(D33)=10,"+1"&amp;D33,IF(AND(LEN(D33)=11,LEFT(D33,1)="1"),"+"&amp;D33,IF(LEFT(C33,1)="+","+"&amp;D33,D33))))</f>
        <v/>
      </c>
      <c r="AE33" s="32">
        <f>IF(B33="","",PROPER(IFERROR(LEFT(B33,FIND(" ",B33)-1),B33)))</f>
        <v/>
      </c>
      <c r="AF33" s="32">
        <f>SUBSTITUTE(SUBSTITUTE(SUBSTITUTE(SUBSTITUTE(SUBSTITUTE(SUBSTITUTE(SUBSTITUTE(SUBSTITUTE(SUBSTITUTE(SUBSTITUTE(AE33,"%","%25"),"&amp;","%26"),"#","%23"),"+","%2B"),"=","%3D"),"?","%3F"),CHAR(34),"%22"),CHAR(10),"%0A"),CHAR(13),"")," ","+")</f>
        <v/>
      </c>
      <c r="AG33" s="32">
        <f>IF(OR(AD33="",AE33=""),"",'Start Here'!$B$20&amp;"#p="&amp;SUBSTITUTE(AD33,"+","%2B")&amp;"&amp;n="&amp;AF33&amp;"&amp;m="&amp;SUBSTITUTE('Start Here'!$B$24,"{name}",AF33))</f>
        <v/>
      </c>
      <c r="AH33" s="32">
        <f>N(AH32)+W33</f>
        <v/>
      </c>
      <c r="AI33" s="32">
        <f>IF(W33=1,AH33,"")</f>
        <v/>
      </c>
    </row>
    <row r="34">
      <c r="A34" s="32">
        <f>IF(INDEX('Form Responses'!$A:$A,ROW())="","",INDEX('Form Responses'!$A:$A,ROW()))</f>
        <v/>
      </c>
      <c r="B34" s="32">
        <f>TRIM(INDEX('Form Responses'!$B:$B,ROW())&amp;"")</f>
        <v/>
      </c>
      <c r="C34" s="32">
        <f>IF(B34="","",TRIM(INDEX('Form Responses'!$C:$C,ROW())&amp;""))</f>
        <v/>
      </c>
      <c r="D34" s="32">
        <f>SUBSTITUTE(SUBSTITUTE(SUBSTITUTE(SUBSTITUTE(SUBSTITUTE(SUBSTITUTE(SUBSTITUTE(SUBSTITUTE(C34," ",""),"-",""),"(",""),")",""),".",""),"+",""),"/",""),CHAR(160),"")</f>
        <v/>
      </c>
      <c r="E34" s="32">
        <f>IF(LEN(D34)&gt;=10,RIGHT(D34,10),D34)</f>
        <v/>
      </c>
      <c r="F34" s="32">
        <f>IF(B34="","",TRIM(INDEX('Form Responses'!$D:$D,ROW())&amp;""))</f>
        <v/>
      </c>
      <c r="G34" s="32">
        <f>IF(B34="","",IF(LEFT(TRIM(INDEX('Form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" s="32">
        <f>IF(B34="","",MAX(0,IFERROR(INT(--(INDEX('Form Responses'!$F:$F,ROW())&amp;"")),1)))</f>
        <v/>
      </c>
      <c r="I34" s="32">
        <f>IF(B34="","",MAX(0,IFERROR(INT(--(INDEX('Form Responses'!$G:$G,ROW())&amp;"")),0)))</f>
        <v/>
      </c>
      <c r="J34" s="32">
        <f>IF(B34="","",TRIM(INDEX('Form Responses'!$H:$H,ROW())&amp;""))</f>
        <v/>
      </c>
      <c r="K34" s="32">
        <f>IF(B34="","",TRIM(INDEX('Form Responses'!$I:$I,ROW())&amp;""))</f>
        <v/>
      </c>
      <c r="L34" s="32">
        <f>IF(B34="","",TRIM(INDEX('Form Responses'!$J:$J,ROW())&amp;""))</f>
        <v/>
      </c>
      <c r="M34" s="32">
        <f>IF(B34="","",TRIM(INDEX('Form Responses'!$K:$K,ROW())&amp;""))</f>
        <v/>
      </c>
      <c r="N34" s="32">
        <f>IF(B34="","",IF(E34&lt;&gt;"","P"&amp;E34,"N"&amp;B34))</f>
        <v/>
      </c>
      <c r="O34" s="32">
        <f>IF(N34="",0,IF(COUNTIF(N35:N$602,N34)=0,1,0))</f>
        <v/>
      </c>
      <c r="P34" s="32">
        <f>IF(AND(O34=1,E34&lt;&gt;""),E34,"")</f>
        <v/>
      </c>
      <c r="Q34" s="32">
        <f>IF(O34=1,B34,"")</f>
        <v/>
      </c>
      <c r="R34" s="32">
        <f>IF(O34&lt;&gt;1,"",IF(E34&lt;&gt;"",IFERROR(MATCH(E34,Guests!$S$6:$S$505,0)+5,IFERROR(MATCH(B34,Guests!$A$6:$A$505,0)+5,"")),IFERROR(MATCH(B34,Guests!$A$6:$A$505,0)+5,"")))</f>
        <v/>
      </c>
      <c r="S34" s="32">
        <f>IF(R34="","",TRIM(INDEX(Guests!$E$1:$E$505,R34)&amp;""))</f>
        <v/>
      </c>
      <c r="T34" s="32">
        <f>IF(R34="","",IF(S34="",1,COUNTIF(Guests!$E$6:$E$505,S34)))</f>
        <v/>
      </c>
      <c r="U34" s="32">
        <f>IF(R34="","",IF(S34="",1,IF(COUNTIF(S$1:S33,S34)=0,1,0)))</f>
        <v/>
      </c>
      <c r="V34" s="32">
        <f>IF(AND(R34&lt;&gt;"",G34="Attending",U34=1),MAX(0,H34+I34-T34),0)</f>
        <v/>
      </c>
      <c r="W34" s="32">
        <f>IF(AND(O34=1,R34=""),1,0)</f>
        <v/>
      </c>
      <c r="X34" s="32">
        <f>IF(B34="",0,H34+I34)</f>
        <v/>
      </c>
      <c r="Y34" s="32">
        <f>N(Y33)+O34</f>
        <v/>
      </c>
      <c r="Z34" s="32">
        <f>IF(O34=1,Y34,"")</f>
        <v/>
      </c>
      <c r="AA34" s="32">
        <f>IF(AND(W34=1,G34="Not sure yet"),1,0)</f>
        <v/>
      </c>
      <c r="AB34" s="32">
        <f>N(AB33)+AA34</f>
        <v/>
      </c>
      <c r="AC34" s="32">
        <f>IF(AA34=1,AB34,"")</f>
        <v/>
      </c>
      <c r="AD34" s="32">
        <f>IF(D34="","",IF(LEN(D34)=10,"+1"&amp;D34,IF(AND(LEN(D34)=11,LEFT(D34,1)="1"),"+"&amp;D34,IF(LEFT(C34,1)="+","+"&amp;D34,D34))))</f>
        <v/>
      </c>
      <c r="AE34" s="32">
        <f>IF(B34="","",PROPER(IFERROR(LEFT(B34,FIND(" ",B34)-1),B34)))</f>
        <v/>
      </c>
      <c r="AF34" s="32">
        <f>SUBSTITUTE(SUBSTITUTE(SUBSTITUTE(SUBSTITUTE(SUBSTITUTE(SUBSTITUTE(SUBSTITUTE(SUBSTITUTE(SUBSTITUTE(SUBSTITUTE(AE34,"%","%25"),"&amp;","%26"),"#","%23"),"+","%2B"),"=","%3D"),"?","%3F"),CHAR(34),"%22"),CHAR(10),"%0A"),CHAR(13),"")," ","+")</f>
        <v/>
      </c>
      <c r="AG34" s="32">
        <f>IF(OR(AD34="",AE34=""),"",'Start Here'!$B$20&amp;"#p="&amp;SUBSTITUTE(AD34,"+","%2B")&amp;"&amp;n="&amp;AF34&amp;"&amp;m="&amp;SUBSTITUTE('Start Here'!$B$24,"{name}",AF34))</f>
        <v/>
      </c>
      <c r="AH34" s="32">
        <f>N(AH33)+W34</f>
        <v/>
      </c>
      <c r="AI34" s="32">
        <f>IF(W34=1,AH34,"")</f>
        <v/>
      </c>
    </row>
    <row r="35">
      <c r="A35" s="32">
        <f>IF(INDEX('Form Responses'!$A:$A,ROW())="","",INDEX('Form Responses'!$A:$A,ROW()))</f>
        <v/>
      </c>
      <c r="B35" s="32">
        <f>TRIM(INDEX('Form Responses'!$B:$B,ROW())&amp;"")</f>
        <v/>
      </c>
      <c r="C35" s="32">
        <f>IF(B35="","",TRIM(INDEX('Form Responses'!$C:$C,ROW())&amp;""))</f>
        <v/>
      </c>
      <c r="D35" s="32">
        <f>SUBSTITUTE(SUBSTITUTE(SUBSTITUTE(SUBSTITUTE(SUBSTITUTE(SUBSTITUTE(SUBSTITUTE(SUBSTITUTE(C35," ",""),"-",""),"(",""),")",""),".",""),"+",""),"/",""),CHAR(160),"")</f>
        <v/>
      </c>
      <c r="E35" s="32">
        <f>IF(LEN(D35)&gt;=10,RIGHT(D35,10),D35)</f>
        <v/>
      </c>
      <c r="F35" s="32">
        <f>IF(B35="","",TRIM(INDEX('Form Responses'!$D:$D,ROW())&amp;""))</f>
        <v/>
      </c>
      <c r="G35" s="32">
        <f>IF(B35="","",IF(LEFT(TRIM(INDEX('Form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" s="32">
        <f>IF(B35="","",MAX(0,IFERROR(INT(--(INDEX('Form Responses'!$F:$F,ROW())&amp;"")),1)))</f>
        <v/>
      </c>
      <c r="I35" s="32">
        <f>IF(B35="","",MAX(0,IFERROR(INT(--(INDEX('Form Responses'!$G:$G,ROW())&amp;"")),0)))</f>
        <v/>
      </c>
      <c r="J35" s="32">
        <f>IF(B35="","",TRIM(INDEX('Form Responses'!$H:$H,ROW())&amp;""))</f>
        <v/>
      </c>
      <c r="K35" s="32">
        <f>IF(B35="","",TRIM(INDEX('Form Responses'!$I:$I,ROW())&amp;""))</f>
        <v/>
      </c>
      <c r="L35" s="32">
        <f>IF(B35="","",TRIM(INDEX('Form Responses'!$J:$J,ROW())&amp;""))</f>
        <v/>
      </c>
      <c r="M35" s="32">
        <f>IF(B35="","",TRIM(INDEX('Form Responses'!$K:$K,ROW())&amp;""))</f>
        <v/>
      </c>
      <c r="N35" s="32">
        <f>IF(B35="","",IF(E35&lt;&gt;"","P"&amp;E35,"N"&amp;B35))</f>
        <v/>
      </c>
      <c r="O35" s="32">
        <f>IF(N35="",0,IF(COUNTIF(N36:N$602,N35)=0,1,0))</f>
        <v/>
      </c>
      <c r="P35" s="32">
        <f>IF(AND(O35=1,E35&lt;&gt;""),E35,"")</f>
        <v/>
      </c>
      <c r="Q35" s="32">
        <f>IF(O35=1,B35,"")</f>
        <v/>
      </c>
      <c r="R35" s="32">
        <f>IF(O35&lt;&gt;1,"",IF(E35&lt;&gt;"",IFERROR(MATCH(E35,Guests!$S$6:$S$505,0)+5,IFERROR(MATCH(B35,Guests!$A$6:$A$505,0)+5,"")),IFERROR(MATCH(B35,Guests!$A$6:$A$505,0)+5,"")))</f>
        <v/>
      </c>
      <c r="S35" s="32">
        <f>IF(R35="","",TRIM(INDEX(Guests!$E$1:$E$505,R35)&amp;""))</f>
        <v/>
      </c>
      <c r="T35" s="32">
        <f>IF(R35="","",IF(S35="",1,COUNTIF(Guests!$E$6:$E$505,S35)))</f>
        <v/>
      </c>
      <c r="U35" s="32">
        <f>IF(R35="","",IF(S35="",1,IF(COUNTIF(S$1:S34,S35)=0,1,0)))</f>
        <v/>
      </c>
      <c r="V35" s="32">
        <f>IF(AND(R35&lt;&gt;"",G35="Attending",U35=1),MAX(0,H35+I35-T35),0)</f>
        <v/>
      </c>
      <c r="W35" s="32">
        <f>IF(AND(O35=1,R35=""),1,0)</f>
        <v/>
      </c>
      <c r="X35" s="32">
        <f>IF(B35="",0,H35+I35)</f>
        <v/>
      </c>
      <c r="Y35" s="32">
        <f>N(Y34)+O35</f>
        <v/>
      </c>
      <c r="Z35" s="32">
        <f>IF(O35=1,Y35,"")</f>
        <v/>
      </c>
      <c r="AA35" s="32">
        <f>IF(AND(W35=1,G35="Not sure yet"),1,0)</f>
        <v/>
      </c>
      <c r="AB35" s="32">
        <f>N(AB34)+AA35</f>
        <v/>
      </c>
      <c r="AC35" s="32">
        <f>IF(AA35=1,AB35,"")</f>
        <v/>
      </c>
      <c r="AD35" s="32">
        <f>IF(D35="","",IF(LEN(D35)=10,"+1"&amp;D35,IF(AND(LEN(D35)=11,LEFT(D35,1)="1"),"+"&amp;D35,IF(LEFT(C35,1)="+","+"&amp;D35,D35))))</f>
        <v/>
      </c>
      <c r="AE35" s="32">
        <f>IF(B35="","",PROPER(IFERROR(LEFT(B35,FIND(" ",B35)-1),B35)))</f>
        <v/>
      </c>
      <c r="AF35" s="32">
        <f>SUBSTITUTE(SUBSTITUTE(SUBSTITUTE(SUBSTITUTE(SUBSTITUTE(SUBSTITUTE(SUBSTITUTE(SUBSTITUTE(SUBSTITUTE(SUBSTITUTE(AE35,"%","%25"),"&amp;","%26"),"#","%23"),"+","%2B"),"=","%3D"),"?","%3F"),CHAR(34),"%22"),CHAR(10),"%0A"),CHAR(13),"")," ","+")</f>
        <v/>
      </c>
      <c r="AG35" s="32">
        <f>IF(OR(AD35="",AE35=""),"",'Start Here'!$B$20&amp;"#p="&amp;SUBSTITUTE(AD35,"+","%2B")&amp;"&amp;n="&amp;AF35&amp;"&amp;m="&amp;SUBSTITUTE('Start Here'!$B$24,"{name}",AF35))</f>
        <v/>
      </c>
      <c r="AH35" s="32">
        <f>N(AH34)+W35</f>
        <v/>
      </c>
      <c r="AI35" s="32">
        <f>IF(W35=1,AH35,"")</f>
        <v/>
      </c>
    </row>
    <row r="36">
      <c r="A36" s="32">
        <f>IF(INDEX('Form Responses'!$A:$A,ROW())="","",INDEX('Form Responses'!$A:$A,ROW()))</f>
        <v/>
      </c>
      <c r="B36" s="32">
        <f>TRIM(INDEX('Form Responses'!$B:$B,ROW())&amp;"")</f>
        <v/>
      </c>
      <c r="C36" s="32">
        <f>IF(B36="","",TRIM(INDEX('Form Responses'!$C:$C,ROW())&amp;""))</f>
        <v/>
      </c>
      <c r="D36" s="32">
        <f>SUBSTITUTE(SUBSTITUTE(SUBSTITUTE(SUBSTITUTE(SUBSTITUTE(SUBSTITUTE(SUBSTITUTE(SUBSTITUTE(C36," ",""),"-",""),"(",""),")",""),".",""),"+",""),"/",""),CHAR(160),"")</f>
        <v/>
      </c>
      <c r="E36" s="32">
        <f>IF(LEN(D36)&gt;=10,RIGHT(D36,10),D36)</f>
        <v/>
      </c>
      <c r="F36" s="32">
        <f>IF(B36="","",TRIM(INDEX('Form Responses'!$D:$D,ROW())&amp;""))</f>
        <v/>
      </c>
      <c r="G36" s="32">
        <f>IF(B36="","",IF(LEFT(TRIM(INDEX('Form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" s="32">
        <f>IF(B36="","",MAX(0,IFERROR(INT(--(INDEX('Form Responses'!$F:$F,ROW())&amp;"")),1)))</f>
        <v/>
      </c>
      <c r="I36" s="32">
        <f>IF(B36="","",MAX(0,IFERROR(INT(--(INDEX('Form Responses'!$G:$G,ROW())&amp;"")),0)))</f>
        <v/>
      </c>
      <c r="J36" s="32">
        <f>IF(B36="","",TRIM(INDEX('Form Responses'!$H:$H,ROW())&amp;""))</f>
        <v/>
      </c>
      <c r="K36" s="32">
        <f>IF(B36="","",TRIM(INDEX('Form Responses'!$I:$I,ROW())&amp;""))</f>
        <v/>
      </c>
      <c r="L36" s="32">
        <f>IF(B36="","",TRIM(INDEX('Form Responses'!$J:$J,ROW())&amp;""))</f>
        <v/>
      </c>
      <c r="M36" s="32">
        <f>IF(B36="","",TRIM(INDEX('Form Responses'!$K:$K,ROW())&amp;""))</f>
        <v/>
      </c>
      <c r="N36" s="32">
        <f>IF(B36="","",IF(E36&lt;&gt;"","P"&amp;E36,"N"&amp;B36))</f>
        <v/>
      </c>
      <c r="O36" s="32">
        <f>IF(N36="",0,IF(COUNTIF(N37:N$602,N36)=0,1,0))</f>
        <v/>
      </c>
      <c r="P36" s="32">
        <f>IF(AND(O36=1,E36&lt;&gt;""),E36,"")</f>
        <v/>
      </c>
      <c r="Q36" s="32">
        <f>IF(O36=1,B36,"")</f>
        <v/>
      </c>
      <c r="R36" s="32">
        <f>IF(O36&lt;&gt;1,"",IF(E36&lt;&gt;"",IFERROR(MATCH(E36,Guests!$S$6:$S$505,0)+5,IFERROR(MATCH(B36,Guests!$A$6:$A$505,0)+5,"")),IFERROR(MATCH(B36,Guests!$A$6:$A$505,0)+5,"")))</f>
        <v/>
      </c>
      <c r="S36" s="32">
        <f>IF(R36="","",TRIM(INDEX(Guests!$E$1:$E$505,R36)&amp;""))</f>
        <v/>
      </c>
      <c r="T36" s="32">
        <f>IF(R36="","",IF(S36="",1,COUNTIF(Guests!$E$6:$E$505,S36)))</f>
        <v/>
      </c>
      <c r="U36" s="32">
        <f>IF(R36="","",IF(S36="",1,IF(COUNTIF(S$1:S35,S36)=0,1,0)))</f>
        <v/>
      </c>
      <c r="V36" s="32">
        <f>IF(AND(R36&lt;&gt;"",G36="Attending",U36=1),MAX(0,H36+I36-T36),0)</f>
        <v/>
      </c>
      <c r="W36" s="32">
        <f>IF(AND(O36=1,R36=""),1,0)</f>
        <v/>
      </c>
      <c r="X36" s="32">
        <f>IF(B36="",0,H36+I36)</f>
        <v/>
      </c>
      <c r="Y36" s="32">
        <f>N(Y35)+O36</f>
        <v/>
      </c>
      <c r="Z36" s="32">
        <f>IF(O36=1,Y36,"")</f>
        <v/>
      </c>
      <c r="AA36" s="32">
        <f>IF(AND(W36=1,G36="Not sure yet"),1,0)</f>
        <v/>
      </c>
      <c r="AB36" s="32">
        <f>N(AB35)+AA36</f>
        <v/>
      </c>
      <c r="AC36" s="32">
        <f>IF(AA36=1,AB36,"")</f>
        <v/>
      </c>
      <c r="AD36" s="32">
        <f>IF(D36="","",IF(LEN(D36)=10,"+1"&amp;D36,IF(AND(LEN(D36)=11,LEFT(D36,1)="1"),"+"&amp;D36,IF(LEFT(C36,1)="+","+"&amp;D36,D36))))</f>
        <v/>
      </c>
      <c r="AE36" s="32">
        <f>IF(B36="","",PROPER(IFERROR(LEFT(B36,FIND(" ",B36)-1),B36)))</f>
        <v/>
      </c>
      <c r="AF36" s="32">
        <f>SUBSTITUTE(SUBSTITUTE(SUBSTITUTE(SUBSTITUTE(SUBSTITUTE(SUBSTITUTE(SUBSTITUTE(SUBSTITUTE(SUBSTITUTE(SUBSTITUTE(AE36,"%","%25"),"&amp;","%26"),"#","%23"),"+","%2B"),"=","%3D"),"?","%3F"),CHAR(34),"%22"),CHAR(10),"%0A"),CHAR(13),"")," ","+")</f>
        <v/>
      </c>
      <c r="AG36" s="32">
        <f>IF(OR(AD36="",AE36=""),"",'Start Here'!$B$20&amp;"#p="&amp;SUBSTITUTE(AD36,"+","%2B")&amp;"&amp;n="&amp;AF36&amp;"&amp;m="&amp;SUBSTITUTE('Start Here'!$B$24,"{name}",AF36))</f>
        <v/>
      </c>
      <c r="AH36" s="32">
        <f>N(AH35)+W36</f>
        <v/>
      </c>
      <c r="AI36" s="32">
        <f>IF(W36=1,AH36,"")</f>
        <v/>
      </c>
    </row>
    <row r="37">
      <c r="A37" s="32">
        <f>IF(INDEX('Form Responses'!$A:$A,ROW())="","",INDEX('Form Responses'!$A:$A,ROW()))</f>
        <v/>
      </c>
      <c r="B37" s="32">
        <f>TRIM(INDEX('Form Responses'!$B:$B,ROW())&amp;"")</f>
        <v/>
      </c>
      <c r="C37" s="32">
        <f>IF(B37="","",TRIM(INDEX('Form Responses'!$C:$C,ROW())&amp;""))</f>
        <v/>
      </c>
      <c r="D37" s="32">
        <f>SUBSTITUTE(SUBSTITUTE(SUBSTITUTE(SUBSTITUTE(SUBSTITUTE(SUBSTITUTE(SUBSTITUTE(SUBSTITUTE(C37," ",""),"-",""),"(",""),")",""),".",""),"+",""),"/",""),CHAR(160),"")</f>
        <v/>
      </c>
      <c r="E37" s="32">
        <f>IF(LEN(D37)&gt;=10,RIGHT(D37,10),D37)</f>
        <v/>
      </c>
      <c r="F37" s="32">
        <f>IF(B37="","",TRIM(INDEX('Form Responses'!$D:$D,ROW())&amp;""))</f>
        <v/>
      </c>
      <c r="G37" s="32">
        <f>IF(B37="","",IF(LEFT(TRIM(INDEX('Form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" s="32">
        <f>IF(B37="","",MAX(0,IFERROR(INT(--(INDEX('Form Responses'!$F:$F,ROW())&amp;"")),1)))</f>
        <v/>
      </c>
      <c r="I37" s="32">
        <f>IF(B37="","",MAX(0,IFERROR(INT(--(INDEX('Form Responses'!$G:$G,ROW())&amp;"")),0)))</f>
        <v/>
      </c>
      <c r="J37" s="32">
        <f>IF(B37="","",TRIM(INDEX('Form Responses'!$H:$H,ROW())&amp;""))</f>
        <v/>
      </c>
      <c r="K37" s="32">
        <f>IF(B37="","",TRIM(INDEX('Form Responses'!$I:$I,ROW())&amp;""))</f>
        <v/>
      </c>
      <c r="L37" s="32">
        <f>IF(B37="","",TRIM(INDEX('Form Responses'!$J:$J,ROW())&amp;""))</f>
        <v/>
      </c>
      <c r="M37" s="32">
        <f>IF(B37="","",TRIM(INDEX('Form Responses'!$K:$K,ROW())&amp;""))</f>
        <v/>
      </c>
      <c r="N37" s="32">
        <f>IF(B37="","",IF(E37&lt;&gt;"","P"&amp;E37,"N"&amp;B37))</f>
        <v/>
      </c>
      <c r="O37" s="32">
        <f>IF(N37="",0,IF(COUNTIF(N38:N$602,N37)=0,1,0))</f>
        <v/>
      </c>
      <c r="P37" s="32">
        <f>IF(AND(O37=1,E37&lt;&gt;""),E37,"")</f>
        <v/>
      </c>
      <c r="Q37" s="32">
        <f>IF(O37=1,B37,"")</f>
        <v/>
      </c>
      <c r="R37" s="32">
        <f>IF(O37&lt;&gt;1,"",IF(E37&lt;&gt;"",IFERROR(MATCH(E37,Guests!$S$6:$S$505,0)+5,IFERROR(MATCH(B37,Guests!$A$6:$A$505,0)+5,"")),IFERROR(MATCH(B37,Guests!$A$6:$A$505,0)+5,"")))</f>
        <v/>
      </c>
      <c r="S37" s="32">
        <f>IF(R37="","",TRIM(INDEX(Guests!$E$1:$E$505,R37)&amp;""))</f>
        <v/>
      </c>
      <c r="T37" s="32">
        <f>IF(R37="","",IF(S37="",1,COUNTIF(Guests!$E$6:$E$505,S37)))</f>
        <v/>
      </c>
      <c r="U37" s="32">
        <f>IF(R37="","",IF(S37="",1,IF(COUNTIF(S$1:S36,S37)=0,1,0)))</f>
        <v/>
      </c>
      <c r="V37" s="32">
        <f>IF(AND(R37&lt;&gt;"",G37="Attending",U37=1),MAX(0,H37+I37-T37),0)</f>
        <v/>
      </c>
      <c r="W37" s="32">
        <f>IF(AND(O37=1,R37=""),1,0)</f>
        <v/>
      </c>
      <c r="X37" s="32">
        <f>IF(B37="",0,H37+I37)</f>
        <v/>
      </c>
      <c r="Y37" s="32">
        <f>N(Y36)+O37</f>
        <v/>
      </c>
      <c r="Z37" s="32">
        <f>IF(O37=1,Y37,"")</f>
        <v/>
      </c>
      <c r="AA37" s="32">
        <f>IF(AND(W37=1,G37="Not sure yet"),1,0)</f>
        <v/>
      </c>
      <c r="AB37" s="32">
        <f>N(AB36)+AA37</f>
        <v/>
      </c>
      <c r="AC37" s="32">
        <f>IF(AA37=1,AB37,"")</f>
        <v/>
      </c>
      <c r="AD37" s="32">
        <f>IF(D37="","",IF(LEN(D37)=10,"+1"&amp;D37,IF(AND(LEN(D37)=11,LEFT(D37,1)="1"),"+"&amp;D37,IF(LEFT(C37,1)="+","+"&amp;D37,D37))))</f>
        <v/>
      </c>
      <c r="AE37" s="32">
        <f>IF(B37="","",PROPER(IFERROR(LEFT(B37,FIND(" ",B37)-1),B37)))</f>
        <v/>
      </c>
      <c r="AF37" s="32">
        <f>SUBSTITUTE(SUBSTITUTE(SUBSTITUTE(SUBSTITUTE(SUBSTITUTE(SUBSTITUTE(SUBSTITUTE(SUBSTITUTE(SUBSTITUTE(SUBSTITUTE(AE37,"%","%25"),"&amp;","%26"),"#","%23"),"+","%2B"),"=","%3D"),"?","%3F"),CHAR(34),"%22"),CHAR(10),"%0A"),CHAR(13),"")," ","+")</f>
        <v/>
      </c>
      <c r="AG37" s="32">
        <f>IF(OR(AD37="",AE37=""),"",'Start Here'!$B$20&amp;"#p="&amp;SUBSTITUTE(AD37,"+","%2B")&amp;"&amp;n="&amp;AF37&amp;"&amp;m="&amp;SUBSTITUTE('Start Here'!$B$24,"{name}",AF37))</f>
        <v/>
      </c>
      <c r="AH37" s="32">
        <f>N(AH36)+W37</f>
        <v/>
      </c>
      <c r="AI37" s="32">
        <f>IF(W37=1,AH37,"")</f>
        <v/>
      </c>
    </row>
    <row r="38">
      <c r="A38" s="32">
        <f>IF(INDEX('Form Responses'!$A:$A,ROW())="","",INDEX('Form Responses'!$A:$A,ROW()))</f>
        <v/>
      </c>
      <c r="B38" s="32">
        <f>TRIM(INDEX('Form Responses'!$B:$B,ROW())&amp;"")</f>
        <v/>
      </c>
      <c r="C38" s="32">
        <f>IF(B38="","",TRIM(INDEX('Form Responses'!$C:$C,ROW())&amp;""))</f>
        <v/>
      </c>
      <c r="D38" s="32">
        <f>SUBSTITUTE(SUBSTITUTE(SUBSTITUTE(SUBSTITUTE(SUBSTITUTE(SUBSTITUTE(SUBSTITUTE(SUBSTITUTE(C38," ",""),"-",""),"(",""),")",""),".",""),"+",""),"/",""),CHAR(160),"")</f>
        <v/>
      </c>
      <c r="E38" s="32">
        <f>IF(LEN(D38)&gt;=10,RIGHT(D38,10),D38)</f>
        <v/>
      </c>
      <c r="F38" s="32">
        <f>IF(B38="","",TRIM(INDEX('Form Responses'!$D:$D,ROW())&amp;""))</f>
        <v/>
      </c>
      <c r="G38" s="32">
        <f>IF(B38="","",IF(LEFT(TRIM(INDEX('Form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" s="32">
        <f>IF(B38="","",MAX(0,IFERROR(INT(--(INDEX('Form Responses'!$F:$F,ROW())&amp;"")),1)))</f>
        <v/>
      </c>
      <c r="I38" s="32">
        <f>IF(B38="","",MAX(0,IFERROR(INT(--(INDEX('Form Responses'!$G:$G,ROW())&amp;"")),0)))</f>
        <v/>
      </c>
      <c r="J38" s="32">
        <f>IF(B38="","",TRIM(INDEX('Form Responses'!$H:$H,ROW())&amp;""))</f>
        <v/>
      </c>
      <c r="K38" s="32">
        <f>IF(B38="","",TRIM(INDEX('Form Responses'!$I:$I,ROW())&amp;""))</f>
        <v/>
      </c>
      <c r="L38" s="32">
        <f>IF(B38="","",TRIM(INDEX('Form Responses'!$J:$J,ROW())&amp;""))</f>
        <v/>
      </c>
      <c r="M38" s="32">
        <f>IF(B38="","",TRIM(INDEX('Form Responses'!$K:$K,ROW())&amp;""))</f>
        <v/>
      </c>
      <c r="N38" s="32">
        <f>IF(B38="","",IF(E38&lt;&gt;"","P"&amp;E38,"N"&amp;B38))</f>
        <v/>
      </c>
      <c r="O38" s="32">
        <f>IF(N38="",0,IF(COUNTIF(N39:N$602,N38)=0,1,0))</f>
        <v/>
      </c>
      <c r="P38" s="32">
        <f>IF(AND(O38=1,E38&lt;&gt;""),E38,"")</f>
        <v/>
      </c>
      <c r="Q38" s="32">
        <f>IF(O38=1,B38,"")</f>
        <v/>
      </c>
      <c r="R38" s="32">
        <f>IF(O38&lt;&gt;1,"",IF(E38&lt;&gt;"",IFERROR(MATCH(E38,Guests!$S$6:$S$505,0)+5,IFERROR(MATCH(B38,Guests!$A$6:$A$505,0)+5,"")),IFERROR(MATCH(B38,Guests!$A$6:$A$505,0)+5,"")))</f>
        <v/>
      </c>
      <c r="S38" s="32">
        <f>IF(R38="","",TRIM(INDEX(Guests!$E$1:$E$505,R38)&amp;""))</f>
        <v/>
      </c>
      <c r="T38" s="32">
        <f>IF(R38="","",IF(S38="",1,COUNTIF(Guests!$E$6:$E$505,S38)))</f>
        <v/>
      </c>
      <c r="U38" s="32">
        <f>IF(R38="","",IF(S38="",1,IF(COUNTIF(S$1:S37,S38)=0,1,0)))</f>
        <v/>
      </c>
      <c r="V38" s="32">
        <f>IF(AND(R38&lt;&gt;"",G38="Attending",U38=1),MAX(0,H38+I38-T38),0)</f>
        <v/>
      </c>
      <c r="W38" s="32">
        <f>IF(AND(O38=1,R38=""),1,0)</f>
        <v/>
      </c>
      <c r="X38" s="32">
        <f>IF(B38="",0,H38+I38)</f>
        <v/>
      </c>
      <c r="Y38" s="32">
        <f>N(Y37)+O38</f>
        <v/>
      </c>
      <c r="Z38" s="32">
        <f>IF(O38=1,Y38,"")</f>
        <v/>
      </c>
      <c r="AA38" s="32">
        <f>IF(AND(W38=1,G38="Not sure yet"),1,0)</f>
        <v/>
      </c>
      <c r="AB38" s="32">
        <f>N(AB37)+AA38</f>
        <v/>
      </c>
      <c r="AC38" s="32">
        <f>IF(AA38=1,AB38,"")</f>
        <v/>
      </c>
      <c r="AD38" s="32">
        <f>IF(D38="","",IF(LEN(D38)=10,"+1"&amp;D38,IF(AND(LEN(D38)=11,LEFT(D38,1)="1"),"+"&amp;D38,IF(LEFT(C38,1)="+","+"&amp;D38,D38))))</f>
        <v/>
      </c>
      <c r="AE38" s="32">
        <f>IF(B38="","",PROPER(IFERROR(LEFT(B38,FIND(" ",B38)-1),B38)))</f>
        <v/>
      </c>
      <c r="AF38" s="32">
        <f>SUBSTITUTE(SUBSTITUTE(SUBSTITUTE(SUBSTITUTE(SUBSTITUTE(SUBSTITUTE(SUBSTITUTE(SUBSTITUTE(SUBSTITUTE(SUBSTITUTE(AE38,"%","%25"),"&amp;","%26"),"#","%23"),"+","%2B"),"=","%3D"),"?","%3F"),CHAR(34),"%22"),CHAR(10),"%0A"),CHAR(13),"")," ","+")</f>
        <v/>
      </c>
      <c r="AG38" s="32">
        <f>IF(OR(AD38="",AE38=""),"",'Start Here'!$B$20&amp;"#p="&amp;SUBSTITUTE(AD38,"+","%2B")&amp;"&amp;n="&amp;AF38&amp;"&amp;m="&amp;SUBSTITUTE('Start Here'!$B$24,"{name}",AF38))</f>
        <v/>
      </c>
      <c r="AH38" s="32">
        <f>N(AH37)+W38</f>
        <v/>
      </c>
      <c r="AI38" s="32">
        <f>IF(W38=1,AH38,"")</f>
        <v/>
      </c>
    </row>
    <row r="39">
      <c r="A39" s="32">
        <f>IF(INDEX('Form Responses'!$A:$A,ROW())="","",INDEX('Form Responses'!$A:$A,ROW()))</f>
        <v/>
      </c>
      <c r="B39" s="32">
        <f>TRIM(INDEX('Form Responses'!$B:$B,ROW())&amp;"")</f>
        <v/>
      </c>
      <c r="C39" s="32">
        <f>IF(B39="","",TRIM(INDEX('Form Responses'!$C:$C,ROW())&amp;""))</f>
        <v/>
      </c>
      <c r="D39" s="32">
        <f>SUBSTITUTE(SUBSTITUTE(SUBSTITUTE(SUBSTITUTE(SUBSTITUTE(SUBSTITUTE(SUBSTITUTE(SUBSTITUTE(C39," ",""),"-",""),"(",""),")",""),".",""),"+",""),"/",""),CHAR(160),"")</f>
        <v/>
      </c>
      <c r="E39" s="32">
        <f>IF(LEN(D39)&gt;=10,RIGHT(D39,10),D39)</f>
        <v/>
      </c>
      <c r="F39" s="32">
        <f>IF(B39="","",TRIM(INDEX('Form Responses'!$D:$D,ROW())&amp;""))</f>
        <v/>
      </c>
      <c r="G39" s="32">
        <f>IF(B39="","",IF(LEFT(TRIM(INDEX('Form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" s="32">
        <f>IF(B39="","",MAX(0,IFERROR(INT(--(INDEX('Form Responses'!$F:$F,ROW())&amp;"")),1)))</f>
        <v/>
      </c>
      <c r="I39" s="32">
        <f>IF(B39="","",MAX(0,IFERROR(INT(--(INDEX('Form Responses'!$G:$G,ROW())&amp;"")),0)))</f>
        <v/>
      </c>
      <c r="J39" s="32">
        <f>IF(B39="","",TRIM(INDEX('Form Responses'!$H:$H,ROW())&amp;""))</f>
        <v/>
      </c>
      <c r="K39" s="32">
        <f>IF(B39="","",TRIM(INDEX('Form Responses'!$I:$I,ROW())&amp;""))</f>
        <v/>
      </c>
      <c r="L39" s="32">
        <f>IF(B39="","",TRIM(INDEX('Form Responses'!$J:$J,ROW())&amp;""))</f>
        <v/>
      </c>
      <c r="M39" s="32">
        <f>IF(B39="","",TRIM(INDEX('Form Responses'!$K:$K,ROW())&amp;""))</f>
        <v/>
      </c>
      <c r="N39" s="32">
        <f>IF(B39="","",IF(E39&lt;&gt;"","P"&amp;E39,"N"&amp;B39))</f>
        <v/>
      </c>
      <c r="O39" s="32">
        <f>IF(N39="",0,IF(COUNTIF(N40:N$602,N39)=0,1,0))</f>
        <v/>
      </c>
      <c r="P39" s="32">
        <f>IF(AND(O39=1,E39&lt;&gt;""),E39,"")</f>
        <v/>
      </c>
      <c r="Q39" s="32">
        <f>IF(O39=1,B39,"")</f>
        <v/>
      </c>
      <c r="R39" s="32">
        <f>IF(O39&lt;&gt;1,"",IF(E39&lt;&gt;"",IFERROR(MATCH(E39,Guests!$S$6:$S$505,0)+5,IFERROR(MATCH(B39,Guests!$A$6:$A$505,0)+5,"")),IFERROR(MATCH(B39,Guests!$A$6:$A$505,0)+5,"")))</f>
        <v/>
      </c>
      <c r="S39" s="32">
        <f>IF(R39="","",TRIM(INDEX(Guests!$E$1:$E$505,R39)&amp;""))</f>
        <v/>
      </c>
      <c r="T39" s="32">
        <f>IF(R39="","",IF(S39="",1,COUNTIF(Guests!$E$6:$E$505,S39)))</f>
        <v/>
      </c>
      <c r="U39" s="32">
        <f>IF(R39="","",IF(S39="",1,IF(COUNTIF(S$1:S38,S39)=0,1,0)))</f>
        <v/>
      </c>
      <c r="V39" s="32">
        <f>IF(AND(R39&lt;&gt;"",G39="Attending",U39=1),MAX(0,H39+I39-T39),0)</f>
        <v/>
      </c>
      <c r="W39" s="32">
        <f>IF(AND(O39=1,R39=""),1,0)</f>
        <v/>
      </c>
      <c r="X39" s="32">
        <f>IF(B39="",0,H39+I39)</f>
        <v/>
      </c>
      <c r="Y39" s="32">
        <f>N(Y38)+O39</f>
        <v/>
      </c>
      <c r="Z39" s="32">
        <f>IF(O39=1,Y39,"")</f>
        <v/>
      </c>
      <c r="AA39" s="32">
        <f>IF(AND(W39=1,G39="Not sure yet"),1,0)</f>
        <v/>
      </c>
      <c r="AB39" s="32">
        <f>N(AB38)+AA39</f>
        <v/>
      </c>
      <c r="AC39" s="32">
        <f>IF(AA39=1,AB39,"")</f>
        <v/>
      </c>
      <c r="AD39" s="32">
        <f>IF(D39="","",IF(LEN(D39)=10,"+1"&amp;D39,IF(AND(LEN(D39)=11,LEFT(D39,1)="1"),"+"&amp;D39,IF(LEFT(C39,1)="+","+"&amp;D39,D39))))</f>
        <v/>
      </c>
      <c r="AE39" s="32">
        <f>IF(B39="","",PROPER(IFERROR(LEFT(B39,FIND(" ",B39)-1),B39)))</f>
        <v/>
      </c>
      <c r="AF39" s="32">
        <f>SUBSTITUTE(SUBSTITUTE(SUBSTITUTE(SUBSTITUTE(SUBSTITUTE(SUBSTITUTE(SUBSTITUTE(SUBSTITUTE(SUBSTITUTE(SUBSTITUTE(AE39,"%","%25"),"&amp;","%26"),"#","%23"),"+","%2B"),"=","%3D"),"?","%3F"),CHAR(34),"%22"),CHAR(10),"%0A"),CHAR(13),"")," ","+")</f>
        <v/>
      </c>
      <c r="AG39" s="32">
        <f>IF(OR(AD39="",AE39=""),"",'Start Here'!$B$20&amp;"#p="&amp;SUBSTITUTE(AD39,"+","%2B")&amp;"&amp;n="&amp;AF39&amp;"&amp;m="&amp;SUBSTITUTE('Start Here'!$B$24,"{name}",AF39))</f>
        <v/>
      </c>
      <c r="AH39" s="32">
        <f>N(AH38)+W39</f>
        <v/>
      </c>
      <c r="AI39" s="32">
        <f>IF(W39=1,AH39,"")</f>
        <v/>
      </c>
    </row>
    <row r="40">
      <c r="A40" s="32">
        <f>IF(INDEX('Form Responses'!$A:$A,ROW())="","",INDEX('Form Responses'!$A:$A,ROW()))</f>
        <v/>
      </c>
      <c r="B40" s="32">
        <f>TRIM(INDEX('Form Responses'!$B:$B,ROW())&amp;"")</f>
        <v/>
      </c>
      <c r="C40" s="32">
        <f>IF(B40="","",TRIM(INDEX('Form Responses'!$C:$C,ROW())&amp;""))</f>
        <v/>
      </c>
      <c r="D40" s="32">
        <f>SUBSTITUTE(SUBSTITUTE(SUBSTITUTE(SUBSTITUTE(SUBSTITUTE(SUBSTITUTE(SUBSTITUTE(SUBSTITUTE(C40," ",""),"-",""),"(",""),")",""),".",""),"+",""),"/",""),CHAR(160),"")</f>
        <v/>
      </c>
      <c r="E40" s="32">
        <f>IF(LEN(D40)&gt;=10,RIGHT(D40,10),D40)</f>
        <v/>
      </c>
      <c r="F40" s="32">
        <f>IF(B40="","",TRIM(INDEX('Form Responses'!$D:$D,ROW())&amp;""))</f>
        <v/>
      </c>
      <c r="G40" s="32">
        <f>IF(B40="","",IF(LEFT(TRIM(INDEX('Form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" s="32">
        <f>IF(B40="","",MAX(0,IFERROR(INT(--(INDEX('Form Responses'!$F:$F,ROW())&amp;"")),1)))</f>
        <v/>
      </c>
      <c r="I40" s="32">
        <f>IF(B40="","",MAX(0,IFERROR(INT(--(INDEX('Form Responses'!$G:$G,ROW())&amp;"")),0)))</f>
        <v/>
      </c>
      <c r="J40" s="32">
        <f>IF(B40="","",TRIM(INDEX('Form Responses'!$H:$H,ROW())&amp;""))</f>
        <v/>
      </c>
      <c r="K40" s="32">
        <f>IF(B40="","",TRIM(INDEX('Form Responses'!$I:$I,ROW())&amp;""))</f>
        <v/>
      </c>
      <c r="L40" s="32">
        <f>IF(B40="","",TRIM(INDEX('Form Responses'!$J:$J,ROW())&amp;""))</f>
        <v/>
      </c>
      <c r="M40" s="32">
        <f>IF(B40="","",TRIM(INDEX('Form Responses'!$K:$K,ROW())&amp;""))</f>
        <v/>
      </c>
      <c r="N40" s="32">
        <f>IF(B40="","",IF(E40&lt;&gt;"","P"&amp;E40,"N"&amp;B40))</f>
        <v/>
      </c>
      <c r="O40" s="32">
        <f>IF(N40="",0,IF(COUNTIF(N41:N$602,N40)=0,1,0))</f>
        <v/>
      </c>
      <c r="P40" s="32">
        <f>IF(AND(O40=1,E40&lt;&gt;""),E40,"")</f>
        <v/>
      </c>
      <c r="Q40" s="32">
        <f>IF(O40=1,B40,"")</f>
        <v/>
      </c>
      <c r="R40" s="32">
        <f>IF(O40&lt;&gt;1,"",IF(E40&lt;&gt;"",IFERROR(MATCH(E40,Guests!$S$6:$S$505,0)+5,IFERROR(MATCH(B40,Guests!$A$6:$A$505,0)+5,"")),IFERROR(MATCH(B40,Guests!$A$6:$A$505,0)+5,"")))</f>
        <v/>
      </c>
      <c r="S40" s="32">
        <f>IF(R40="","",TRIM(INDEX(Guests!$E$1:$E$505,R40)&amp;""))</f>
        <v/>
      </c>
      <c r="T40" s="32">
        <f>IF(R40="","",IF(S40="",1,COUNTIF(Guests!$E$6:$E$505,S40)))</f>
        <v/>
      </c>
      <c r="U40" s="32">
        <f>IF(R40="","",IF(S40="",1,IF(COUNTIF(S$1:S39,S40)=0,1,0)))</f>
        <v/>
      </c>
      <c r="V40" s="32">
        <f>IF(AND(R40&lt;&gt;"",G40="Attending",U40=1),MAX(0,H40+I40-T40),0)</f>
        <v/>
      </c>
      <c r="W40" s="32">
        <f>IF(AND(O40=1,R40=""),1,0)</f>
        <v/>
      </c>
      <c r="X40" s="32">
        <f>IF(B40="",0,H40+I40)</f>
        <v/>
      </c>
      <c r="Y40" s="32">
        <f>N(Y39)+O40</f>
        <v/>
      </c>
      <c r="Z40" s="32">
        <f>IF(O40=1,Y40,"")</f>
        <v/>
      </c>
      <c r="AA40" s="32">
        <f>IF(AND(W40=1,G40="Not sure yet"),1,0)</f>
        <v/>
      </c>
      <c r="AB40" s="32">
        <f>N(AB39)+AA40</f>
        <v/>
      </c>
      <c r="AC40" s="32">
        <f>IF(AA40=1,AB40,"")</f>
        <v/>
      </c>
      <c r="AD40" s="32">
        <f>IF(D40="","",IF(LEN(D40)=10,"+1"&amp;D40,IF(AND(LEN(D40)=11,LEFT(D40,1)="1"),"+"&amp;D40,IF(LEFT(C40,1)="+","+"&amp;D40,D40))))</f>
        <v/>
      </c>
      <c r="AE40" s="32">
        <f>IF(B40="","",PROPER(IFERROR(LEFT(B40,FIND(" ",B40)-1),B40)))</f>
        <v/>
      </c>
      <c r="AF40" s="32">
        <f>SUBSTITUTE(SUBSTITUTE(SUBSTITUTE(SUBSTITUTE(SUBSTITUTE(SUBSTITUTE(SUBSTITUTE(SUBSTITUTE(SUBSTITUTE(SUBSTITUTE(AE40,"%","%25"),"&amp;","%26"),"#","%23"),"+","%2B"),"=","%3D"),"?","%3F"),CHAR(34),"%22"),CHAR(10),"%0A"),CHAR(13),"")," ","+")</f>
        <v/>
      </c>
      <c r="AG40" s="32">
        <f>IF(OR(AD40="",AE40=""),"",'Start Here'!$B$20&amp;"#p="&amp;SUBSTITUTE(AD40,"+","%2B")&amp;"&amp;n="&amp;AF40&amp;"&amp;m="&amp;SUBSTITUTE('Start Here'!$B$24,"{name}",AF40))</f>
        <v/>
      </c>
      <c r="AH40" s="32">
        <f>N(AH39)+W40</f>
        <v/>
      </c>
      <c r="AI40" s="32">
        <f>IF(W40=1,AH40,"")</f>
        <v/>
      </c>
    </row>
    <row r="41">
      <c r="A41" s="32">
        <f>IF(INDEX('Form Responses'!$A:$A,ROW())="","",INDEX('Form Responses'!$A:$A,ROW()))</f>
        <v/>
      </c>
      <c r="B41" s="32">
        <f>TRIM(INDEX('Form Responses'!$B:$B,ROW())&amp;"")</f>
        <v/>
      </c>
      <c r="C41" s="32">
        <f>IF(B41="","",TRIM(INDEX('Form Responses'!$C:$C,ROW())&amp;""))</f>
        <v/>
      </c>
      <c r="D41" s="32">
        <f>SUBSTITUTE(SUBSTITUTE(SUBSTITUTE(SUBSTITUTE(SUBSTITUTE(SUBSTITUTE(SUBSTITUTE(SUBSTITUTE(C41," ",""),"-",""),"(",""),")",""),".",""),"+",""),"/",""),CHAR(160),"")</f>
        <v/>
      </c>
      <c r="E41" s="32">
        <f>IF(LEN(D41)&gt;=10,RIGHT(D41,10),D41)</f>
        <v/>
      </c>
      <c r="F41" s="32">
        <f>IF(B41="","",TRIM(INDEX('Form Responses'!$D:$D,ROW())&amp;""))</f>
        <v/>
      </c>
      <c r="G41" s="32">
        <f>IF(B41="","",IF(LEFT(TRIM(INDEX('Form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" s="32">
        <f>IF(B41="","",MAX(0,IFERROR(INT(--(INDEX('Form Responses'!$F:$F,ROW())&amp;"")),1)))</f>
        <v/>
      </c>
      <c r="I41" s="32">
        <f>IF(B41="","",MAX(0,IFERROR(INT(--(INDEX('Form Responses'!$G:$G,ROW())&amp;"")),0)))</f>
        <v/>
      </c>
      <c r="J41" s="32">
        <f>IF(B41="","",TRIM(INDEX('Form Responses'!$H:$H,ROW())&amp;""))</f>
        <v/>
      </c>
      <c r="K41" s="32">
        <f>IF(B41="","",TRIM(INDEX('Form Responses'!$I:$I,ROW())&amp;""))</f>
        <v/>
      </c>
      <c r="L41" s="32">
        <f>IF(B41="","",TRIM(INDEX('Form Responses'!$J:$J,ROW())&amp;""))</f>
        <v/>
      </c>
      <c r="M41" s="32">
        <f>IF(B41="","",TRIM(INDEX('Form Responses'!$K:$K,ROW())&amp;""))</f>
        <v/>
      </c>
      <c r="N41" s="32">
        <f>IF(B41="","",IF(E41&lt;&gt;"","P"&amp;E41,"N"&amp;B41))</f>
        <v/>
      </c>
      <c r="O41" s="32">
        <f>IF(N41="",0,IF(COUNTIF(N42:N$602,N41)=0,1,0))</f>
        <v/>
      </c>
      <c r="P41" s="32">
        <f>IF(AND(O41=1,E41&lt;&gt;""),E41,"")</f>
        <v/>
      </c>
      <c r="Q41" s="32">
        <f>IF(O41=1,B41,"")</f>
        <v/>
      </c>
      <c r="R41" s="32">
        <f>IF(O41&lt;&gt;1,"",IF(E41&lt;&gt;"",IFERROR(MATCH(E41,Guests!$S$6:$S$505,0)+5,IFERROR(MATCH(B41,Guests!$A$6:$A$505,0)+5,"")),IFERROR(MATCH(B41,Guests!$A$6:$A$505,0)+5,"")))</f>
        <v/>
      </c>
      <c r="S41" s="32">
        <f>IF(R41="","",TRIM(INDEX(Guests!$E$1:$E$505,R41)&amp;""))</f>
        <v/>
      </c>
      <c r="T41" s="32">
        <f>IF(R41="","",IF(S41="",1,COUNTIF(Guests!$E$6:$E$505,S41)))</f>
        <v/>
      </c>
      <c r="U41" s="32">
        <f>IF(R41="","",IF(S41="",1,IF(COUNTIF(S$1:S40,S41)=0,1,0)))</f>
        <v/>
      </c>
      <c r="V41" s="32">
        <f>IF(AND(R41&lt;&gt;"",G41="Attending",U41=1),MAX(0,H41+I41-T41),0)</f>
        <v/>
      </c>
      <c r="W41" s="32">
        <f>IF(AND(O41=1,R41=""),1,0)</f>
        <v/>
      </c>
      <c r="X41" s="32">
        <f>IF(B41="",0,H41+I41)</f>
        <v/>
      </c>
      <c r="Y41" s="32">
        <f>N(Y40)+O41</f>
        <v/>
      </c>
      <c r="Z41" s="32">
        <f>IF(O41=1,Y41,"")</f>
        <v/>
      </c>
      <c r="AA41" s="32">
        <f>IF(AND(W41=1,G41="Not sure yet"),1,0)</f>
        <v/>
      </c>
      <c r="AB41" s="32">
        <f>N(AB40)+AA41</f>
        <v/>
      </c>
      <c r="AC41" s="32">
        <f>IF(AA41=1,AB41,"")</f>
        <v/>
      </c>
      <c r="AD41" s="32">
        <f>IF(D41="","",IF(LEN(D41)=10,"+1"&amp;D41,IF(AND(LEN(D41)=11,LEFT(D41,1)="1"),"+"&amp;D41,IF(LEFT(C41,1)="+","+"&amp;D41,D41))))</f>
        <v/>
      </c>
      <c r="AE41" s="32">
        <f>IF(B41="","",PROPER(IFERROR(LEFT(B41,FIND(" ",B41)-1),B41)))</f>
        <v/>
      </c>
      <c r="AF41" s="32">
        <f>SUBSTITUTE(SUBSTITUTE(SUBSTITUTE(SUBSTITUTE(SUBSTITUTE(SUBSTITUTE(SUBSTITUTE(SUBSTITUTE(SUBSTITUTE(SUBSTITUTE(AE41,"%","%25"),"&amp;","%26"),"#","%23"),"+","%2B"),"=","%3D"),"?","%3F"),CHAR(34),"%22"),CHAR(10),"%0A"),CHAR(13),"")," ","+")</f>
        <v/>
      </c>
      <c r="AG41" s="32">
        <f>IF(OR(AD41="",AE41=""),"",'Start Here'!$B$20&amp;"#p="&amp;SUBSTITUTE(AD41,"+","%2B")&amp;"&amp;n="&amp;AF41&amp;"&amp;m="&amp;SUBSTITUTE('Start Here'!$B$24,"{name}",AF41))</f>
        <v/>
      </c>
      <c r="AH41" s="32">
        <f>N(AH40)+W41</f>
        <v/>
      </c>
      <c r="AI41" s="32">
        <f>IF(W41=1,AH41,"")</f>
        <v/>
      </c>
    </row>
    <row r="42">
      <c r="A42" s="32">
        <f>IF(INDEX('Form Responses'!$A:$A,ROW())="","",INDEX('Form Responses'!$A:$A,ROW()))</f>
        <v/>
      </c>
      <c r="B42" s="32">
        <f>TRIM(INDEX('Form Responses'!$B:$B,ROW())&amp;"")</f>
        <v/>
      </c>
      <c r="C42" s="32">
        <f>IF(B42="","",TRIM(INDEX('Form Responses'!$C:$C,ROW())&amp;""))</f>
        <v/>
      </c>
      <c r="D42" s="32">
        <f>SUBSTITUTE(SUBSTITUTE(SUBSTITUTE(SUBSTITUTE(SUBSTITUTE(SUBSTITUTE(SUBSTITUTE(SUBSTITUTE(C42," ",""),"-",""),"(",""),")",""),".",""),"+",""),"/",""),CHAR(160),"")</f>
        <v/>
      </c>
      <c r="E42" s="32">
        <f>IF(LEN(D42)&gt;=10,RIGHT(D42,10),D42)</f>
        <v/>
      </c>
      <c r="F42" s="32">
        <f>IF(B42="","",TRIM(INDEX('Form Responses'!$D:$D,ROW())&amp;""))</f>
        <v/>
      </c>
      <c r="G42" s="32">
        <f>IF(B42="","",IF(LEFT(TRIM(INDEX('Form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" s="32">
        <f>IF(B42="","",MAX(0,IFERROR(INT(--(INDEX('Form Responses'!$F:$F,ROW())&amp;"")),1)))</f>
        <v/>
      </c>
      <c r="I42" s="32">
        <f>IF(B42="","",MAX(0,IFERROR(INT(--(INDEX('Form Responses'!$G:$G,ROW())&amp;"")),0)))</f>
        <v/>
      </c>
      <c r="J42" s="32">
        <f>IF(B42="","",TRIM(INDEX('Form Responses'!$H:$H,ROW())&amp;""))</f>
        <v/>
      </c>
      <c r="K42" s="32">
        <f>IF(B42="","",TRIM(INDEX('Form Responses'!$I:$I,ROW())&amp;""))</f>
        <v/>
      </c>
      <c r="L42" s="32">
        <f>IF(B42="","",TRIM(INDEX('Form Responses'!$J:$J,ROW())&amp;""))</f>
        <v/>
      </c>
      <c r="M42" s="32">
        <f>IF(B42="","",TRIM(INDEX('Form Responses'!$K:$K,ROW())&amp;""))</f>
        <v/>
      </c>
      <c r="N42" s="32">
        <f>IF(B42="","",IF(E42&lt;&gt;"","P"&amp;E42,"N"&amp;B42))</f>
        <v/>
      </c>
      <c r="O42" s="32">
        <f>IF(N42="",0,IF(COUNTIF(N43:N$602,N42)=0,1,0))</f>
        <v/>
      </c>
      <c r="P42" s="32">
        <f>IF(AND(O42=1,E42&lt;&gt;""),E42,"")</f>
        <v/>
      </c>
      <c r="Q42" s="32">
        <f>IF(O42=1,B42,"")</f>
        <v/>
      </c>
      <c r="R42" s="32">
        <f>IF(O42&lt;&gt;1,"",IF(E42&lt;&gt;"",IFERROR(MATCH(E42,Guests!$S$6:$S$505,0)+5,IFERROR(MATCH(B42,Guests!$A$6:$A$505,0)+5,"")),IFERROR(MATCH(B42,Guests!$A$6:$A$505,0)+5,"")))</f>
        <v/>
      </c>
      <c r="S42" s="32">
        <f>IF(R42="","",TRIM(INDEX(Guests!$E$1:$E$505,R42)&amp;""))</f>
        <v/>
      </c>
      <c r="T42" s="32">
        <f>IF(R42="","",IF(S42="",1,COUNTIF(Guests!$E$6:$E$505,S42)))</f>
        <v/>
      </c>
      <c r="U42" s="32">
        <f>IF(R42="","",IF(S42="",1,IF(COUNTIF(S$1:S41,S42)=0,1,0)))</f>
        <v/>
      </c>
      <c r="V42" s="32">
        <f>IF(AND(R42&lt;&gt;"",G42="Attending",U42=1),MAX(0,H42+I42-T42),0)</f>
        <v/>
      </c>
      <c r="W42" s="32">
        <f>IF(AND(O42=1,R42=""),1,0)</f>
        <v/>
      </c>
      <c r="X42" s="32">
        <f>IF(B42="",0,H42+I42)</f>
        <v/>
      </c>
      <c r="Y42" s="32">
        <f>N(Y41)+O42</f>
        <v/>
      </c>
      <c r="Z42" s="32">
        <f>IF(O42=1,Y42,"")</f>
        <v/>
      </c>
      <c r="AA42" s="32">
        <f>IF(AND(W42=1,G42="Not sure yet"),1,0)</f>
        <v/>
      </c>
      <c r="AB42" s="32">
        <f>N(AB41)+AA42</f>
        <v/>
      </c>
      <c r="AC42" s="32">
        <f>IF(AA42=1,AB42,"")</f>
        <v/>
      </c>
      <c r="AD42" s="32">
        <f>IF(D42="","",IF(LEN(D42)=10,"+1"&amp;D42,IF(AND(LEN(D42)=11,LEFT(D42,1)="1"),"+"&amp;D42,IF(LEFT(C42,1)="+","+"&amp;D42,D42))))</f>
        <v/>
      </c>
      <c r="AE42" s="32">
        <f>IF(B42="","",PROPER(IFERROR(LEFT(B42,FIND(" ",B42)-1),B42)))</f>
        <v/>
      </c>
      <c r="AF42" s="32">
        <f>SUBSTITUTE(SUBSTITUTE(SUBSTITUTE(SUBSTITUTE(SUBSTITUTE(SUBSTITUTE(SUBSTITUTE(SUBSTITUTE(SUBSTITUTE(SUBSTITUTE(AE42,"%","%25"),"&amp;","%26"),"#","%23"),"+","%2B"),"=","%3D"),"?","%3F"),CHAR(34),"%22"),CHAR(10),"%0A"),CHAR(13),"")," ","+")</f>
        <v/>
      </c>
      <c r="AG42" s="32">
        <f>IF(OR(AD42="",AE42=""),"",'Start Here'!$B$20&amp;"#p="&amp;SUBSTITUTE(AD42,"+","%2B")&amp;"&amp;n="&amp;AF42&amp;"&amp;m="&amp;SUBSTITUTE('Start Here'!$B$24,"{name}",AF42))</f>
        <v/>
      </c>
      <c r="AH42" s="32">
        <f>N(AH41)+W42</f>
        <v/>
      </c>
      <c r="AI42" s="32">
        <f>IF(W42=1,AH42,"")</f>
        <v/>
      </c>
    </row>
    <row r="43">
      <c r="A43" s="32">
        <f>IF(INDEX('Form Responses'!$A:$A,ROW())="","",INDEX('Form Responses'!$A:$A,ROW()))</f>
        <v/>
      </c>
      <c r="B43" s="32">
        <f>TRIM(INDEX('Form Responses'!$B:$B,ROW())&amp;"")</f>
        <v/>
      </c>
      <c r="C43" s="32">
        <f>IF(B43="","",TRIM(INDEX('Form Responses'!$C:$C,ROW())&amp;""))</f>
        <v/>
      </c>
      <c r="D43" s="32">
        <f>SUBSTITUTE(SUBSTITUTE(SUBSTITUTE(SUBSTITUTE(SUBSTITUTE(SUBSTITUTE(SUBSTITUTE(SUBSTITUTE(C43," ",""),"-",""),"(",""),")",""),".",""),"+",""),"/",""),CHAR(160),"")</f>
        <v/>
      </c>
      <c r="E43" s="32">
        <f>IF(LEN(D43)&gt;=10,RIGHT(D43,10),D43)</f>
        <v/>
      </c>
      <c r="F43" s="32">
        <f>IF(B43="","",TRIM(INDEX('Form Responses'!$D:$D,ROW())&amp;""))</f>
        <v/>
      </c>
      <c r="G43" s="32">
        <f>IF(B43="","",IF(LEFT(TRIM(INDEX('Form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" s="32">
        <f>IF(B43="","",MAX(0,IFERROR(INT(--(INDEX('Form Responses'!$F:$F,ROW())&amp;"")),1)))</f>
        <v/>
      </c>
      <c r="I43" s="32">
        <f>IF(B43="","",MAX(0,IFERROR(INT(--(INDEX('Form Responses'!$G:$G,ROW())&amp;"")),0)))</f>
        <v/>
      </c>
      <c r="J43" s="32">
        <f>IF(B43="","",TRIM(INDEX('Form Responses'!$H:$H,ROW())&amp;""))</f>
        <v/>
      </c>
      <c r="K43" s="32">
        <f>IF(B43="","",TRIM(INDEX('Form Responses'!$I:$I,ROW())&amp;""))</f>
        <v/>
      </c>
      <c r="L43" s="32">
        <f>IF(B43="","",TRIM(INDEX('Form Responses'!$J:$J,ROW())&amp;""))</f>
        <v/>
      </c>
      <c r="M43" s="32">
        <f>IF(B43="","",TRIM(INDEX('Form Responses'!$K:$K,ROW())&amp;""))</f>
        <v/>
      </c>
      <c r="N43" s="32">
        <f>IF(B43="","",IF(E43&lt;&gt;"","P"&amp;E43,"N"&amp;B43))</f>
        <v/>
      </c>
      <c r="O43" s="32">
        <f>IF(N43="",0,IF(COUNTIF(N44:N$602,N43)=0,1,0))</f>
        <v/>
      </c>
      <c r="P43" s="32">
        <f>IF(AND(O43=1,E43&lt;&gt;""),E43,"")</f>
        <v/>
      </c>
      <c r="Q43" s="32">
        <f>IF(O43=1,B43,"")</f>
        <v/>
      </c>
      <c r="R43" s="32">
        <f>IF(O43&lt;&gt;1,"",IF(E43&lt;&gt;"",IFERROR(MATCH(E43,Guests!$S$6:$S$505,0)+5,IFERROR(MATCH(B43,Guests!$A$6:$A$505,0)+5,"")),IFERROR(MATCH(B43,Guests!$A$6:$A$505,0)+5,"")))</f>
        <v/>
      </c>
      <c r="S43" s="32">
        <f>IF(R43="","",TRIM(INDEX(Guests!$E$1:$E$505,R43)&amp;""))</f>
        <v/>
      </c>
      <c r="T43" s="32">
        <f>IF(R43="","",IF(S43="",1,COUNTIF(Guests!$E$6:$E$505,S43)))</f>
        <v/>
      </c>
      <c r="U43" s="32">
        <f>IF(R43="","",IF(S43="",1,IF(COUNTIF(S$1:S42,S43)=0,1,0)))</f>
        <v/>
      </c>
      <c r="V43" s="32">
        <f>IF(AND(R43&lt;&gt;"",G43="Attending",U43=1),MAX(0,H43+I43-T43),0)</f>
        <v/>
      </c>
      <c r="W43" s="32">
        <f>IF(AND(O43=1,R43=""),1,0)</f>
        <v/>
      </c>
      <c r="X43" s="32">
        <f>IF(B43="",0,H43+I43)</f>
        <v/>
      </c>
      <c r="Y43" s="32">
        <f>N(Y42)+O43</f>
        <v/>
      </c>
      <c r="Z43" s="32">
        <f>IF(O43=1,Y43,"")</f>
        <v/>
      </c>
      <c r="AA43" s="32">
        <f>IF(AND(W43=1,G43="Not sure yet"),1,0)</f>
        <v/>
      </c>
      <c r="AB43" s="32">
        <f>N(AB42)+AA43</f>
        <v/>
      </c>
      <c r="AC43" s="32">
        <f>IF(AA43=1,AB43,"")</f>
        <v/>
      </c>
      <c r="AD43" s="32">
        <f>IF(D43="","",IF(LEN(D43)=10,"+1"&amp;D43,IF(AND(LEN(D43)=11,LEFT(D43,1)="1"),"+"&amp;D43,IF(LEFT(C43,1)="+","+"&amp;D43,D43))))</f>
        <v/>
      </c>
      <c r="AE43" s="32">
        <f>IF(B43="","",PROPER(IFERROR(LEFT(B43,FIND(" ",B43)-1),B43)))</f>
        <v/>
      </c>
      <c r="AF43" s="32">
        <f>SUBSTITUTE(SUBSTITUTE(SUBSTITUTE(SUBSTITUTE(SUBSTITUTE(SUBSTITUTE(SUBSTITUTE(SUBSTITUTE(SUBSTITUTE(SUBSTITUTE(AE43,"%","%25"),"&amp;","%26"),"#","%23"),"+","%2B"),"=","%3D"),"?","%3F"),CHAR(34),"%22"),CHAR(10),"%0A"),CHAR(13),"")," ","+")</f>
        <v/>
      </c>
      <c r="AG43" s="32">
        <f>IF(OR(AD43="",AE43=""),"",'Start Here'!$B$20&amp;"#p="&amp;SUBSTITUTE(AD43,"+","%2B")&amp;"&amp;n="&amp;AF43&amp;"&amp;m="&amp;SUBSTITUTE('Start Here'!$B$24,"{name}",AF43))</f>
        <v/>
      </c>
      <c r="AH43" s="32">
        <f>N(AH42)+W43</f>
        <v/>
      </c>
      <c r="AI43" s="32">
        <f>IF(W43=1,AH43,"")</f>
        <v/>
      </c>
    </row>
    <row r="44">
      <c r="A44" s="32">
        <f>IF(INDEX('Form Responses'!$A:$A,ROW())="","",INDEX('Form Responses'!$A:$A,ROW()))</f>
        <v/>
      </c>
      <c r="B44" s="32">
        <f>TRIM(INDEX('Form Responses'!$B:$B,ROW())&amp;"")</f>
        <v/>
      </c>
      <c r="C44" s="32">
        <f>IF(B44="","",TRIM(INDEX('Form Responses'!$C:$C,ROW())&amp;""))</f>
        <v/>
      </c>
      <c r="D44" s="32">
        <f>SUBSTITUTE(SUBSTITUTE(SUBSTITUTE(SUBSTITUTE(SUBSTITUTE(SUBSTITUTE(SUBSTITUTE(SUBSTITUTE(C44," ",""),"-",""),"(",""),")",""),".",""),"+",""),"/",""),CHAR(160),"")</f>
        <v/>
      </c>
      <c r="E44" s="32">
        <f>IF(LEN(D44)&gt;=10,RIGHT(D44,10),D44)</f>
        <v/>
      </c>
      <c r="F44" s="32">
        <f>IF(B44="","",TRIM(INDEX('Form Responses'!$D:$D,ROW())&amp;""))</f>
        <v/>
      </c>
      <c r="G44" s="32">
        <f>IF(B44="","",IF(LEFT(TRIM(INDEX('Form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" s="32">
        <f>IF(B44="","",MAX(0,IFERROR(INT(--(INDEX('Form Responses'!$F:$F,ROW())&amp;"")),1)))</f>
        <v/>
      </c>
      <c r="I44" s="32">
        <f>IF(B44="","",MAX(0,IFERROR(INT(--(INDEX('Form Responses'!$G:$G,ROW())&amp;"")),0)))</f>
        <v/>
      </c>
      <c r="J44" s="32">
        <f>IF(B44="","",TRIM(INDEX('Form Responses'!$H:$H,ROW())&amp;""))</f>
        <v/>
      </c>
      <c r="K44" s="32">
        <f>IF(B44="","",TRIM(INDEX('Form Responses'!$I:$I,ROW())&amp;""))</f>
        <v/>
      </c>
      <c r="L44" s="32">
        <f>IF(B44="","",TRIM(INDEX('Form Responses'!$J:$J,ROW())&amp;""))</f>
        <v/>
      </c>
      <c r="M44" s="32">
        <f>IF(B44="","",TRIM(INDEX('Form Responses'!$K:$K,ROW())&amp;""))</f>
        <v/>
      </c>
      <c r="N44" s="32">
        <f>IF(B44="","",IF(E44&lt;&gt;"","P"&amp;E44,"N"&amp;B44))</f>
        <v/>
      </c>
      <c r="O44" s="32">
        <f>IF(N44="",0,IF(COUNTIF(N45:N$602,N44)=0,1,0))</f>
        <v/>
      </c>
      <c r="P44" s="32">
        <f>IF(AND(O44=1,E44&lt;&gt;""),E44,"")</f>
        <v/>
      </c>
      <c r="Q44" s="32">
        <f>IF(O44=1,B44,"")</f>
        <v/>
      </c>
      <c r="R44" s="32">
        <f>IF(O44&lt;&gt;1,"",IF(E44&lt;&gt;"",IFERROR(MATCH(E44,Guests!$S$6:$S$505,0)+5,IFERROR(MATCH(B44,Guests!$A$6:$A$505,0)+5,"")),IFERROR(MATCH(B44,Guests!$A$6:$A$505,0)+5,"")))</f>
        <v/>
      </c>
      <c r="S44" s="32">
        <f>IF(R44="","",TRIM(INDEX(Guests!$E$1:$E$505,R44)&amp;""))</f>
        <v/>
      </c>
      <c r="T44" s="32">
        <f>IF(R44="","",IF(S44="",1,COUNTIF(Guests!$E$6:$E$505,S44)))</f>
        <v/>
      </c>
      <c r="U44" s="32">
        <f>IF(R44="","",IF(S44="",1,IF(COUNTIF(S$1:S43,S44)=0,1,0)))</f>
        <v/>
      </c>
      <c r="V44" s="32">
        <f>IF(AND(R44&lt;&gt;"",G44="Attending",U44=1),MAX(0,H44+I44-T44),0)</f>
        <v/>
      </c>
      <c r="W44" s="32">
        <f>IF(AND(O44=1,R44=""),1,0)</f>
        <v/>
      </c>
      <c r="X44" s="32">
        <f>IF(B44="",0,H44+I44)</f>
        <v/>
      </c>
      <c r="Y44" s="32">
        <f>N(Y43)+O44</f>
        <v/>
      </c>
      <c r="Z44" s="32">
        <f>IF(O44=1,Y44,"")</f>
        <v/>
      </c>
      <c r="AA44" s="32">
        <f>IF(AND(W44=1,G44="Not sure yet"),1,0)</f>
        <v/>
      </c>
      <c r="AB44" s="32">
        <f>N(AB43)+AA44</f>
        <v/>
      </c>
      <c r="AC44" s="32">
        <f>IF(AA44=1,AB44,"")</f>
        <v/>
      </c>
      <c r="AD44" s="32">
        <f>IF(D44="","",IF(LEN(D44)=10,"+1"&amp;D44,IF(AND(LEN(D44)=11,LEFT(D44,1)="1"),"+"&amp;D44,IF(LEFT(C44,1)="+","+"&amp;D44,D44))))</f>
        <v/>
      </c>
      <c r="AE44" s="32">
        <f>IF(B44="","",PROPER(IFERROR(LEFT(B44,FIND(" ",B44)-1),B44)))</f>
        <v/>
      </c>
      <c r="AF44" s="32">
        <f>SUBSTITUTE(SUBSTITUTE(SUBSTITUTE(SUBSTITUTE(SUBSTITUTE(SUBSTITUTE(SUBSTITUTE(SUBSTITUTE(SUBSTITUTE(SUBSTITUTE(AE44,"%","%25"),"&amp;","%26"),"#","%23"),"+","%2B"),"=","%3D"),"?","%3F"),CHAR(34),"%22"),CHAR(10),"%0A"),CHAR(13),"")," ","+")</f>
        <v/>
      </c>
      <c r="AG44" s="32">
        <f>IF(OR(AD44="",AE44=""),"",'Start Here'!$B$20&amp;"#p="&amp;SUBSTITUTE(AD44,"+","%2B")&amp;"&amp;n="&amp;AF44&amp;"&amp;m="&amp;SUBSTITUTE('Start Here'!$B$24,"{name}",AF44))</f>
        <v/>
      </c>
      <c r="AH44" s="32">
        <f>N(AH43)+W44</f>
        <v/>
      </c>
      <c r="AI44" s="32">
        <f>IF(W44=1,AH44,"")</f>
        <v/>
      </c>
    </row>
    <row r="45">
      <c r="A45" s="32">
        <f>IF(INDEX('Form Responses'!$A:$A,ROW())="","",INDEX('Form Responses'!$A:$A,ROW()))</f>
        <v/>
      </c>
      <c r="B45" s="32">
        <f>TRIM(INDEX('Form Responses'!$B:$B,ROW())&amp;"")</f>
        <v/>
      </c>
      <c r="C45" s="32">
        <f>IF(B45="","",TRIM(INDEX('Form Responses'!$C:$C,ROW())&amp;""))</f>
        <v/>
      </c>
      <c r="D45" s="32">
        <f>SUBSTITUTE(SUBSTITUTE(SUBSTITUTE(SUBSTITUTE(SUBSTITUTE(SUBSTITUTE(SUBSTITUTE(SUBSTITUTE(C45," ",""),"-",""),"(",""),")",""),".",""),"+",""),"/",""),CHAR(160),"")</f>
        <v/>
      </c>
      <c r="E45" s="32">
        <f>IF(LEN(D45)&gt;=10,RIGHT(D45,10),D45)</f>
        <v/>
      </c>
      <c r="F45" s="32">
        <f>IF(B45="","",TRIM(INDEX('Form Responses'!$D:$D,ROW())&amp;""))</f>
        <v/>
      </c>
      <c r="G45" s="32">
        <f>IF(B45="","",IF(LEFT(TRIM(INDEX('Form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" s="32">
        <f>IF(B45="","",MAX(0,IFERROR(INT(--(INDEX('Form Responses'!$F:$F,ROW())&amp;"")),1)))</f>
        <v/>
      </c>
      <c r="I45" s="32">
        <f>IF(B45="","",MAX(0,IFERROR(INT(--(INDEX('Form Responses'!$G:$G,ROW())&amp;"")),0)))</f>
        <v/>
      </c>
      <c r="J45" s="32">
        <f>IF(B45="","",TRIM(INDEX('Form Responses'!$H:$H,ROW())&amp;""))</f>
        <v/>
      </c>
      <c r="K45" s="32">
        <f>IF(B45="","",TRIM(INDEX('Form Responses'!$I:$I,ROW())&amp;""))</f>
        <v/>
      </c>
      <c r="L45" s="32">
        <f>IF(B45="","",TRIM(INDEX('Form Responses'!$J:$J,ROW())&amp;""))</f>
        <v/>
      </c>
      <c r="M45" s="32">
        <f>IF(B45="","",TRIM(INDEX('Form Responses'!$K:$K,ROW())&amp;""))</f>
        <v/>
      </c>
      <c r="N45" s="32">
        <f>IF(B45="","",IF(E45&lt;&gt;"","P"&amp;E45,"N"&amp;B45))</f>
        <v/>
      </c>
      <c r="O45" s="32">
        <f>IF(N45="",0,IF(COUNTIF(N46:N$602,N45)=0,1,0))</f>
        <v/>
      </c>
      <c r="P45" s="32">
        <f>IF(AND(O45=1,E45&lt;&gt;""),E45,"")</f>
        <v/>
      </c>
      <c r="Q45" s="32">
        <f>IF(O45=1,B45,"")</f>
        <v/>
      </c>
      <c r="R45" s="32">
        <f>IF(O45&lt;&gt;1,"",IF(E45&lt;&gt;"",IFERROR(MATCH(E45,Guests!$S$6:$S$505,0)+5,IFERROR(MATCH(B45,Guests!$A$6:$A$505,0)+5,"")),IFERROR(MATCH(B45,Guests!$A$6:$A$505,0)+5,"")))</f>
        <v/>
      </c>
      <c r="S45" s="32">
        <f>IF(R45="","",TRIM(INDEX(Guests!$E$1:$E$505,R45)&amp;""))</f>
        <v/>
      </c>
      <c r="T45" s="32">
        <f>IF(R45="","",IF(S45="",1,COUNTIF(Guests!$E$6:$E$505,S45)))</f>
        <v/>
      </c>
      <c r="U45" s="32">
        <f>IF(R45="","",IF(S45="",1,IF(COUNTIF(S$1:S44,S45)=0,1,0)))</f>
        <v/>
      </c>
      <c r="V45" s="32">
        <f>IF(AND(R45&lt;&gt;"",G45="Attending",U45=1),MAX(0,H45+I45-T45),0)</f>
        <v/>
      </c>
      <c r="W45" s="32">
        <f>IF(AND(O45=1,R45=""),1,0)</f>
        <v/>
      </c>
      <c r="X45" s="32">
        <f>IF(B45="",0,H45+I45)</f>
        <v/>
      </c>
      <c r="Y45" s="32">
        <f>N(Y44)+O45</f>
        <v/>
      </c>
      <c r="Z45" s="32">
        <f>IF(O45=1,Y45,"")</f>
        <v/>
      </c>
      <c r="AA45" s="32">
        <f>IF(AND(W45=1,G45="Not sure yet"),1,0)</f>
        <v/>
      </c>
      <c r="AB45" s="32">
        <f>N(AB44)+AA45</f>
        <v/>
      </c>
      <c r="AC45" s="32">
        <f>IF(AA45=1,AB45,"")</f>
        <v/>
      </c>
      <c r="AD45" s="32">
        <f>IF(D45="","",IF(LEN(D45)=10,"+1"&amp;D45,IF(AND(LEN(D45)=11,LEFT(D45,1)="1"),"+"&amp;D45,IF(LEFT(C45,1)="+","+"&amp;D45,D45))))</f>
        <v/>
      </c>
      <c r="AE45" s="32">
        <f>IF(B45="","",PROPER(IFERROR(LEFT(B45,FIND(" ",B45)-1),B45)))</f>
        <v/>
      </c>
      <c r="AF45" s="32">
        <f>SUBSTITUTE(SUBSTITUTE(SUBSTITUTE(SUBSTITUTE(SUBSTITUTE(SUBSTITUTE(SUBSTITUTE(SUBSTITUTE(SUBSTITUTE(SUBSTITUTE(AE45,"%","%25"),"&amp;","%26"),"#","%23"),"+","%2B"),"=","%3D"),"?","%3F"),CHAR(34),"%22"),CHAR(10),"%0A"),CHAR(13),"")," ","+")</f>
        <v/>
      </c>
      <c r="AG45" s="32">
        <f>IF(OR(AD45="",AE45=""),"",'Start Here'!$B$20&amp;"#p="&amp;SUBSTITUTE(AD45,"+","%2B")&amp;"&amp;n="&amp;AF45&amp;"&amp;m="&amp;SUBSTITUTE('Start Here'!$B$24,"{name}",AF45))</f>
        <v/>
      </c>
      <c r="AH45" s="32">
        <f>N(AH44)+W45</f>
        <v/>
      </c>
      <c r="AI45" s="32">
        <f>IF(W45=1,AH45,"")</f>
        <v/>
      </c>
    </row>
    <row r="46">
      <c r="A46" s="32">
        <f>IF(INDEX('Form Responses'!$A:$A,ROW())="","",INDEX('Form Responses'!$A:$A,ROW()))</f>
        <v/>
      </c>
      <c r="B46" s="32">
        <f>TRIM(INDEX('Form Responses'!$B:$B,ROW())&amp;"")</f>
        <v/>
      </c>
      <c r="C46" s="32">
        <f>IF(B46="","",TRIM(INDEX('Form Responses'!$C:$C,ROW())&amp;""))</f>
        <v/>
      </c>
      <c r="D46" s="32">
        <f>SUBSTITUTE(SUBSTITUTE(SUBSTITUTE(SUBSTITUTE(SUBSTITUTE(SUBSTITUTE(SUBSTITUTE(SUBSTITUTE(C46," ",""),"-",""),"(",""),")",""),".",""),"+",""),"/",""),CHAR(160),"")</f>
        <v/>
      </c>
      <c r="E46" s="32">
        <f>IF(LEN(D46)&gt;=10,RIGHT(D46,10),D46)</f>
        <v/>
      </c>
      <c r="F46" s="32">
        <f>IF(B46="","",TRIM(INDEX('Form Responses'!$D:$D,ROW())&amp;""))</f>
        <v/>
      </c>
      <c r="G46" s="32">
        <f>IF(B46="","",IF(LEFT(TRIM(INDEX('Form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" s="32">
        <f>IF(B46="","",MAX(0,IFERROR(INT(--(INDEX('Form Responses'!$F:$F,ROW())&amp;"")),1)))</f>
        <v/>
      </c>
      <c r="I46" s="32">
        <f>IF(B46="","",MAX(0,IFERROR(INT(--(INDEX('Form Responses'!$G:$G,ROW())&amp;"")),0)))</f>
        <v/>
      </c>
      <c r="J46" s="32">
        <f>IF(B46="","",TRIM(INDEX('Form Responses'!$H:$H,ROW())&amp;""))</f>
        <v/>
      </c>
      <c r="K46" s="32">
        <f>IF(B46="","",TRIM(INDEX('Form Responses'!$I:$I,ROW())&amp;""))</f>
        <v/>
      </c>
      <c r="L46" s="32">
        <f>IF(B46="","",TRIM(INDEX('Form Responses'!$J:$J,ROW())&amp;""))</f>
        <v/>
      </c>
      <c r="M46" s="32">
        <f>IF(B46="","",TRIM(INDEX('Form Responses'!$K:$K,ROW())&amp;""))</f>
        <v/>
      </c>
      <c r="N46" s="32">
        <f>IF(B46="","",IF(E46&lt;&gt;"","P"&amp;E46,"N"&amp;B46))</f>
        <v/>
      </c>
      <c r="O46" s="32">
        <f>IF(N46="",0,IF(COUNTIF(N47:N$602,N46)=0,1,0))</f>
        <v/>
      </c>
      <c r="P46" s="32">
        <f>IF(AND(O46=1,E46&lt;&gt;""),E46,"")</f>
        <v/>
      </c>
      <c r="Q46" s="32">
        <f>IF(O46=1,B46,"")</f>
        <v/>
      </c>
      <c r="R46" s="32">
        <f>IF(O46&lt;&gt;1,"",IF(E46&lt;&gt;"",IFERROR(MATCH(E46,Guests!$S$6:$S$505,0)+5,IFERROR(MATCH(B46,Guests!$A$6:$A$505,0)+5,"")),IFERROR(MATCH(B46,Guests!$A$6:$A$505,0)+5,"")))</f>
        <v/>
      </c>
      <c r="S46" s="32">
        <f>IF(R46="","",TRIM(INDEX(Guests!$E$1:$E$505,R46)&amp;""))</f>
        <v/>
      </c>
      <c r="T46" s="32">
        <f>IF(R46="","",IF(S46="",1,COUNTIF(Guests!$E$6:$E$505,S46)))</f>
        <v/>
      </c>
      <c r="U46" s="32">
        <f>IF(R46="","",IF(S46="",1,IF(COUNTIF(S$1:S45,S46)=0,1,0)))</f>
        <v/>
      </c>
      <c r="V46" s="32">
        <f>IF(AND(R46&lt;&gt;"",G46="Attending",U46=1),MAX(0,H46+I46-T46),0)</f>
        <v/>
      </c>
      <c r="W46" s="32">
        <f>IF(AND(O46=1,R46=""),1,0)</f>
        <v/>
      </c>
      <c r="X46" s="32">
        <f>IF(B46="",0,H46+I46)</f>
        <v/>
      </c>
      <c r="Y46" s="32">
        <f>N(Y45)+O46</f>
        <v/>
      </c>
      <c r="Z46" s="32">
        <f>IF(O46=1,Y46,"")</f>
        <v/>
      </c>
      <c r="AA46" s="32">
        <f>IF(AND(W46=1,G46="Not sure yet"),1,0)</f>
        <v/>
      </c>
      <c r="AB46" s="32">
        <f>N(AB45)+AA46</f>
        <v/>
      </c>
      <c r="AC46" s="32">
        <f>IF(AA46=1,AB46,"")</f>
        <v/>
      </c>
      <c r="AD46" s="32">
        <f>IF(D46="","",IF(LEN(D46)=10,"+1"&amp;D46,IF(AND(LEN(D46)=11,LEFT(D46,1)="1"),"+"&amp;D46,IF(LEFT(C46,1)="+","+"&amp;D46,D46))))</f>
        <v/>
      </c>
      <c r="AE46" s="32">
        <f>IF(B46="","",PROPER(IFERROR(LEFT(B46,FIND(" ",B46)-1),B46)))</f>
        <v/>
      </c>
      <c r="AF46" s="32">
        <f>SUBSTITUTE(SUBSTITUTE(SUBSTITUTE(SUBSTITUTE(SUBSTITUTE(SUBSTITUTE(SUBSTITUTE(SUBSTITUTE(SUBSTITUTE(SUBSTITUTE(AE46,"%","%25"),"&amp;","%26"),"#","%23"),"+","%2B"),"=","%3D"),"?","%3F"),CHAR(34),"%22"),CHAR(10),"%0A"),CHAR(13),"")," ","+")</f>
        <v/>
      </c>
      <c r="AG46" s="32">
        <f>IF(OR(AD46="",AE46=""),"",'Start Here'!$B$20&amp;"#p="&amp;SUBSTITUTE(AD46,"+","%2B")&amp;"&amp;n="&amp;AF46&amp;"&amp;m="&amp;SUBSTITUTE('Start Here'!$B$24,"{name}",AF46))</f>
        <v/>
      </c>
      <c r="AH46" s="32">
        <f>N(AH45)+W46</f>
        <v/>
      </c>
      <c r="AI46" s="32">
        <f>IF(W46=1,AH46,"")</f>
        <v/>
      </c>
    </row>
    <row r="47">
      <c r="A47" s="32">
        <f>IF(INDEX('Form Responses'!$A:$A,ROW())="","",INDEX('Form Responses'!$A:$A,ROW()))</f>
        <v/>
      </c>
      <c r="B47" s="32">
        <f>TRIM(INDEX('Form Responses'!$B:$B,ROW())&amp;"")</f>
        <v/>
      </c>
      <c r="C47" s="32">
        <f>IF(B47="","",TRIM(INDEX('Form Responses'!$C:$C,ROW())&amp;""))</f>
        <v/>
      </c>
      <c r="D47" s="32">
        <f>SUBSTITUTE(SUBSTITUTE(SUBSTITUTE(SUBSTITUTE(SUBSTITUTE(SUBSTITUTE(SUBSTITUTE(SUBSTITUTE(C47," ",""),"-",""),"(",""),")",""),".",""),"+",""),"/",""),CHAR(160),"")</f>
        <v/>
      </c>
      <c r="E47" s="32">
        <f>IF(LEN(D47)&gt;=10,RIGHT(D47,10),D47)</f>
        <v/>
      </c>
      <c r="F47" s="32">
        <f>IF(B47="","",TRIM(INDEX('Form Responses'!$D:$D,ROW())&amp;""))</f>
        <v/>
      </c>
      <c r="G47" s="32">
        <f>IF(B47="","",IF(LEFT(TRIM(INDEX('Form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" s="32">
        <f>IF(B47="","",MAX(0,IFERROR(INT(--(INDEX('Form Responses'!$F:$F,ROW())&amp;"")),1)))</f>
        <v/>
      </c>
      <c r="I47" s="32">
        <f>IF(B47="","",MAX(0,IFERROR(INT(--(INDEX('Form Responses'!$G:$G,ROW())&amp;"")),0)))</f>
        <v/>
      </c>
      <c r="J47" s="32">
        <f>IF(B47="","",TRIM(INDEX('Form Responses'!$H:$H,ROW())&amp;""))</f>
        <v/>
      </c>
      <c r="K47" s="32">
        <f>IF(B47="","",TRIM(INDEX('Form Responses'!$I:$I,ROW())&amp;""))</f>
        <v/>
      </c>
      <c r="L47" s="32">
        <f>IF(B47="","",TRIM(INDEX('Form Responses'!$J:$J,ROW())&amp;""))</f>
        <v/>
      </c>
      <c r="M47" s="32">
        <f>IF(B47="","",TRIM(INDEX('Form Responses'!$K:$K,ROW())&amp;""))</f>
        <v/>
      </c>
      <c r="N47" s="32">
        <f>IF(B47="","",IF(E47&lt;&gt;"","P"&amp;E47,"N"&amp;B47))</f>
        <v/>
      </c>
      <c r="O47" s="32">
        <f>IF(N47="",0,IF(COUNTIF(N48:N$602,N47)=0,1,0))</f>
        <v/>
      </c>
      <c r="P47" s="32">
        <f>IF(AND(O47=1,E47&lt;&gt;""),E47,"")</f>
        <v/>
      </c>
      <c r="Q47" s="32">
        <f>IF(O47=1,B47,"")</f>
        <v/>
      </c>
      <c r="R47" s="32">
        <f>IF(O47&lt;&gt;1,"",IF(E47&lt;&gt;"",IFERROR(MATCH(E47,Guests!$S$6:$S$505,0)+5,IFERROR(MATCH(B47,Guests!$A$6:$A$505,0)+5,"")),IFERROR(MATCH(B47,Guests!$A$6:$A$505,0)+5,"")))</f>
        <v/>
      </c>
      <c r="S47" s="32">
        <f>IF(R47="","",TRIM(INDEX(Guests!$E$1:$E$505,R47)&amp;""))</f>
        <v/>
      </c>
      <c r="T47" s="32">
        <f>IF(R47="","",IF(S47="",1,COUNTIF(Guests!$E$6:$E$505,S47)))</f>
        <v/>
      </c>
      <c r="U47" s="32">
        <f>IF(R47="","",IF(S47="",1,IF(COUNTIF(S$1:S46,S47)=0,1,0)))</f>
        <v/>
      </c>
      <c r="V47" s="32">
        <f>IF(AND(R47&lt;&gt;"",G47="Attending",U47=1),MAX(0,H47+I47-T47),0)</f>
        <v/>
      </c>
      <c r="W47" s="32">
        <f>IF(AND(O47=1,R47=""),1,0)</f>
        <v/>
      </c>
      <c r="X47" s="32">
        <f>IF(B47="",0,H47+I47)</f>
        <v/>
      </c>
      <c r="Y47" s="32">
        <f>N(Y46)+O47</f>
        <v/>
      </c>
      <c r="Z47" s="32">
        <f>IF(O47=1,Y47,"")</f>
        <v/>
      </c>
      <c r="AA47" s="32">
        <f>IF(AND(W47=1,G47="Not sure yet"),1,0)</f>
        <v/>
      </c>
      <c r="AB47" s="32">
        <f>N(AB46)+AA47</f>
        <v/>
      </c>
      <c r="AC47" s="32">
        <f>IF(AA47=1,AB47,"")</f>
        <v/>
      </c>
      <c r="AD47" s="32">
        <f>IF(D47="","",IF(LEN(D47)=10,"+1"&amp;D47,IF(AND(LEN(D47)=11,LEFT(D47,1)="1"),"+"&amp;D47,IF(LEFT(C47,1)="+","+"&amp;D47,D47))))</f>
        <v/>
      </c>
      <c r="AE47" s="32">
        <f>IF(B47="","",PROPER(IFERROR(LEFT(B47,FIND(" ",B47)-1),B47)))</f>
        <v/>
      </c>
      <c r="AF47" s="32">
        <f>SUBSTITUTE(SUBSTITUTE(SUBSTITUTE(SUBSTITUTE(SUBSTITUTE(SUBSTITUTE(SUBSTITUTE(SUBSTITUTE(SUBSTITUTE(SUBSTITUTE(AE47,"%","%25"),"&amp;","%26"),"#","%23"),"+","%2B"),"=","%3D"),"?","%3F"),CHAR(34),"%22"),CHAR(10),"%0A"),CHAR(13),"")," ","+")</f>
        <v/>
      </c>
      <c r="AG47" s="32">
        <f>IF(OR(AD47="",AE47=""),"",'Start Here'!$B$20&amp;"#p="&amp;SUBSTITUTE(AD47,"+","%2B")&amp;"&amp;n="&amp;AF47&amp;"&amp;m="&amp;SUBSTITUTE('Start Here'!$B$24,"{name}",AF47))</f>
        <v/>
      </c>
      <c r="AH47" s="32">
        <f>N(AH46)+W47</f>
        <v/>
      </c>
      <c r="AI47" s="32">
        <f>IF(W47=1,AH47,"")</f>
        <v/>
      </c>
    </row>
    <row r="48">
      <c r="A48" s="32">
        <f>IF(INDEX('Form Responses'!$A:$A,ROW())="","",INDEX('Form Responses'!$A:$A,ROW()))</f>
        <v/>
      </c>
      <c r="B48" s="32">
        <f>TRIM(INDEX('Form Responses'!$B:$B,ROW())&amp;"")</f>
        <v/>
      </c>
      <c r="C48" s="32">
        <f>IF(B48="","",TRIM(INDEX('Form Responses'!$C:$C,ROW())&amp;""))</f>
        <v/>
      </c>
      <c r="D48" s="32">
        <f>SUBSTITUTE(SUBSTITUTE(SUBSTITUTE(SUBSTITUTE(SUBSTITUTE(SUBSTITUTE(SUBSTITUTE(SUBSTITUTE(C48," ",""),"-",""),"(",""),")",""),".",""),"+",""),"/",""),CHAR(160),"")</f>
        <v/>
      </c>
      <c r="E48" s="32">
        <f>IF(LEN(D48)&gt;=10,RIGHT(D48,10),D48)</f>
        <v/>
      </c>
      <c r="F48" s="32">
        <f>IF(B48="","",TRIM(INDEX('Form Responses'!$D:$D,ROW())&amp;""))</f>
        <v/>
      </c>
      <c r="G48" s="32">
        <f>IF(B48="","",IF(LEFT(TRIM(INDEX('Form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" s="32">
        <f>IF(B48="","",MAX(0,IFERROR(INT(--(INDEX('Form Responses'!$F:$F,ROW())&amp;"")),1)))</f>
        <v/>
      </c>
      <c r="I48" s="32">
        <f>IF(B48="","",MAX(0,IFERROR(INT(--(INDEX('Form Responses'!$G:$G,ROW())&amp;"")),0)))</f>
        <v/>
      </c>
      <c r="J48" s="32">
        <f>IF(B48="","",TRIM(INDEX('Form Responses'!$H:$H,ROW())&amp;""))</f>
        <v/>
      </c>
      <c r="K48" s="32">
        <f>IF(B48="","",TRIM(INDEX('Form Responses'!$I:$I,ROW())&amp;""))</f>
        <v/>
      </c>
      <c r="L48" s="32">
        <f>IF(B48="","",TRIM(INDEX('Form Responses'!$J:$J,ROW())&amp;""))</f>
        <v/>
      </c>
      <c r="M48" s="32">
        <f>IF(B48="","",TRIM(INDEX('Form Responses'!$K:$K,ROW())&amp;""))</f>
        <v/>
      </c>
      <c r="N48" s="32">
        <f>IF(B48="","",IF(E48&lt;&gt;"","P"&amp;E48,"N"&amp;B48))</f>
        <v/>
      </c>
      <c r="O48" s="32">
        <f>IF(N48="",0,IF(COUNTIF(N49:N$602,N48)=0,1,0))</f>
        <v/>
      </c>
      <c r="P48" s="32">
        <f>IF(AND(O48=1,E48&lt;&gt;""),E48,"")</f>
        <v/>
      </c>
      <c r="Q48" s="32">
        <f>IF(O48=1,B48,"")</f>
        <v/>
      </c>
      <c r="R48" s="32">
        <f>IF(O48&lt;&gt;1,"",IF(E48&lt;&gt;"",IFERROR(MATCH(E48,Guests!$S$6:$S$505,0)+5,IFERROR(MATCH(B48,Guests!$A$6:$A$505,0)+5,"")),IFERROR(MATCH(B48,Guests!$A$6:$A$505,0)+5,"")))</f>
        <v/>
      </c>
      <c r="S48" s="32">
        <f>IF(R48="","",TRIM(INDEX(Guests!$E$1:$E$505,R48)&amp;""))</f>
        <v/>
      </c>
      <c r="T48" s="32">
        <f>IF(R48="","",IF(S48="",1,COUNTIF(Guests!$E$6:$E$505,S48)))</f>
        <v/>
      </c>
      <c r="U48" s="32">
        <f>IF(R48="","",IF(S48="",1,IF(COUNTIF(S$1:S47,S48)=0,1,0)))</f>
        <v/>
      </c>
      <c r="V48" s="32">
        <f>IF(AND(R48&lt;&gt;"",G48="Attending",U48=1),MAX(0,H48+I48-T48),0)</f>
        <v/>
      </c>
      <c r="W48" s="32">
        <f>IF(AND(O48=1,R48=""),1,0)</f>
        <v/>
      </c>
      <c r="X48" s="32">
        <f>IF(B48="",0,H48+I48)</f>
        <v/>
      </c>
      <c r="Y48" s="32">
        <f>N(Y47)+O48</f>
        <v/>
      </c>
      <c r="Z48" s="32">
        <f>IF(O48=1,Y48,"")</f>
        <v/>
      </c>
      <c r="AA48" s="32">
        <f>IF(AND(W48=1,G48="Not sure yet"),1,0)</f>
        <v/>
      </c>
      <c r="AB48" s="32">
        <f>N(AB47)+AA48</f>
        <v/>
      </c>
      <c r="AC48" s="32">
        <f>IF(AA48=1,AB48,"")</f>
        <v/>
      </c>
      <c r="AD48" s="32">
        <f>IF(D48="","",IF(LEN(D48)=10,"+1"&amp;D48,IF(AND(LEN(D48)=11,LEFT(D48,1)="1"),"+"&amp;D48,IF(LEFT(C48,1)="+","+"&amp;D48,D48))))</f>
        <v/>
      </c>
      <c r="AE48" s="32">
        <f>IF(B48="","",PROPER(IFERROR(LEFT(B48,FIND(" ",B48)-1),B48)))</f>
        <v/>
      </c>
      <c r="AF48" s="32">
        <f>SUBSTITUTE(SUBSTITUTE(SUBSTITUTE(SUBSTITUTE(SUBSTITUTE(SUBSTITUTE(SUBSTITUTE(SUBSTITUTE(SUBSTITUTE(SUBSTITUTE(AE48,"%","%25"),"&amp;","%26"),"#","%23"),"+","%2B"),"=","%3D"),"?","%3F"),CHAR(34),"%22"),CHAR(10),"%0A"),CHAR(13),"")," ","+")</f>
        <v/>
      </c>
      <c r="AG48" s="32">
        <f>IF(OR(AD48="",AE48=""),"",'Start Here'!$B$20&amp;"#p="&amp;SUBSTITUTE(AD48,"+","%2B")&amp;"&amp;n="&amp;AF48&amp;"&amp;m="&amp;SUBSTITUTE('Start Here'!$B$24,"{name}",AF48))</f>
        <v/>
      </c>
      <c r="AH48" s="32">
        <f>N(AH47)+W48</f>
        <v/>
      </c>
      <c r="AI48" s="32">
        <f>IF(W48=1,AH48,"")</f>
        <v/>
      </c>
    </row>
    <row r="49">
      <c r="A49" s="32">
        <f>IF(INDEX('Form Responses'!$A:$A,ROW())="","",INDEX('Form Responses'!$A:$A,ROW()))</f>
        <v/>
      </c>
      <c r="B49" s="32">
        <f>TRIM(INDEX('Form Responses'!$B:$B,ROW())&amp;"")</f>
        <v/>
      </c>
      <c r="C49" s="32">
        <f>IF(B49="","",TRIM(INDEX('Form Responses'!$C:$C,ROW())&amp;""))</f>
        <v/>
      </c>
      <c r="D49" s="32">
        <f>SUBSTITUTE(SUBSTITUTE(SUBSTITUTE(SUBSTITUTE(SUBSTITUTE(SUBSTITUTE(SUBSTITUTE(SUBSTITUTE(C49," ",""),"-",""),"(",""),")",""),".",""),"+",""),"/",""),CHAR(160),"")</f>
        <v/>
      </c>
      <c r="E49" s="32">
        <f>IF(LEN(D49)&gt;=10,RIGHT(D49,10),D49)</f>
        <v/>
      </c>
      <c r="F49" s="32">
        <f>IF(B49="","",TRIM(INDEX('Form Responses'!$D:$D,ROW())&amp;""))</f>
        <v/>
      </c>
      <c r="G49" s="32">
        <f>IF(B49="","",IF(LEFT(TRIM(INDEX('Form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" s="32">
        <f>IF(B49="","",MAX(0,IFERROR(INT(--(INDEX('Form Responses'!$F:$F,ROW())&amp;"")),1)))</f>
        <v/>
      </c>
      <c r="I49" s="32">
        <f>IF(B49="","",MAX(0,IFERROR(INT(--(INDEX('Form Responses'!$G:$G,ROW())&amp;"")),0)))</f>
        <v/>
      </c>
      <c r="J49" s="32">
        <f>IF(B49="","",TRIM(INDEX('Form Responses'!$H:$H,ROW())&amp;""))</f>
        <v/>
      </c>
      <c r="K49" s="32">
        <f>IF(B49="","",TRIM(INDEX('Form Responses'!$I:$I,ROW())&amp;""))</f>
        <v/>
      </c>
      <c r="L49" s="32">
        <f>IF(B49="","",TRIM(INDEX('Form Responses'!$J:$J,ROW())&amp;""))</f>
        <v/>
      </c>
      <c r="M49" s="32">
        <f>IF(B49="","",TRIM(INDEX('Form Responses'!$K:$K,ROW())&amp;""))</f>
        <v/>
      </c>
      <c r="N49" s="32">
        <f>IF(B49="","",IF(E49&lt;&gt;"","P"&amp;E49,"N"&amp;B49))</f>
        <v/>
      </c>
      <c r="O49" s="32">
        <f>IF(N49="",0,IF(COUNTIF(N50:N$602,N49)=0,1,0))</f>
        <v/>
      </c>
      <c r="P49" s="32">
        <f>IF(AND(O49=1,E49&lt;&gt;""),E49,"")</f>
        <v/>
      </c>
      <c r="Q49" s="32">
        <f>IF(O49=1,B49,"")</f>
        <v/>
      </c>
      <c r="R49" s="32">
        <f>IF(O49&lt;&gt;1,"",IF(E49&lt;&gt;"",IFERROR(MATCH(E49,Guests!$S$6:$S$505,0)+5,IFERROR(MATCH(B49,Guests!$A$6:$A$505,0)+5,"")),IFERROR(MATCH(B49,Guests!$A$6:$A$505,0)+5,"")))</f>
        <v/>
      </c>
      <c r="S49" s="32">
        <f>IF(R49="","",TRIM(INDEX(Guests!$E$1:$E$505,R49)&amp;""))</f>
        <v/>
      </c>
      <c r="T49" s="32">
        <f>IF(R49="","",IF(S49="",1,COUNTIF(Guests!$E$6:$E$505,S49)))</f>
        <v/>
      </c>
      <c r="U49" s="32">
        <f>IF(R49="","",IF(S49="",1,IF(COUNTIF(S$1:S48,S49)=0,1,0)))</f>
        <v/>
      </c>
      <c r="V49" s="32">
        <f>IF(AND(R49&lt;&gt;"",G49="Attending",U49=1),MAX(0,H49+I49-T49),0)</f>
        <v/>
      </c>
      <c r="W49" s="32">
        <f>IF(AND(O49=1,R49=""),1,0)</f>
        <v/>
      </c>
      <c r="X49" s="32">
        <f>IF(B49="",0,H49+I49)</f>
        <v/>
      </c>
      <c r="Y49" s="32">
        <f>N(Y48)+O49</f>
        <v/>
      </c>
      <c r="Z49" s="32">
        <f>IF(O49=1,Y49,"")</f>
        <v/>
      </c>
      <c r="AA49" s="32">
        <f>IF(AND(W49=1,G49="Not sure yet"),1,0)</f>
        <v/>
      </c>
      <c r="AB49" s="32">
        <f>N(AB48)+AA49</f>
        <v/>
      </c>
      <c r="AC49" s="32">
        <f>IF(AA49=1,AB49,"")</f>
        <v/>
      </c>
      <c r="AD49" s="32">
        <f>IF(D49="","",IF(LEN(D49)=10,"+1"&amp;D49,IF(AND(LEN(D49)=11,LEFT(D49,1)="1"),"+"&amp;D49,IF(LEFT(C49,1)="+","+"&amp;D49,D49))))</f>
        <v/>
      </c>
      <c r="AE49" s="32">
        <f>IF(B49="","",PROPER(IFERROR(LEFT(B49,FIND(" ",B49)-1),B49)))</f>
        <v/>
      </c>
      <c r="AF49" s="32">
        <f>SUBSTITUTE(SUBSTITUTE(SUBSTITUTE(SUBSTITUTE(SUBSTITUTE(SUBSTITUTE(SUBSTITUTE(SUBSTITUTE(SUBSTITUTE(SUBSTITUTE(AE49,"%","%25"),"&amp;","%26"),"#","%23"),"+","%2B"),"=","%3D"),"?","%3F"),CHAR(34),"%22"),CHAR(10),"%0A"),CHAR(13),"")," ","+")</f>
        <v/>
      </c>
      <c r="AG49" s="32">
        <f>IF(OR(AD49="",AE49=""),"",'Start Here'!$B$20&amp;"#p="&amp;SUBSTITUTE(AD49,"+","%2B")&amp;"&amp;n="&amp;AF49&amp;"&amp;m="&amp;SUBSTITUTE('Start Here'!$B$24,"{name}",AF49))</f>
        <v/>
      </c>
      <c r="AH49" s="32">
        <f>N(AH48)+W49</f>
        <v/>
      </c>
      <c r="AI49" s="32">
        <f>IF(W49=1,AH49,"")</f>
        <v/>
      </c>
    </row>
    <row r="50">
      <c r="A50" s="32">
        <f>IF(INDEX('Form Responses'!$A:$A,ROW())="","",INDEX('Form Responses'!$A:$A,ROW()))</f>
        <v/>
      </c>
      <c r="B50" s="32">
        <f>TRIM(INDEX('Form Responses'!$B:$B,ROW())&amp;"")</f>
        <v/>
      </c>
      <c r="C50" s="32">
        <f>IF(B50="","",TRIM(INDEX('Form Responses'!$C:$C,ROW())&amp;""))</f>
        <v/>
      </c>
      <c r="D50" s="32">
        <f>SUBSTITUTE(SUBSTITUTE(SUBSTITUTE(SUBSTITUTE(SUBSTITUTE(SUBSTITUTE(SUBSTITUTE(SUBSTITUTE(C50," ",""),"-",""),"(",""),")",""),".",""),"+",""),"/",""),CHAR(160),"")</f>
        <v/>
      </c>
      <c r="E50" s="32">
        <f>IF(LEN(D50)&gt;=10,RIGHT(D50,10),D50)</f>
        <v/>
      </c>
      <c r="F50" s="32">
        <f>IF(B50="","",TRIM(INDEX('Form Responses'!$D:$D,ROW())&amp;""))</f>
        <v/>
      </c>
      <c r="G50" s="32">
        <f>IF(B50="","",IF(LEFT(TRIM(INDEX('Form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" s="32">
        <f>IF(B50="","",MAX(0,IFERROR(INT(--(INDEX('Form Responses'!$F:$F,ROW())&amp;"")),1)))</f>
        <v/>
      </c>
      <c r="I50" s="32">
        <f>IF(B50="","",MAX(0,IFERROR(INT(--(INDEX('Form Responses'!$G:$G,ROW())&amp;"")),0)))</f>
        <v/>
      </c>
      <c r="J50" s="32">
        <f>IF(B50="","",TRIM(INDEX('Form Responses'!$H:$H,ROW())&amp;""))</f>
        <v/>
      </c>
      <c r="K50" s="32">
        <f>IF(B50="","",TRIM(INDEX('Form Responses'!$I:$I,ROW())&amp;""))</f>
        <v/>
      </c>
      <c r="L50" s="32">
        <f>IF(B50="","",TRIM(INDEX('Form Responses'!$J:$J,ROW())&amp;""))</f>
        <v/>
      </c>
      <c r="M50" s="32">
        <f>IF(B50="","",TRIM(INDEX('Form Responses'!$K:$K,ROW())&amp;""))</f>
        <v/>
      </c>
      <c r="N50" s="32">
        <f>IF(B50="","",IF(E50&lt;&gt;"","P"&amp;E50,"N"&amp;B50))</f>
        <v/>
      </c>
      <c r="O50" s="32">
        <f>IF(N50="",0,IF(COUNTIF(N51:N$602,N50)=0,1,0))</f>
        <v/>
      </c>
      <c r="P50" s="32">
        <f>IF(AND(O50=1,E50&lt;&gt;""),E50,"")</f>
        <v/>
      </c>
      <c r="Q50" s="32">
        <f>IF(O50=1,B50,"")</f>
        <v/>
      </c>
      <c r="R50" s="32">
        <f>IF(O50&lt;&gt;1,"",IF(E50&lt;&gt;"",IFERROR(MATCH(E50,Guests!$S$6:$S$505,0)+5,IFERROR(MATCH(B50,Guests!$A$6:$A$505,0)+5,"")),IFERROR(MATCH(B50,Guests!$A$6:$A$505,0)+5,"")))</f>
        <v/>
      </c>
      <c r="S50" s="32">
        <f>IF(R50="","",TRIM(INDEX(Guests!$E$1:$E$505,R50)&amp;""))</f>
        <v/>
      </c>
      <c r="T50" s="32">
        <f>IF(R50="","",IF(S50="",1,COUNTIF(Guests!$E$6:$E$505,S50)))</f>
        <v/>
      </c>
      <c r="U50" s="32">
        <f>IF(R50="","",IF(S50="",1,IF(COUNTIF(S$1:S49,S50)=0,1,0)))</f>
        <v/>
      </c>
      <c r="V50" s="32">
        <f>IF(AND(R50&lt;&gt;"",G50="Attending",U50=1),MAX(0,H50+I50-T50),0)</f>
        <v/>
      </c>
      <c r="W50" s="32">
        <f>IF(AND(O50=1,R50=""),1,0)</f>
        <v/>
      </c>
      <c r="X50" s="32">
        <f>IF(B50="",0,H50+I50)</f>
        <v/>
      </c>
      <c r="Y50" s="32">
        <f>N(Y49)+O50</f>
        <v/>
      </c>
      <c r="Z50" s="32">
        <f>IF(O50=1,Y50,"")</f>
        <v/>
      </c>
      <c r="AA50" s="32">
        <f>IF(AND(W50=1,G50="Not sure yet"),1,0)</f>
        <v/>
      </c>
      <c r="AB50" s="32">
        <f>N(AB49)+AA50</f>
        <v/>
      </c>
      <c r="AC50" s="32">
        <f>IF(AA50=1,AB50,"")</f>
        <v/>
      </c>
      <c r="AD50" s="32">
        <f>IF(D50="","",IF(LEN(D50)=10,"+1"&amp;D50,IF(AND(LEN(D50)=11,LEFT(D50,1)="1"),"+"&amp;D50,IF(LEFT(C50,1)="+","+"&amp;D50,D50))))</f>
        <v/>
      </c>
      <c r="AE50" s="32">
        <f>IF(B50="","",PROPER(IFERROR(LEFT(B50,FIND(" ",B50)-1),B50)))</f>
        <v/>
      </c>
      <c r="AF50" s="32">
        <f>SUBSTITUTE(SUBSTITUTE(SUBSTITUTE(SUBSTITUTE(SUBSTITUTE(SUBSTITUTE(SUBSTITUTE(SUBSTITUTE(SUBSTITUTE(SUBSTITUTE(AE50,"%","%25"),"&amp;","%26"),"#","%23"),"+","%2B"),"=","%3D"),"?","%3F"),CHAR(34),"%22"),CHAR(10),"%0A"),CHAR(13),"")," ","+")</f>
        <v/>
      </c>
      <c r="AG50" s="32">
        <f>IF(OR(AD50="",AE50=""),"",'Start Here'!$B$20&amp;"#p="&amp;SUBSTITUTE(AD50,"+","%2B")&amp;"&amp;n="&amp;AF50&amp;"&amp;m="&amp;SUBSTITUTE('Start Here'!$B$24,"{name}",AF50))</f>
        <v/>
      </c>
      <c r="AH50" s="32">
        <f>N(AH49)+W50</f>
        <v/>
      </c>
      <c r="AI50" s="32">
        <f>IF(W50=1,AH50,"")</f>
        <v/>
      </c>
    </row>
    <row r="51">
      <c r="A51" s="32">
        <f>IF(INDEX('Form Responses'!$A:$A,ROW())="","",INDEX('Form Responses'!$A:$A,ROW()))</f>
        <v/>
      </c>
      <c r="B51" s="32">
        <f>TRIM(INDEX('Form Responses'!$B:$B,ROW())&amp;"")</f>
        <v/>
      </c>
      <c r="C51" s="32">
        <f>IF(B51="","",TRIM(INDEX('Form Responses'!$C:$C,ROW())&amp;""))</f>
        <v/>
      </c>
      <c r="D51" s="32">
        <f>SUBSTITUTE(SUBSTITUTE(SUBSTITUTE(SUBSTITUTE(SUBSTITUTE(SUBSTITUTE(SUBSTITUTE(SUBSTITUTE(C51," ",""),"-",""),"(",""),")",""),".",""),"+",""),"/",""),CHAR(160),"")</f>
        <v/>
      </c>
      <c r="E51" s="32">
        <f>IF(LEN(D51)&gt;=10,RIGHT(D51,10),D51)</f>
        <v/>
      </c>
      <c r="F51" s="32">
        <f>IF(B51="","",TRIM(INDEX('Form Responses'!$D:$D,ROW())&amp;""))</f>
        <v/>
      </c>
      <c r="G51" s="32">
        <f>IF(B51="","",IF(LEFT(TRIM(INDEX('Form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" s="32">
        <f>IF(B51="","",MAX(0,IFERROR(INT(--(INDEX('Form Responses'!$F:$F,ROW())&amp;"")),1)))</f>
        <v/>
      </c>
      <c r="I51" s="32">
        <f>IF(B51="","",MAX(0,IFERROR(INT(--(INDEX('Form Responses'!$G:$G,ROW())&amp;"")),0)))</f>
        <v/>
      </c>
      <c r="J51" s="32">
        <f>IF(B51="","",TRIM(INDEX('Form Responses'!$H:$H,ROW())&amp;""))</f>
        <v/>
      </c>
      <c r="K51" s="32">
        <f>IF(B51="","",TRIM(INDEX('Form Responses'!$I:$I,ROW())&amp;""))</f>
        <v/>
      </c>
      <c r="L51" s="32">
        <f>IF(B51="","",TRIM(INDEX('Form Responses'!$J:$J,ROW())&amp;""))</f>
        <v/>
      </c>
      <c r="M51" s="32">
        <f>IF(B51="","",TRIM(INDEX('Form Responses'!$K:$K,ROW())&amp;""))</f>
        <v/>
      </c>
      <c r="N51" s="32">
        <f>IF(B51="","",IF(E51&lt;&gt;"","P"&amp;E51,"N"&amp;B51))</f>
        <v/>
      </c>
      <c r="O51" s="32">
        <f>IF(N51="",0,IF(COUNTIF(N52:N$602,N51)=0,1,0))</f>
        <v/>
      </c>
      <c r="P51" s="32">
        <f>IF(AND(O51=1,E51&lt;&gt;""),E51,"")</f>
        <v/>
      </c>
      <c r="Q51" s="32">
        <f>IF(O51=1,B51,"")</f>
        <v/>
      </c>
      <c r="R51" s="32">
        <f>IF(O51&lt;&gt;1,"",IF(E51&lt;&gt;"",IFERROR(MATCH(E51,Guests!$S$6:$S$505,0)+5,IFERROR(MATCH(B51,Guests!$A$6:$A$505,0)+5,"")),IFERROR(MATCH(B51,Guests!$A$6:$A$505,0)+5,"")))</f>
        <v/>
      </c>
      <c r="S51" s="32">
        <f>IF(R51="","",TRIM(INDEX(Guests!$E$1:$E$505,R51)&amp;""))</f>
        <v/>
      </c>
      <c r="T51" s="32">
        <f>IF(R51="","",IF(S51="",1,COUNTIF(Guests!$E$6:$E$505,S51)))</f>
        <v/>
      </c>
      <c r="U51" s="32">
        <f>IF(R51="","",IF(S51="",1,IF(COUNTIF(S$1:S50,S51)=0,1,0)))</f>
        <v/>
      </c>
      <c r="V51" s="32">
        <f>IF(AND(R51&lt;&gt;"",G51="Attending",U51=1),MAX(0,H51+I51-T51),0)</f>
        <v/>
      </c>
      <c r="W51" s="32">
        <f>IF(AND(O51=1,R51=""),1,0)</f>
        <v/>
      </c>
      <c r="X51" s="32">
        <f>IF(B51="",0,H51+I51)</f>
        <v/>
      </c>
      <c r="Y51" s="32">
        <f>N(Y50)+O51</f>
        <v/>
      </c>
      <c r="Z51" s="32">
        <f>IF(O51=1,Y51,"")</f>
        <v/>
      </c>
      <c r="AA51" s="32">
        <f>IF(AND(W51=1,G51="Not sure yet"),1,0)</f>
        <v/>
      </c>
      <c r="AB51" s="32">
        <f>N(AB50)+AA51</f>
        <v/>
      </c>
      <c r="AC51" s="32">
        <f>IF(AA51=1,AB51,"")</f>
        <v/>
      </c>
      <c r="AD51" s="32">
        <f>IF(D51="","",IF(LEN(D51)=10,"+1"&amp;D51,IF(AND(LEN(D51)=11,LEFT(D51,1)="1"),"+"&amp;D51,IF(LEFT(C51,1)="+","+"&amp;D51,D51))))</f>
        <v/>
      </c>
      <c r="AE51" s="32">
        <f>IF(B51="","",PROPER(IFERROR(LEFT(B51,FIND(" ",B51)-1),B51)))</f>
        <v/>
      </c>
      <c r="AF51" s="32">
        <f>SUBSTITUTE(SUBSTITUTE(SUBSTITUTE(SUBSTITUTE(SUBSTITUTE(SUBSTITUTE(SUBSTITUTE(SUBSTITUTE(SUBSTITUTE(SUBSTITUTE(AE51,"%","%25"),"&amp;","%26"),"#","%23"),"+","%2B"),"=","%3D"),"?","%3F"),CHAR(34),"%22"),CHAR(10),"%0A"),CHAR(13),"")," ","+")</f>
        <v/>
      </c>
      <c r="AG51" s="32">
        <f>IF(OR(AD51="",AE51=""),"",'Start Here'!$B$20&amp;"#p="&amp;SUBSTITUTE(AD51,"+","%2B")&amp;"&amp;n="&amp;AF51&amp;"&amp;m="&amp;SUBSTITUTE('Start Here'!$B$24,"{name}",AF51))</f>
        <v/>
      </c>
      <c r="AH51" s="32">
        <f>N(AH50)+W51</f>
        <v/>
      </c>
      <c r="AI51" s="32">
        <f>IF(W51=1,AH51,"")</f>
        <v/>
      </c>
    </row>
    <row r="52">
      <c r="A52" s="32">
        <f>IF(INDEX('Form Responses'!$A:$A,ROW())="","",INDEX('Form Responses'!$A:$A,ROW()))</f>
        <v/>
      </c>
      <c r="B52" s="32">
        <f>TRIM(INDEX('Form Responses'!$B:$B,ROW())&amp;"")</f>
        <v/>
      </c>
      <c r="C52" s="32">
        <f>IF(B52="","",TRIM(INDEX('Form Responses'!$C:$C,ROW())&amp;""))</f>
        <v/>
      </c>
      <c r="D52" s="32">
        <f>SUBSTITUTE(SUBSTITUTE(SUBSTITUTE(SUBSTITUTE(SUBSTITUTE(SUBSTITUTE(SUBSTITUTE(SUBSTITUTE(C52," ",""),"-",""),"(",""),")",""),".",""),"+",""),"/",""),CHAR(160),"")</f>
        <v/>
      </c>
      <c r="E52" s="32">
        <f>IF(LEN(D52)&gt;=10,RIGHT(D52,10),D52)</f>
        <v/>
      </c>
      <c r="F52" s="32">
        <f>IF(B52="","",TRIM(INDEX('Form Responses'!$D:$D,ROW())&amp;""))</f>
        <v/>
      </c>
      <c r="G52" s="32">
        <f>IF(B52="","",IF(LEFT(TRIM(INDEX('Form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" s="32">
        <f>IF(B52="","",MAX(0,IFERROR(INT(--(INDEX('Form Responses'!$F:$F,ROW())&amp;"")),1)))</f>
        <v/>
      </c>
      <c r="I52" s="32">
        <f>IF(B52="","",MAX(0,IFERROR(INT(--(INDEX('Form Responses'!$G:$G,ROW())&amp;"")),0)))</f>
        <v/>
      </c>
      <c r="J52" s="32">
        <f>IF(B52="","",TRIM(INDEX('Form Responses'!$H:$H,ROW())&amp;""))</f>
        <v/>
      </c>
      <c r="K52" s="32">
        <f>IF(B52="","",TRIM(INDEX('Form Responses'!$I:$I,ROW())&amp;""))</f>
        <v/>
      </c>
      <c r="L52" s="32">
        <f>IF(B52="","",TRIM(INDEX('Form Responses'!$J:$J,ROW())&amp;""))</f>
        <v/>
      </c>
      <c r="M52" s="32">
        <f>IF(B52="","",TRIM(INDEX('Form Responses'!$K:$K,ROW())&amp;""))</f>
        <v/>
      </c>
      <c r="N52" s="32">
        <f>IF(B52="","",IF(E52&lt;&gt;"","P"&amp;E52,"N"&amp;B52))</f>
        <v/>
      </c>
      <c r="O52" s="32">
        <f>IF(N52="",0,IF(COUNTIF(N53:N$602,N52)=0,1,0))</f>
        <v/>
      </c>
      <c r="P52" s="32">
        <f>IF(AND(O52=1,E52&lt;&gt;""),E52,"")</f>
        <v/>
      </c>
      <c r="Q52" s="32">
        <f>IF(O52=1,B52,"")</f>
        <v/>
      </c>
      <c r="R52" s="32">
        <f>IF(O52&lt;&gt;1,"",IF(E52&lt;&gt;"",IFERROR(MATCH(E52,Guests!$S$6:$S$505,0)+5,IFERROR(MATCH(B52,Guests!$A$6:$A$505,0)+5,"")),IFERROR(MATCH(B52,Guests!$A$6:$A$505,0)+5,"")))</f>
        <v/>
      </c>
      <c r="S52" s="32">
        <f>IF(R52="","",TRIM(INDEX(Guests!$E$1:$E$505,R52)&amp;""))</f>
        <v/>
      </c>
      <c r="T52" s="32">
        <f>IF(R52="","",IF(S52="",1,COUNTIF(Guests!$E$6:$E$505,S52)))</f>
        <v/>
      </c>
      <c r="U52" s="32">
        <f>IF(R52="","",IF(S52="",1,IF(COUNTIF(S$1:S51,S52)=0,1,0)))</f>
        <v/>
      </c>
      <c r="V52" s="32">
        <f>IF(AND(R52&lt;&gt;"",G52="Attending",U52=1),MAX(0,H52+I52-T52),0)</f>
        <v/>
      </c>
      <c r="W52" s="32">
        <f>IF(AND(O52=1,R52=""),1,0)</f>
        <v/>
      </c>
      <c r="X52" s="32">
        <f>IF(B52="",0,H52+I52)</f>
        <v/>
      </c>
      <c r="Y52" s="32">
        <f>N(Y51)+O52</f>
        <v/>
      </c>
      <c r="Z52" s="32">
        <f>IF(O52=1,Y52,"")</f>
        <v/>
      </c>
      <c r="AA52" s="32">
        <f>IF(AND(W52=1,G52="Not sure yet"),1,0)</f>
        <v/>
      </c>
      <c r="AB52" s="32">
        <f>N(AB51)+AA52</f>
        <v/>
      </c>
      <c r="AC52" s="32">
        <f>IF(AA52=1,AB52,"")</f>
        <v/>
      </c>
      <c r="AD52" s="32">
        <f>IF(D52="","",IF(LEN(D52)=10,"+1"&amp;D52,IF(AND(LEN(D52)=11,LEFT(D52,1)="1"),"+"&amp;D52,IF(LEFT(C52,1)="+","+"&amp;D52,D52))))</f>
        <v/>
      </c>
      <c r="AE52" s="32">
        <f>IF(B52="","",PROPER(IFERROR(LEFT(B52,FIND(" ",B52)-1),B52)))</f>
        <v/>
      </c>
      <c r="AF52" s="32">
        <f>SUBSTITUTE(SUBSTITUTE(SUBSTITUTE(SUBSTITUTE(SUBSTITUTE(SUBSTITUTE(SUBSTITUTE(SUBSTITUTE(SUBSTITUTE(SUBSTITUTE(AE52,"%","%25"),"&amp;","%26"),"#","%23"),"+","%2B"),"=","%3D"),"?","%3F"),CHAR(34),"%22"),CHAR(10),"%0A"),CHAR(13),"")," ","+")</f>
        <v/>
      </c>
      <c r="AG52" s="32">
        <f>IF(OR(AD52="",AE52=""),"",'Start Here'!$B$20&amp;"#p="&amp;SUBSTITUTE(AD52,"+","%2B")&amp;"&amp;n="&amp;AF52&amp;"&amp;m="&amp;SUBSTITUTE('Start Here'!$B$24,"{name}",AF52))</f>
        <v/>
      </c>
      <c r="AH52" s="32">
        <f>N(AH51)+W52</f>
        <v/>
      </c>
      <c r="AI52" s="32">
        <f>IF(W52=1,AH52,"")</f>
        <v/>
      </c>
    </row>
    <row r="53">
      <c r="A53" s="32">
        <f>IF(INDEX('Form Responses'!$A:$A,ROW())="","",INDEX('Form Responses'!$A:$A,ROW()))</f>
        <v/>
      </c>
      <c r="B53" s="32">
        <f>TRIM(INDEX('Form Responses'!$B:$B,ROW())&amp;"")</f>
        <v/>
      </c>
      <c r="C53" s="32">
        <f>IF(B53="","",TRIM(INDEX('Form Responses'!$C:$C,ROW())&amp;""))</f>
        <v/>
      </c>
      <c r="D53" s="32">
        <f>SUBSTITUTE(SUBSTITUTE(SUBSTITUTE(SUBSTITUTE(SUBSTITUTE(SUBSTITUTE(SUBSTITUTE(SUBSTITUTE(C53," ",""),"-",""),"(",""),")",""),".",""),"+",""),"/",""),CHAR(160),"")</f>
        <v/>
      </c>
      <c r="E53" s="32">
        <f>IF(LEN(D53)&gt;=10,RIGHT(D53,10),D53)</f>
        <v/>
      </c>
      <c r="F53" s="32">
        <f>IF(B53="","",TRIM(INDEX('Form Responses'!$D:$D,ROW())&amp;""))</f>
        <v/>
      </c>
      <c r="G53" s="32">
        <f>IF(B53="","",IF(LEFT(TRIM(INDEX('Form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" s="32">
        <f>IF(B53="","",MAX(0,IFERROR(INT(--(INDEX('Form Responses'!$F:$F,ROW())&amp;"")),1)))</f>
        <v/>
      </c>
      <c r="I53" s="32">
        <f>IF(B53="","",MAX(0,IFERROR(INT(--(INDEX('Form Responses'!$G:$G,ROW())&amp;"")),0)))</f>
        <v/>
      </c>
      <c r="J53" s="32">
        <f>IF(B53="","",TRIM(INDEX('Form Responses'!$H:$H,ROW())&amp;""))</f>
        <v/>
      </c>
      <c r="K53" s="32">
        <f>IF(B53="","",TRIM(INDEX('Form Responses'!$I:$I,ROW())&amp;""))</f>
        <v/>
      </c>
      <c r="L53" s="32">
        <f>IF(B53="","",TRIM(INDEX('Form Responses'!$J:$J,ROW())&amp;""))</f>
        <v/>
      </c>
      <c r="M53" s="32">
        <f>IF(B53="","",TRIM(INDEX('Form Responses'!$K:$K,ROW())&amp;""))</f>
        <v/>
      </c>
      <c r="N53" s="32">
        <f>IF(B53="","",IF(E53&lt;&gt;"","P"&amp;E53,"N"&amp;B53))</f>
        <v/>
      </c>
      <c r="O53" s="32">
        <f>IF(N53="",0,IF(COUNTIF(N54:N$602,N53)=0,1,0))</f>
        <v/>
      </c>
      <c r="P53" s="32">
        <f>IF(AND(O53=1,E53&lt;&gt;""),E53,"")</f>
        <v/>
      </c>
      <c r="Q53" s="32">
        <f>IF(O53=1,B53,"")</f>
        <v/>
      </c>
      <c r="R53" s="32">
        <f>IF(O53&lt;&gt;1,"",IF(E53&lt;&gt;"",IFERROR(MATCH(E53,Guests!$S$6:$S$505,0)+5,IFERROR(MATCH(B53,Guests!$A$6:$A$505,0)+5,"")),IFERROR(MATCH(B53,Guests!$A$6:$A$505,0)+5,"")))</f>
        <v/>
      </c>
      <c r="S53" s="32">
        <f>IF(R53="","",TRIM(INDEX(Guests!$E$1:$E$505,R53)&amp;""))</f>
        <v/>
      </c>
      <c r="T53" s="32">
        <f>IF(R53="","",IF(S53="",1,COUNTIF(Guests!$E$6:$E$505,S53)))</f>
        <v/>
      </c>
      <c r="U53" s="32">
        <f>IF(R53="","",IF(S53="",1,IF(COUNTIF(S$1:S52,S53)=0,1,0)))</f>
        <v/>
      </c>
      <c r="V53" s="32">
        <f>IF(AND(R53&lt;&gt;"",G53="Attending",U53=1),MAX(0,H53+I53-T53),0)</f>
        <v/>
      </c>
      <c r="W53" s="32">
        <f>IF(AND(O53=1,R53=""),1,0)</f>
        <v/>
      </c>
      <c r="X53" s="32">
        <f>IF(B53="",0,H53+I53)</f>
        <v/>
      </c>
      <c r="Y53" s="32">
        <f>N(Y52)+O53</f>
        <v/>
      </c>
      <c r="Z53" s="32">
        <f>IF(O53=1,Y53,"")</f>
        <v/>
      </c>
      <c r="AA53" s="32">
        <f>IF(AND(W53=1,G53="Not sure yet"),1,0)</f>
        <v/>
      </c>
      <c r="AB53" s="32">
        <f>N(AB52)+AA53</f>
        <v/>
      </c>
      <c r="AC53" s="32">
        <f>IF(AA53=1,AB53,"")</f>
        <v/>
      </c>
      <c r="AD53" s="32">
        <f>IF(D53="","",IF(LEN(D53)=10,"+1"&amp;D53,IF(AND(LEN(D53)=11,LEFT(D53,1)="1"),"+"&amp;D53,IF(LEFT(C53,1)="+","+"&amp;D53,D53))))</f>
        <v/>
      </c>
      <c r="AE53" s="32">
        <f>IF(B53="","",PROPER(IFERROR(LEFT(B53,FIND(" ",B53)-1),B53)))</f>
        <v/>
      </c>
      <c r="AF53" s="32">
        <f>SUBSTITUTE(SUBSTITUTE(SUBSTITUTE(SUBSTITUTE(SUBSTITUTE(SUBSTITUTE(SUBSTITUTE(SUBSTITUTE(SUBSTITUTE(SUBSTITUTE(AE53,"%","%25"),"&amp;","%26"),"#","%23"),"+","%2B"),"=","%3D"),"?","%3F"),CHAR(34),"%22"),CHAR(10),"%0A"),CHAR(13),"")," ","+")</f>
        <v/>
      </c>
      <c r="AG53" s="32">
        <f>IF(OR(AD53="",AE53=""),"",'Start Here'!$B$20&amp;"#p="&amp;SUBSTITUTE(AD53,"+","%2B")&amp;"&amp;n="&amp;AF53&amp;"&amp;m="&amp;SUBSTITUTE('Start Here'!$B$24,"{name}",AF53))</f>
        <v/>
      </c>
      <c r="AH53" s="32">
        <f>N(AH52)+W53</f>
        <v/>
      </c>
      <c r="AI53" s="32">
        <f>IF(W53=1,AH53,"")</f>
        <v/>
      </c>
    </row>
    <row r="54">
      <c r="A54" s="32">
        <f>IF(INDEX('Form Responses'!$A:$A,ROW())="","",INDEX('Form Responses'!$A:$A,ROW()))</f>
        <v/>
      </c>
      <c r="B54" s="32">
        <f>TRIM(INDEX('Form Responses'!$B:$B,ROW())&amp;"")</f>
        <v/>
      </c>
      <c r="C54" s="32">
        <f>IF(B54="","",TRIM(INDEX('Form Responses'!$C:$C,ROW())&amp;""))</f>
        <v/>
      </c>
      <c r="D54" s="32">
        <f>SUBSTITUTE(SUBSTITUTE(SUBSTITUTE(SUBSTITUTE(SUBSTITUTE(SUBSTITUTE(SUBSTITUTE(SUBSTITUTE(C54," ",""),"-",""),"(",""),")",""),".",""),"+",""),"/",""),CHAR(160),"")</f>
        <v/>
      </c>
      <c r="E54" s="32">
        <f>IF(LEN(D54)&gt;=10,RIGHT(D54,10),D54)</f>
        <v/>
      </c>
      <c r="F54" s="32">
        <f>IF(B54="","",TRIM(INDEX('Form Responses'!$D:$D,ROW())&amp;""))</f>
        <v/>
      </c>
      <c r="G54" s="32">
        <f>IF(B54="","",IF(LEFT(TRIM(INDEX('Form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" s="32">
        <f>IF(B54="","",MAX(0,IFERROR(INT(--(INDEX('Form Responses'!$F:$F,ROW())&amp;"")),1)))</f>
        <v/>
      </c>
      <c r="I54" s="32">
        <f>IF(B54="","",MAX(0,IFERROR(INT(--(INDEX('Form Responses'!$G:$G,ROW())&amp;"")),0)))</f>
        <v/>
      </c>
      <c r="J54" s="32">
        <f>IF(B54="","",TRIM(INDEX('Form Responses'!$H:$H,ROW())&amp;""))</f>
        <v/>
      </c>
      <c r="K54" s="32">
        <f>IF(B54="","",TRIM(INDEX('Form Responses'!$I:$I,ROW())&amp;""))</f>
        <v/>
      </c>
      <c r="L54" s="32">
        <f>IF(B54="","",TRIM(INDEX('Form Responses'!$J:$J,ROW())&amp;""))</f>
        <v/>
      </c>
      <c r="M54" s="32">
        <f>IF(B54="","",TRIM(INDEX('Form Responses'!$K:$K,ROW())&amp;""))</f>
        <v/>
      </c>
      <c r="N54" s="32">
        <f>IF(B54="","",IF(E54&lt;&gt;"","P"&amp;E54,"N"&amp;B54))</f>
        <v/>
      </c>
      <c r="O54" s="32">
        <f>IF(N54="",0,IF(COUNTIF(N55:N$602,N54)=0,1,0))</f>
        <v/>
      </c>
      <c r="P54" s="32">
        <f>IF(AND(O54=1,E54&lt;&gt;""),E54,"")</f>
        <v/>
      </c>
      <c r="Q54" s="32">
        <f>IF(O54=1,B54,"")</f>
        <v/>
      </c>
      <c r="R54" s="32">
        <f>IF(O54&lt;&gt;1,"",IF(E54&lt;&gt;"",IFERROR(MATCH(E54,Guests!$S$6:$S$505,0)+5,IFERROR(MATCH(B54,Guests!$A$6:$A$505,0)+5,"")),IFERROR(MATCH(B54,Guests!$A$6:$A$505,0)+5,"")))</f>
        <v/>
      </c>
      <c r="S54" s="32">
        <f>IF(R54="","",TRIM(INDEX(Guests!$E$1:$E$505,R54)&amp;""))</f>
        <v/>
      </c>
      <c r="T54" s="32">
        <f>IF(R54="","",IF(S54="",1,COUNTIF(Guests!$E$6:$E$505,S54)))</f>
        <v/>
      </c>
      <c r="U54" s="32">
        <f>IF(R54="","",IF(S54="",1,IF(COUNTIF(S$1:S53,S54)=0,1,0)))</f>
        <v/>
      </c>
      <c r="V54" s="32">
        <f>IF(AND(R54&lt;&gt;"",G54="Attending",U54=1),MAX(0,H54+I54-T54),0)</f>
        <v/>
      </c>
      <c r="W54" s="32">
        <f>IF(AND(O54=1,R54=""),1,0)</f>
        <v/>
      </c>
      <c r="X54" s="32">
        <f>IF(B54="",0,H54+I54)</f>
        <v/>
      </c>
      <c r="Y54" s="32">
        <f>N(Y53)+O54</f>
        <v/>
      </c>
      <c r="Z54" s="32">
        <f>IF(O54=1,Y54,"")</f>
        <v/>
      </c>
      <c r="AA54" s="32">
        <f>IF(AND(W54=1,G54="Not sure yet"),1,0)</f>
        <v/>
      </c>
      <c r="AB54" s="32">
        <f>N(AB53)+AA54</f>
        <v/>
      </c>
      <c r="AC54" s="32">
        <f>IF(AA54=1,AB54,"")</f>
        <v/>
      </c>
      <c r="AD54" s="32">
        <f>IF(D54="","",IF(LEN(D54)=10,"+1"&amp;D54,IF(AND(LEN(D54)=11,LEFT(D54,1)="1"),"+"&amp;D54,IF(LEFT(C54,1)="+","+"&amp;D54,D54))))</f>
        <v/>
      </c>
      <c r="AE54" s="32">
        <f>IF(B54="","",PROPER(IFERROR(LEFT(B54,FIND(" ",B54)-1),B54)))</f>
        <v/>
      </c>
      <c r="AF54" s="32">
        <f>SUBSTITUTE(SUBSTITUTE(SUBSTITUTE(SUBSTITUTE(SUBSTITUTE(SUBSTITUTE(SUBSTITUTE(SUBSTITUTE(SUBSTITUTE(SUBSTITUTE(AE54,"%","%25"),"&amp;","%26"),"#","%23"),"+","%2B"),"=","%3D"),"?","%3F"),CHAR(34),"%22"),CHAR(10),"%0A"),CHAR(13),"")," ","+")</f>
        <v/>
      </c>
      <c r="AG54" s="32">
        <f>IF(OR(AD54="",AE54=""),"",'Start Here'!$B$20&amp;"#p="&amp;SUBSTITUTE(AD54,"+","%2B")&amp;"&amp;n="&amp;AF54&amp;"&amp;m="&amp;SUBSTITUTE('Start Here'!$B$24,"{name}",AF54))</f>
        <v/>
      </c>
      <c r="AH54" s="32">
        <f>N(AH53)+W54</f>
        <v/>
      </c>
      <c r="AI54" s="32">
        <f>IF(W54=1,AH54,"")</f>
        <v/>
      </c>
    </row>
    <row r="55">
      <c r="A55" s="32">
        <f>IF(INDEX('Form Responses'!$A:$A,ROW())="","",INDEX('Form Responses'!$A:$A,ROW()))</f>
        <v/>
      </c>
      <c r="B55" s="32">
        <f>TRIM(INDEX('Form Responses'!$B:$B,ROW())&amp;"")</f>
        <v/>
      </c>
      <c r="C55" s="32">
        <f>IF(B55="","",TRIM(INDEX('Form Responses'!$C:$C,ROW())&amp;""))</f>
        <v/>
      </c>
      <c r="D55" s="32">
        <f>SUBSTITUTE(SUBSTITUTE(SUBSTITUTE(SUBSTITUTE(SUBSTITUTE(SUBSTITUTE(SUBSTITUTE(SUBSTITUTE(C55," ",""),"-",""),"(",""),")",""),".",""),"+",""),"/",""),CHAR(160),"")</f>
        <v/>
      </c>
      <c r="E55" s="32">
        <f>IF(LEN(D55)&gt;=10,RIGHT(D55,10),D55)</f>
        <v/>
      </c>
      <c r="F55" s="32">
        <f>IF(B55="","",TRIM(INDEX('Form Responses'!$D:$D,ROW())&amp;""))</f>
        <v/>
      </c>
      <c r="G55" s="32">
        <f>IF(B55="","",IF(LEFT(TRIM(INDEX('Form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" s="32">
        <f>IF(B55="","",MAX(0,IFERROR(INT(--(INDEX('Form Responses'!$F:$F,ROW())&amp;"")),1)))</f>
        <v/>
      </c>
      <c r="I55" s="32">
        <f>IF(B55="","",MAX(0,IFERROR(INT(--(INDEX('Form Responses'!$G:$G,ROW())&amp;"")),0)))</f>
        <v/>
      </c>
      <c r="J55" s="32">
        <f>IF(B55="","",TRIM(INDEX('Form Responses'!$H:$H,ROW())&amp;""))</f>
        <v/>
      </c>
      <c r="K55" s="32">
        <f>IF(B55="","",TRIM(INDEX('Form Responses'!$I:$I,ROW())&amp;""))</f>
        <v/>
      </c>
      <c r="L55" s="32">
        <f>IF(B55="","",TRIM(INDEX('Form Responses'!$J:$J,ROW())&amp;""))</f>
        <v/>
      </c>
      <c r="M55" s="32">
        <f>IF(B55="","",TRIM(INDEX('Form Responses'!$K:$K,ROW())&amp;""))</f>
        <v/>
      </c>
      <c r="N55" s="32">
        <f>IF(B55="","",IF(E55&lt;&gt;"","P"&amp;E55,"N"&amp;B55))</f>
        <v/>
      </c>
      <c r="O55" s="32">
        <f>IF(N55="",0,IF(COUNTIF(N56:N$602,N55)=0,1,0))</f>
        <v/>
      </c>
      <c r="P55" s="32">
        <f>IF(AND(O55=1,E55&lt;&gt;""),E55,"")</f>
        <v/>
      </c>
      <c r="Q55" s="32">
        <f>IF(O55=1,B55,"")</f>
        <v/>
      </c>
      <c r="R55" s="32">
        <f>IF(O55&lt;&gt;1,"",IF(E55&lt;&gt;"",IFERROR(MATCH(E55,Guests!$S$6:$S$505,0)+5,IFERROR(MATCH(B55,Guests!$A$6:$A$505,0)+5,"")),IFERROR(MATCH(B55,Guests!$A$6:$A$505,0)+5,"")))</f>
        <v/>
      </c>
      <c r="S55" s="32">
        <f>IF(R55="","",TRIM(INDEX(Guests!$E$1:$E$505,R55)&amp;""))</f>
        <v/>
      </c>
      <c r="T55" s="32">
        <f>IF(R55="","",IF(S55="",1,COUNTIF(Guests!$E$6:$E$505,S55)))</f>
        <v/>
      </c>
      <c r="U55" s="32">
        <f>IF(R55="","",IF(S55="",1,IF(COUNTIF(S$1:S54,S55)=0,1,0)))</f>
        <v/>
      </c>
      <c r="V55" s="32">
        <f>IF(AND(R55&lt;&gt;"",G55="Attending",U55=1),MAX(0,H55+I55-T55),0)</f>
        <v/>
      </c>
      <c r="W55" s="32">
        <f>IF(AND(O55=1,R55=""),1,0)</f>
        <v/>
      </c>
      <c r="X55" s="32">
        <f>IF(B55="",0,H55+I55)</f>
        <v/>
      </c>
      <c r="Y55" s="32">
        <f>N(Y54)+O55</f>
        <v/>
      </c>
      <c r="Z55" s="32">
        <f>IF(O55=1,Y55,"")</f>
        <v/>
      </c>
      <c r="AA55" s="32">
        <f>IF(AND(W55=1,G55="Not sure yet"),1,0)</f>
        <v/>
      </c>
      <c r="AB55" s="32">
        <f>N(AB54)+AA55</f>
        <v/>
      </c>
      <c r="AC55" s="32">
        <f>IF(AA55=1,AB55,"")</f>
        <v/>
      </c>
      <c r="AD55" s="32">
        <f>IF(D55="","",IF(LEN(D55)=10,"+1"&amp;D55,IF(AND(LEN(D55)=11,LEFT(D55,1)="1"),"+"&amp;D55,IF(LEFT(C55,1)="+","+"&amp;D55,D55))))</f>
        <v/>
      </c>
      <c r="AE55" s="32">
        <f>IF(B55="","",PROPER(IFERROR(LEFT(B55,FIND(" ",B55)-1),B55)))</f>
        <v/>
      </c>
      <c r="AF55" s="32">
        <f>SUBSTITUTE(SUBSTITUTE(SUBSTITUTE(SUBSTITUTE(SUBSTITUTE(SUBSTITUTE(SUBSTITUTE(SUBSTITUTE(SUBSTITUTE(SUBSTITUTE(AE55,"%","%25"),"&amp;","%26"),"#","%23"),"+","%2B"),"=","%3D"),"?","%3F"),CHAR(34),"%22"),CHAR(10),"%0A"),CHAR(13),"")," ","+")</f>
        <v/>
      </c>
      <c r="AG55" s="32">
        <f>IF(OR(AD55="",AE55=""),"",'Start Here'!$B$20&amp;"#p="&amp;SUBSTITUTE(AD55,"+","%2B")&amp;"&amp;n="&amp;AF55&amp;"&amp;m="&amp;SUBSTITUTE('Start Here'!$B$24,"{name}",AF55))</f>
        <v/>
      </c>
      <c r="AH55" s="32">
        <f>N(AH54)+W55</f>
        <v/>
      </c>
      <c r="AI55" s="32">
        <f>IF(W55=1,AH55,"")</f>
        <v/>
      </c>
    </row>
    <row r="56">
      <c r="A56" s="32">
        <f>IF(INDEX('Form Responses'!$A:$A,ROW())="","",INDEX('Form Responses'!$A:$A,ROW()))</f>
        <v/>
      </c>
      <c r="B56" s="32">
        <f>TRIM(INDEX('Form Responses'!$B:$B,ROW())&amp;"")</f>
        <v/>
      </c>
      <c r="C56" s="32">
        <f>IF(B56="","",TRIM(INDEX('Form Responses'!$C:$C,ROW())&amp;""))</f>
        <v/>
      </c>
      <c r="D56" s="32">
        <f>SUBSTITUTE(SUBSTITUTE(SUBSTITUTE(SUBSTITUTE(SUBSTITUTE(SUBSTITUTE(SUBSTITUTE(SUBSTITUTE(C56," ",""),"-",""),"(",""),")",""),".",""),"+",""),"/",""),CHAR(160),"")</f>
        <v/>
      </c>
      <c r="E56" s="32">
        <f>IF(LEN(D56)&gt;=10,RIGHT(D56,10),D56)</f>
        <v/>
      </c>
      <c r="F56" s="32">
        <f>IF(B56="","",TRIM(INDEX('Form Responses'!$D:$D,ROW())&amp;""))</f>
        <v/>
      </c>
      <c r="G56" s="32">
        <f>IF(B56="","",IF(LEFT(TRIM(INDEX('Form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" s="32">
        <f>IF(B56="","",MAX(0,IFERROR(INT(--(INDEX('Form Responses'!$F:$F,ROW())&amp;"")),1)))</f>
        <v/>
      </c>
      <c r="I56" s="32">
        <f>IF(B56="","",MAX(0,IFERROR(INT(--(INDEX('Form Responses'!$G:$G,ROW())&amp;"")),0)))</f>
        <v/>
      </c>
      <c r="J56" s="32">
        <f>IF(B56="","",TRIM(INDEX('Form Responses'!$H:$H,ROW())&amp;""))</f>
        <v/>
      </c>
      <c r="K56" s="32">
        <f>IF(B56="","",TRIM(INDEX('Form Responses'!$I:$I,ROW())&amp;""))</f>
        <v/>
      </c>
      <c r="L56" s="32">
        <f>IF(B56="","",TRIM(INDEX('Form Responses'!$J:$J,ROW())&amp;""))</f>
        <v/>
      </c>
      <c r="M56" s="32">
        <f>IF(B56="","",TRIM(INDEX('Form Responses'!$K:$K,ROW())&amp;""))</f>
        <v/>
      </c>
      <c r="N56" s="32">
        <f>IF(B56="","",IF(E56&lt;&gt;"","P"&amp;E56,"N"&amp;B56))</f>
        <v/>
      </c>
      <c r="O56" s="32">
        <f>IF(N56="",0,IF(COUNTIF(N57:N$602,N56)=0,1,0))</f>
        <v/>
      </c>
      <c r="P56" s="32">
        <f>IF(AND(O56=1,E56&lt;&gt;""),E56,"")</f>
        <v/>
      </c>
      <c r="Q56" s="32">
        <f>IF(O56=1,B56,"")</f>
        <v/>
      </c>
      <c r="R56" s="32">
        <f>IF(O56&lt;&gt;1,"",IF(E56&lt;&gt;"",IFERROR(MATCH(E56,Guests!$S$6:$S$505,0)+5,IFERROR(MATCH(B56,Guests!$A$6:$A$505,0)+5,"")),IFERROR(MATCH(B56,Guests!$A$6:$A$505,0)+5,"")))</f>
        <v/>
      </c>
      <c r="S56" s="32">
        <f>IF(R56="","",TRIM(INDEX(Guests!$E$1:$E$505,R56)&amp;""))</f>
        <v/>
      </c>
      <c r="T56" s="32">
        <f>IF(R56="","",IF(S56="",1,COUNTIF(Guests!$E$6:$E$505,S56)))</f>
        <v/>
      </c>
      <c r="U56" s="32">
        <f>IF(R56="","",IF(S56="",1,IF(COUNTIF(S$1:S55,S56)=0,1,0)))</f>
        <v/>
      </c>
      <c r="V56" s="32">
        <f>IF(AND(R56&lt;&gt;"",G56="Attending",U56=1),MAX(0,H56+I56-T56),0)</f>
        <v/>
      </c>
      <c r="W56" s="32">
        <f>IF(AND(O56=1,R56=""),1,0)</f>
        <v/>
      </c>
      <c r="X56" s="32">
        <f>IF(B56="",0,H56+I56)</f>
        <v/>
      </c>
      <c r="Y56" s="32">
        <f>N(Y55)+O56</f>
        <v/>
      </c>
      <c r="Z56" s="32">
        <f>IF(O56=1,Y56,"")</f>
        <v/>
      </c>
      <c r="AA56" s="32">
        <f>IF(AND(W56=1,G56="Not sure yet"),1,0)</f>
        <v/>
      </c>
      <c r="AB56" s="32">
        <f>N(AB55)+AA56</f>
        <v/>
      </c>
      <c r="AC56" s="32">
        <f>IF(AA56=1,AB56,"")</f>
        <v/>
      </c>
      <c r="AD56" s="32">
        <f>IF(D56="","",IF(LEN(D56)=10,"+1"&amp;D56,IF(AND(LEN(D56)=11,LEFT(D56,1)="1"),"+"&amp;D56,IF(LEFT(C56,1)="+","+"&amp;D56,D56))))</f>
        <v/>
      </c>
      <c r="AE56" s="32">
        <f>IF(B56="","",PROPER(IFERROR(LEFT(B56,FIND(" ",B56)-1),B56)))</f>
        <v/>
      </c>
      <c r="AF56" s="32">
        <f>SUBSTITUTE(SUBSTITUTE(SUBSTITUTE(SUBSTITUTE(SUBSTITUTE(SUBSTITUTE(SUBSTITUTE(SUBSTITUTE(SUBSTITUTE(SUBSTITUTE(AE56,"%","%25"),"&amp;","%26"),"#","%23"),"+","%2B"),"=","%3D"),"?","%3F"),CHAR(34),"%22"),CHAR(10),"%0A"),CHAR(13),"")," ","+")</f>
        <v/>
      </c>
      <c r="AG56" s="32">
        <f>IF(OR(AD56="",AE56=""),"",'Start Here'!$B$20&amp;"#p="&amp;SUBSTITUTE(AD56,"+","%2B")&amp;"&amp;n="&amp;AF56&amp;"&amp;m="&amp;SUBSTITUTE('Start Here'!$B$24,"{name}",AF56))</f>
        <v/>
      </c>
      <c r="AH56" s="32">
        <f>N(AH55)+W56</f>
        <v/>
      </c>
      <c r="AI56" s="32">
        <f>IF(W56=1,AH56,"")</f>
        <v/>
      </c>
    </row>
    <row r="57">
      <c r="A57" s="32">
        <f>IF(INDEX('Form Responses'!$A:$A,ROW())="","",INDEX('Form Responses'!$A:$A,ROW()))</f>
        <v/>
      </c>
      <c r="B57" s="32">
        <f>TRIM(INDEX('Form Responses'!$B:$B,ROW())&amp;"")</f>
        <v/>
      </c>
      <c r="C57" s="32">
        <f>IF(B57="","",TRIM(INDEX('Form Responses'!$C:$C,ROW())&amp;""))</f>
        <v/>
      </c>
      <c r="D57" s="32">
        <f>SUBSTITUTE(SUBSTITUTE(SUBSTITUTE(SUBSTITUTE(SUBSTITUTE(SUBSTITUTE(SUBSTITUTE(SUBSTITUTE(C57," ",""),"-",""),"(",""),")",""),".",""),"+",""),"/",""),CHAR(160),"")</f>
        <v/>
      </c>
      <c r="E57" s="32">
        <f>IF(LEN(D57)&gt;=10,RIGHT(D57,10),D57)</f>
        <v/>
      </c>
      <c r="F57" s="32">
        <f>IF(B57="","",TRIM(INDEX('Form Responses'!$D:$D,ROW())&amp;""))</f>
        <v/>
      </c>
      <c r="G57" s="32">
        <f>IF(B57="","",IF(LEFT(TRIM(INDEX('Form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" s="32">
        <f>IF(B57="","",MAX(0,IFERROR(INT(--(INDEX('Form Responses'!$F:$F,ROW())&amp;"")),1)))</f>
        <v/>
      </c>
      <c r="I57" s="32">
        <f>IF(B57="","",MAX(0,IFERROR(INT(--(INDEX('Form Responses'!$G:$G,ROW())&amp;"")),0)))</f>
        <v/>
      </c>
      <c r="J57" s="32">
        <f>IF(B57="","",TRIM(INDEX('Form Responses'!$H:$H,ROW())&amp;""))</f>
        <v/>
      </c>
      <c r="K57" s="32">
        <f>IF(B57="","",TRIM(INDEX('Form Responses'!$I:$I,ROW())&amp;""))</f>
        <v/>
      </c>
      <c r="L57" s="32">
        <f>IF(B57="","",TRIM(INDEX('Form Responses'!$J:$J,ROW())&amp;""))</f>
        <v/>
      </c>
      <c r="M57" s="32">
        <f>IF(B57="","",TRIM(INDEX('Form Responses'!$K:$K,ROW())&amp;""))</f>
        <v/>
      </c>
      <c r="N57" s="32">
        <f>IF(B57="","",IF(E57&lt;&gt;"","P"&amp;E57,"N"&amp;B57))</f>
        <v/>
      </c>
      <c r="O57" s="32">
        <f>IF(N57="",0,IF(COUNTIF(N58:N$602,N57)=0,1,0))</f>
        <v/>
      </c>
      <c r="P57" s="32">
        <f>IF(AND(O57=1,E57&lt;&gt;""),E57,"")</f>
        <v/>
      </c>
      <c r="Q57" s="32">
        <f>IF(O57=1,B57,"")</f>
        <v/>
      </c>
      <c r="R57" s="32">
        <f>IF(O57&lt;&gt;1,"",IF(E57&lt;&gt;"",IFERROR(MATCH(E57,Guests!$S$6:$S$505,0)+5,IFERROR(MATCH(B57,Guests!$A$6:$A$505,0)+5,"")),IFERROR(MATCH(B57,Guests!$A$6:$A$505,0)+5,"")))</f>
        <v/>
      </c>
      <c r="S57" s="32">
        <f>IF(R57="","",TRIM(INDEX(Guests!$E$1:$E$505,R57)&amp;""))</f>
        <v/>
      </c>
      <c r="T57" s="32">
        <f>IF(R57="","",IF(S57="",1,COUNTIF(Guests!$E$6:$E$505,S57)))</f>
        <v/>
      </c>
      <c r="U57" s="32">
        <f>IF(R57="","",IF(S57="",1,IF(COUNTIF(S$1:S56,S57)=0,1,0)))</f>
        <v/>
      </c>
      <c r="V57" s="32">
        <f>IF(AND(R57&lt;&gt;"",G57="Attending",U57=1),MAX(0,H57+I57-T57),0)</f>
        <v/>
      </c>
      <c r="W57" s="32">
        <f>IF(AND(O57=1,R57=""),1,0)</f>
        <v/>
      </c>
      <c r="X57" s="32">
        <f>IF(B57="",0,H57+I57)</f>
        <v/>
      </c>
      <c r="Y57" s="32">
        <f>N(Y56)+O57</f>
        <v/>
      </c>
      <c r="Z57" s="32">
        <f>IF(O57=1,Y57,"")</f>
        <v/>
      </c>
      <c r="AA57" s="32">
        <f>IF(AND(W57=1,G57="Not sure yet"),1,0)</f>
        <v/>
      </c>
      <c r="AB57" s="32">
        <f>N(AB56)+AA57</f>
        <v/>
      </c>
      <c r="AC57" s="32">
        <f>IF(AA57=1,AB57,"")</f>
        <v/>
      </c>
      <c r="AD57" s="32">
        <f>IF(D57="","",IF(LEN(D57)=10,"+1"&amp;D57,IF(AND(LEN(D57)=11,LEFT(D57,1)="1"),"+"&amp;D57,IF(LEFT(C57,1)="+","+"&amp;D57,D57))))</f>
        <v/>
      </c>
      <c r="AE57" s="32">
        <f>IF(B57="","",PROPER(IFERROR(LEFT(B57,FIND(" ",B57)-1),B57)))</f>
        <v/>
      </c>
      <c r="AF57" s="32">
        <f>SUBSTITUTE(SUBSTITUTE(SUBSTITUTE(SUBSTITUTE(SUBSTITUTE(SUBSTITUTE(SUBSTITUTE(SUBSTITUTE(SUBSTITUTE(SUBSTITUTE(AE57,"%","%25"),"&amp;","%26"),"#","%23"),"+","%2B"),"=","%3D"),"?","%3F"),CHAR(34),"%22"),CHAR(10),"%0A"),CHAR(13),"")," ","+")</f>
        <v/>
      </c>
      <c r="AG57" s="32">
        <f>IF(OR(AD57="",AE57=""),"",'Start Here'!$B$20&amp;"#p="&amp;SUBSTITUTE(AD57,"+","%2B")&amp;"&amp;n="&amp;AF57&amp;"&amp;m="&amp;SUBSTITUTE('Start Here'!$B$24,"{name}",AF57))</f>
        <v/>
      </c>
      <c r="AH57" s="32">
        <f>N(AH56)+W57</f>
        <v/>
      </c>
      <c r="AI57" s="32">
        <f>IF(W57=1,AH57,"")</f>
        <v/>
      </c>
    </row>
    <row r="58">
      <c r="A58" s="32">
        <f>IF(INDEX('Form Responses'!$A:$A,ROW())="","",INDEX('Form Responses'!$A:$A,ROW()))</f>
        <v/>
      </c>
      <c r="B58" s="32">
        <f>TRIM(INDEX('Form Responses'!$B:$B,ROW())&amp;"")</f>
        <v/>
      </c>
      <c r="C58" s="32">
        <f>IF(B58="","",TRIM(INDEX('Form Responses'!$C:$C,ROW())&amp;""))</f>
        <v/>
      </c>
      <c r="D58" s="32">
        <f>SUBSTITUTE(SUBSTITUTE(SUBSTITUTE(SUBSTITUTE(SUBSTITUTE(SUBSTITUTE(SUBSTITUTE(SUBSTITUTE(C58," ",""),"-",""),"(",""),")",""),".",""),"+",""),"/",""),CHAR(160),"")</f>
        <v/>
      </c>
      <c r="E58" s="32">
        <f>IF(LEN(D58)&gt;=10,RIGHT(D58,10),D58)</f>
        <v/>
      </c>
      <c r="F58" s="32">
        <f>IF(B58="","",TRIM(INDEX('Form Responses'!$D:$D,ROW())&amp;""))</f>
        <v/>
      </c>
      <c r="G58" s="32">
        <f>IF(B58="","",IF(LEFT(TRIM(INDEX('Form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" s="32">
        <f>IF(B58="","",MAX(0,IFERROR(INT(--(INDEX('Form Responses'!$F:$F,ROW())&amp;"")),1)))</f>
        <v/>
      </c>
      <c r="I58" s="32">
        <f>IF(B58="","",MAX(0,IFERROR(INT(--(INDEX('Form Responses'!$G:$G,ROW())&amp;"")),0)))</f>
        <v/>
      </c>
      <c r="J58" s="32">
        <f>IF(B58="","",TRIM(INDEX('Form Responses'!$H:$H,ROW())&amp;""))</f>
        <v/>
      </c>
      <c r="K58" s="32">
        <f>IF(B58="","",TRIM(INDEX('Form Responses'!$I:$I,ROW())&amp;""))</f>
        <v/>
      </c>
      <c r="L58" s="32">
        <f>IF(B58="","",TRIM(INDEX('Form Responses'!$J:$J,ROW())&amp;""))</f>
        <v/>
      </c>
      <c r="M58" s="32">
        <f>IF(B58="","",TRIM(INDEX('Form Responses'!$K:$K,ROW())&amp;""))</f>
        <v/>
      </c>
      <c r="N58" s="32">
        <f>IF(B58="","",IF(E58&lt;&gt;"","P"&amp;E58,"N"&amp;B58))</f>
        <v/>
      </c>
      <c r="O58" s="32">
        <f>IF(N58="",0,IF(COUNTIF(N59:N$602,N58)=0,1,0))</f>
        <v/>
      </c>
      <c r="P58" s="32">
        <f>IF(AND(O58=1,E58&lt;&gt;""),E58,"")</f>
        <v/>
      </c>
      <c r="Q58" s="32">
        <f>IF(O58=1,B58,"")</f>
        <v/>
      </c>
      <c r="R58" s="32">
        <f>IF(O58&lt;&gt;1,"",IF(E58&lt;&gt;"",IFERROR(MATCH(E58,Guests!$S$6:$S$505,0)+5,IFERROR(MATCH(B58,Guests!$A$6:$A$505,0)+5,"")),IFERROR(MATCH(B58,Guests!$A$6:$A$505,0)+5,"")))</f>
        <v/>
      </c>
      <c r="S58" s="32">
        <f>IF(R58="","",TRIM(INDEX(Guests!$E$1:$E$505,R58)&amp;""))</f>
        <v/>
      </c>
      <c r="T58" s="32">
        <f>IF(R58="","",IF(S58="",1,COUNTIF(Guests!$E$6:$E$505,S58)))</f>
        <v/>
      </c>
      <c r="U58" s="32">
        <f>IF(R58="","",IF(S58="",1,IF(COUNTIF(S$1:S57,S58)=0,1,0)))</f>
        <v/>
      </c>
      <c r="V58" s="32">
        <f>IF(AND(R58&lt;&gt;"",G58="Attending",U58=1),MAX(0,H58+I58-T58),0)</f>
        <v/>
      </c>
      <c r="W58" s="32">
        <f>IF(AND(O58=1,R58=""),1,0)</f>
        <v/>
      </c>
      <c r="X58" s="32">
        <f>IF(B58="",0,H58+I58)</f>
        <v/>
      </c>
      <c r="Y58" s="32">
        <f>N(Y57)+O58</f>
        <v/>
      </c>
      <c r="Z58" s="32">
        <f>IF(O58=1,Y58,"")</f>
        <v/>
      </c>
      <c r="AA58" s="32">
        <f>IF(AND(W58=1,G58="Not sure yet"),1,0)</f>
        <v/>
      </c>
      <c r="AB58" s="32">
        <f>N(AB57)+AA58</f>
        <v/>
      </c>
      <c r="AC58" s="32">
        <f>IF(AA58=1,AB58,"")</f>
        <v/>
      </c>
      <c r="AD58" s="32">
        <f>IF(D58="","",IF(LEN(D58)=10,"+1"&amp;D58,IF(AND(LEN(D58)=11,LEFT(D58,1)="1"),"+"&amp;D58,IF(LEFT(C58,1)="+","+"&amp;D58,D58))))</f>
        <v/>
      </c>
      <c r="AE58" s="32">
        <f>IF(B58="","",PROPER(IFERROR(LEFT(B58,FIND(" ",B58)-1),B58)))</f>
        <v/>
      </c>
      <c r="AF58" s="32">
        <f>SUBSTITUTE(SUBSTITUTE(SUBSTITUTE(SUBSTITUTE(SUBSTITUTE(SUBSTITUTE(SUBSTITUTE(SUBSTITUTE(SUBSTITUTE(SUBSTITUTE(AE58,"%","%25"),"&amp;","%26"),"#","%23"),"+","%2B"),"=","%3D"),"?","%3F"),CHAR(34),"%22"),CHAR(10),"%0A"),CHAR(13),"")," ","+")</f>
        <v/>
      </c>
      <c r="AG58" s="32">
        <f>IF(OR(AD58="",AE58=""),"",'Start Here'!$B$20&amp;"#p="&amp;SUBSTITUTE(AD58,"+","%2B")&amp;"&amp;n="&amp;AF58&amp;"&amp;m="&amp;SUBSTITUTE('Start Here'!$B$24,"{name}",AF58))</f>
        <v/>
      </c>
      <c r="AH58" s="32">
        <f>N(AH57)+W58</f>
        <v/>
      </c>
      <c r="AI58" s="32">
        <f>IF(W58=1,AH58,"")</f>
        <v/>
      </c>
    </row>
    <row r="59">
      <c r="A59" s="32">
        <f>IF(INDEX('Form Responses'!$A:$A,ROW())="","",INDEX('Form Responses'!$A:$A,ROW()))</f>
        <v/>
      </c>
      <c r="B59" s="32">
        <f>TRIM(INDEX('Form Responses'!$B:$B,ROW())&amp;"")</f>
        <v/>
      </c>
      <c r="C59" s="32">
        <f>IF(B59="","",TRIM(INDEX('Form Responses'!$C:$C,ROW())&amp;""))</f>
        <v/>
      </c>
      <c r="D59" s="32">
        <f>SUBSTITUTE(SUBSTITUTE(SUBSTITUTE(SUBSTITUTE(SUBSTITUTE(SUBSTITUTE(SUBSTITUTE(SUBSTITUTE(C59," ",""),"-",""),"(",""),")",""),".",""),"+",""),"/",""),CHAR(160),"")</f>
        <v/>
      </c>
      <c r="E59" s="32">
        <f>IF(LEN(D59)&gt;=10,RIGHT(D59,10),D59)</f>
        <v/>
      </c>
      <c r="F59" s="32">
        <f>IF(B59="","",TRIM(INDEX('Form Responses'!$D:$D,ROW())&amp;""))</f>
        <v/>
      </c>
      <c r="G59" s="32">
        <f>IF(B59="","",IF(LEFT(TRIM(INDEX('Form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" s="32">
        <f>IF(B59="","",MAX(0,IFERROR(INT(--(INDEX('Form Responses'!$F:$F,ROW())&amp;"")),1)))</f>
        <v/>
      </c>
      <c r="I59" s="32">
        <f>IF(B59="","",MAX(0,IFERROR(INT(--(INDEX('Form Responses'!$G:$G,ROW())&amp;"")),0)))</f>
        <v/>
      </c>
      <c r="J59" s="32">
        <f>IF(B59="","",TRIM(INDEX('Form Responses'!$H:$H,ROW())&amp;""))</f>
        <v/>
      </c>
      <c r="K59" s="32">
        <f>IF(B59="","",TRIM(INDEX('Form Responses'!$I:$I,ROW())&amp;""))</f>
        <v/>
      </c>
      <c r="L59" s="32">
        <f>IF(B59="","",TRIM(INDEX('Form Responses'!$J:$J,ROW())&amp;""))</f>
        <v/>
      </c>
      <c r="M59" s="32">
        <f>IF(B59="","",TRIM(INDEX('Form Responses'!$K:$K,ROW())&amp;""))</f>
        <v/>
      </c>
      <c r="N59" s="32">
        <f>IF(B59="","",IF(E59&lt;&gt;"","P"&amp;E59,"N"&amp;B59))</f>
        <v/>
      </c>
      <c r="O59" s="32">
        <f>IF(N59="",0,IF(COUNTIF(N60:N$602,N59)=0,1,0))</f>
        <v/>
      </c>
      <c r="P59" s="32">
        <f>IF(AND(O59=1,E59&lt;&gt;""),E59,"")</f>
        <v/>
      </c>
      <c r="Q59" s="32">
        <f>IF(O59=1,B59,"")</f>
        <v/>
      </c>
      <c r="R59" s="32">
        <f>IF(O59&lt;&gt;1,"",IF(E59&lt;&gt;"",IFERROR(MATCH(E59,Guests!$S$6:$S$505,0)+5,IFERROR(MATCH(B59,Guests!$A$6:$A$505,0)+5,"")),IFERROR(MATCH(B59,Guests!$A$6:$A$505,0)+5,"")))</f>
        <v/>
      </c>
      <c r="S59" s="32">
        <f>IF(R59="","",TRIM(INDEX(Guests!$E$1:$E$505,R59)&amp;""))</f>
        <v/>
      </c>
      <c r="T59" s="32">
        <f>IF(R59="","",IF(S59="",1,COUNTIF(Guests!$E$6:$E$505,S59)))</f>
        <v/>
      </c>
      <c r="U59" s="32">
        <f>IF(R59="","",IF(S59="",1,IF(COUNTIF(S$1:S58,S59)=0,1,0)))</f>
        <v/>
      </c>
      <c r="V59" s="32">
        <f>IF(AND(R59&lt;&gt;"",G59="Attending",U59=1),MAX(0,H59+I59-T59),0)</f>
        <v/>
      </c>
      <c r="W59" s="32">
        <f>IF(AND(O59=1,R59=""),1,0)</f>
        <v/>
      </c>
      <c r="X59" s="32">
        <f>IF(B59="",0,H59+I59)</f>
        <v/>
      </c>
      <c r="Y59" s="32">
        <f>N(Y58)+O59</f>
        <v/>
      </c>
      <c r="Z59" s="32">
        <f>IF(O59=1,Y59,"")</f>
        <v/>
      </c>
      <c r="AA59" s="32">
        <f>IF(AND(W59=1,G59="Not sure yet"),1,0)</f>
        <v/>
      </c>
      <c r="AB59" s="32">
        <f>N(AB58)+AA59</f>
        <v/>
      </c>
      <c r="AC59" s="32">
        <f>IF(AA59=1,AB59,"")</f>
        <v/>
      </c>
      <c r="AD59" s="32">
        <f>IF(D59="","",IF(LEN(D59)=10,"+1"&amp;D59,IF(AND(LEN(D59)=11,LEFT(D59,1)="1"),"+"&amp;D59,IF(LEFT(C59,1)="+","+"&amp;D59,D59))))</f>
        <v/>
      </c>
      <c r="AE59" s="32">
        <f>IF(B59="","",PROPER(IFERROR(LEFT(B59,FIND(" ",B59)-1),B59)))</f>
        <v/>
      </c>
      <c r="AF59" s="32">
        <f>SUBSTITUTE(SUBSTITUTE(SUBSTITUTE(SUBSTITUTE(SUBSTITUTE(SUBSTITUTE(SUBSTITUTE(SUBSTITUTE(SUBSTITUTE(SUBSTITUTE(AE59,"%","%25"),"&amp;","%26"),"#","%23"),"+","%2B"),"=","%3D"),"?","%3F"),CHAR(34),"%22"),CHAR(10),"%0A"),CHAR(13),"")," ","+")</f>
        <v/>
      </c>
      <c r="AG59" s="32">
        <f>IF(OR(AD59="",AE59=""),"",'Start Here'!$B$20&amp;"#p="&amp;SUBSTITUTE(AD59,"+","%2B")&amp;"&amp;n="&amp;AF59&amp;"&amp;m="&amp;SUBSTITUTE('Start Here'!$B$24,"{name}",AF59))</f>
        <v/>
      </c>
      <c r="AH59" s="32">
        <f>N(AH58)+W59</f>
        <v/>
      </c>
      <c r="AI59" s="32">
        <f>IF(W59=1,AH59,"")</f>
        <v/>
      </c>
    </row>
    <row r="60">
      <c r="A60" s="32">
        <f>IF(INDEX('Form Responses'!$A:$A,ROW())="","",INDEX('Form Responses'!$A:$A,ROW()))</f>
        <v/>
      </c>
      <c r="B60" s="32">
        <f>TRIM(INDEX('Form Responses'!$B:$B,ROW())&amp;"")</f>
        <v/>
      </c>
      <c r="C60" s="32">
        <f>IF(B60="","",TRIM(INDEX('Form Responses'!$C:$C,ROW())&amp;""))</f>
        <v/>
      </c>
      <c r="D60" s="32">
        <f>SUBSTITUTE(SUBSTITUTE(SUBSTITUTE(SUBSTITUTE(SUBSTITUTE(SUBSTITUTE(SUBSTITUTE(SUBSTITUTE(C60," ",""),"-",""),"(",""),")",""),".",""),"+",""),"/",""),CHAR(160),"")</f>
        <v/>
      </c>
      <c r="E60" s="32">
        <f>IF(LEN(D60)&gt;=10,RIGHT(D60,10),D60)</f>
        <v/>
      </c>
      <c r="F60" s="32">
        <f>IF(B60="","",TRIM(INDEX('Form Responses'!$D:$D,ROW())&amp;""))</f>
        <v/>
      </c>
      <c r="G60" s="32">
        <f>IF(B60="","",IF(LEFT(TRIM(INDEX('Form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0" s="32">
        <f>IF(B60="","",MAX(0,IFERROR(INT(--(INDEX('Form Responses'!$F:$F,ROW())&amp;"")),1)))</f>
        <v/>
      </c>
      <c r="I60" s="32">
        <f>IF(B60="","",MAX(0,IFERROR(INT(--(INDEX('Form Responses'!$G:$G,ROW())&amp;"")),0)))</f>
        <v/>
      </c>
      <c r="J60" s="32">
        <f>IF(B60="","",TRIM(INDEX('Form Responses'!$H:$H,ROW())&amp;""))</f>
        <v/>
      </c>
      <c r="K60" s="32">
        <f>IF(B60="","",TRIM(INDEX('Form Responses'!$I:$I,ROW())&amp;""))</f>
        <v/>
      </c>
      <c r="L60" s="32">
        <f>IF(B60="","",TRIM(INDEX('Form Responses'!$J:$J,ROW())&amp;""))</f>
        <v/>
      </c>
      <c r="M60" s="32">
        <f>IF(B60="","",TRIM(INDEX('Form Responses'!$K:$K,ROW())&amp;""))</f>
        <v/>
      </c>
      <c r="N60" s="32">
        <f>IF(B60="","",IF(E60&lt;&gt;"","P"&amp;E60,"N"&amp;B60))</f>
        <v/>
      </c>
      <c r="O60" s="32">
        <f>IF(N60="",0,IF(COUNTIF(N61:N$602,N60)=0,1,0))</f>
        <v/>
      </c>
      <c r="P60" s="32">
        <f>IF(AND(O60=1,E60&lt;&gt;""),E60,"")</f>
        <v/>
      </c>
      <c r="Q60" s="32">
        <f>IF(O60=1,B60,"")</f>
        <v/>
      </c>
      <c r="R60" s="32">
        <f>IF(O60&lt;&gt;1,"",IF(E60&lt;&gt;"",IFERROR(MATCH(E60,Guests!$S$6:$S$505,0)+5,IFERROR(MATCH(B60,Guests!$A$6:$A$505,0)+5,"")),IFERROR(MATCH(B60,Guests!$A$6:$A$505,0)+5,"")))</f>
        <v/>
      </c>
      <c r="S60" s="32">
        <f>IF(R60="","",TRIM(INDEX(Guests!$E$1:$E$505,R60)&amp;""))</f>
        <v/>
      </c>
      <c r="T60" s="32">
        <f>IF(R60="","",IF(S60="",1,COUNTIF(Guests!$E$6:$E$505,S60)))</f>
        <v/>
      </c>
      <c r="U60" s="32">
        <f>IF(R60="","",IF(S60="",1,IF(COUNTIF(S$1:S59,S60)=0,1,0)))</f>
        <v/>
      </c>
      <c r="V60" s="32">
        <f>IF(AND(R60&lt;&gt;"",G60="Attending",U60=1),MAX(0,H60+I60-T60),0)</f>
        <v/>
      </c>
      <c r="W60" s="32">
        <f>IF(AND(O60=1,R60=""),1,0)</f>
        <v/>
      </c>
      <c r="X60" s="32">
        <f>IF(B60="",0,H60+I60)</f>
        <v/>
      </c>
      <c r="Y60" s="32">
        <f>N(Y59)+O60</f>
        <v/>
      </c>
      <c r="Z60" s="32">
        <f>IF(O60=1,Y60,"")</f>
        <v/>
      </c>
      <c r="AA60" s="32">
        <f>IF(AND(W60=1,G60="Not sure yet"),1,0)</f>
        <v/>
      </c>
      <c r="AB60" s="32">
        <f>N(AB59)+AA60</f>
        <v/>
      </c>
      <c r="AC60" s="32">
        <f>IF(AA60=1,AB60,"")</f>
        <v/>
      </c>
      <c r="AD60" s="32">
        <f>IF(D60="","",IF(LEN(D60)=10,"+1"&amp;D60,IF(AND(LEN(D60)=11,LEFT(D60,1)="1"),"+"&amp;D60,IF(LEFT(C60,1)="+","+"&amp;D60,D60))))</f>
        <v/>
      </c>
      <c r="AE60" s="32">
        <f>IF(B60="","",PROPER(IFERROR(LEFT(B60,FIND(" ",B60)-1),B60)))</f>
        <v/>
      </c>
      <c r="AF60" s="32">
        <f>SUBSTITUTE(SUBSTITUTE(SUBSTITUTE(SUBSTITUTE(SUBSTITUTE(SUBSTITUTE(SUBSTITUTE(SUBSTITUTE(SUBSTITUTE(SUBSTITUTE(AE60,"%","%25"),"&amp;","%26"),"#","%23"),"+","%2B"),"=","%3D"),"?","%3F"),CHAR(34),"%22"),CHAR(10),"%0A"),CHAR(13),"")," ","+")</f>
        <v/>
      </c>
      <c r="AG60" s="32">
        <f>IF(OR(AD60="",AE60=""),"",'Start Here'!$B$20&amp;"#p="&amp;SUBSTITUTE(AD60,"+","%2B")&amp;"&amp;n="&amp;AF60&amp;"&amp;m="&amp;SUBSTITUTE('Start Here'!$B$24,"{name}",AF60))</f>
        <v/>
      </c>
      <c r="AH60" s="32">
        <f>N(AH59)+W60</f>
        <v/>
      </c>
      <c r="AI60" s="32">
        <f>IF(W60=1,AH60,"")</f>
        <v/>
      </c>
    </row>
    <row r="61">
      <c r="A61" s="32">
        <f>IF(INDEX('Form Responses'!$A:$A,ROW())="","",INDEX('Form Responses'!$A:$A,ROW()))</f>
        <v/>
      </c>
      <c r="B61" s="32">
        <f>TRIM(INDEX('Form Responses'!$B:$B,ROW())&amp;"")</f>
        <v/>
      </c>
      <c r="C61" s="32">
        <f>IF(B61="","",TRIM(INDEX('Form Responses'!$C:$C,ROW())&amp;""))</f>
        <v/>
      </c>
      <c r="D61" s="32">
        <f>SUBSTITUTE(SUBSTITUTE(SUBSTITUTE(SUBSTITUTE(SUBSTITUTE(SUBSTITUTE(SUBSTITUTE(SUBSTITUTE(C61," ",""),"-",""),"(",""),")",""),".",""),"+",""),"/",""),CHAR(160),"")</f>
        <v/>
      </c>
      <c r="E61" s="32">
        <f>IF(LEN(D61)&gt;=10,RIGHT(D61,10),D61)</f>
        <v/>
      </c>
      <c r="F61" s="32">
        <f>IF(B61="","",TRIM(INDEX('Form Responses'!$D:$D,ROW())&amp;""))</f>
        <v/>
      </c>
      <c r="G61" s="32">
        <f>IF(B61="","",IF(LEFT(TRIM(INDEX('Form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1" s="32">
        <f>IF(B61="","",MAX(0,IFERROR(INT(--(INDEX('Form Responses'!$F:$F,ROW())&amp;"")),1)))</f>
        <v/>
      </c>
      <c r="I61" s="32">
        <f>IF(B61="","",MAX(0,IFERROR(INT(--(INDEX('Form Responses'!$G:$G,ROW())&amp;"")),0)))</f>
        <v/>
      </c>
      <c r="J61" s="32">
        <f>IF(B61="","",TRIM(INDEX('Form Responses'!$H:$H,ROW())&amp;""))</f>
        <v/>
      </c>
      <c r="K61" s="32">
        <f>IF(B61="","",TRIM(INDEX('Form Responses'!$I:$I,ROW())&amp;""))</f>
        <v/>
      </c>
      <c r="L61" s="32">
        <f>IF(B61="","",TRIM(INDEX('Form Responses'!$J:$J,ROW())&amp;""))</f>
        <v/>
      </c>
      <c r="M61" s="32">
        <f>IF(B61="","",TRIM(INDEX('Form Responses'!$K:$K,ROW())&amp;""))</f>
        <v/>
      </c>
      <c r="N61" s="32">
        <f>IF(B61="","",IF(E61&lt;&gt;"","P"&amp;E61,"N"&amp;B61))</f>
        <v/>
      </c>
      <c r="O61" s="32">
        <f>IF(N61="",0,IF(COUNTIF(N62:N$602,N61)=0,1,0))</f>
        <v/>
      </c>
      <c r="P61" s="32">
        <f>IF(AND(O61=1,E61&lt;&gt;""),E61,"")</f>
        <v/>
      </c>
      <c r="Q61" s="32">
        <f>IF(O61=1,B61,"")</f>
        <v/>
      </c>
      <c r="R61" s="32">
        <f>IF(O61&lt;&gt;1,"",IF(E61&lt;&gt;"",IFERROR(MATCH(E61,Guests!$S$6:$S$505,0)+5,IFERROR(MATCH(B61,Guests!$A$6:$A$505,0)+5,"")),IFERROR(MATCH(B61,Guests!$A$6:$A$505,0)+5,"")))</f>
        <v/>
      </c>
      <c r="S61" s="32">
        <f>IF(R61="","",TRIM(INDEX(Guests!$E$1:$E$505,R61)&amp;""))</f>
        <v/>
      </c>
      <c r="T61" s="32">
        <f>IF(R61="","",IF(S61="",1,COUNTIF(Guests!$E$6:$E$505,S61)))</f>
        <v/>
      </c>
      <c r="U61" s="32">
        <f>IF(R61="","",IF(S61="",1,IF(COUNTIF(S$1:S60,S61)=0,1,0)))</f>
        <v/>
      </c>
      <c r="V61" s="32">
        <f>IF(AND(R61&lt;&gt;"",G61="Attending",U61=1),MAX(0,H61+I61-T61),0)</f>
        <v/>
      </c>
      <c r="W61" s="32">
        <f>IF(AND(O61=1,R61=""),1,0)</f>
        <v/>
      </c>
      <c r="X61" s="32">
        <f>IF(B61="",0,H61+I61)</f>
        <v/>
      </c>
      <c r="Y61" s="32">
        <f>N(Y60)+O61</f>
        <v/>
      </c>
      <c r="Z61" s="32">
        <f>IF(O61=1,Y61,"")</f>
        <v/>
      </c>
      <c r="AA61" s="32">
        <f>IF(AND(W61=1,G61="Not sure yet"),1,0)</f>
        <v/>
      </c>
      <c r="AB61" s="32">
        <f>N(AB60)+AA61</f>
        <v/>
      </c>
      <c r="AC61" s="32">
        <f>IF(AA61=1,AB61,"")</f>
        <v/>
      </c>
      <c r="AD61" s="32">
        <f>IF(D61="","",IF(LEN(D61)=10,"+1"&amp;D61,IF(AND(LEN(D61)=11,LEFT(D61,1)="1"),"+"&amp;D61,IF(LEFT(C61,1)="+","+"&amp;D61,D61))))</f>
        <v/>
      </c>
      <c r="AE61" s="32">
        <f>IF(B61="","",PROPER(IFERROR(LEFT(B61,FIND(" ",B61)-1),B61)))</f>
        <v/>
      </c>
      <c r="AF61" s="32">
        <f>SUBSTITUTE(SUBSTITUTE(SUBSTITUTE(SUBSTITUTE(SUBSTITUTE(SUBSTITUTE(SUBSTITUTE(SUBSTITUTE(SUBSTITUTE(SUBSTITUTE(AE61,"%","%25"),"&amp;","%26"),"#","%23"),"+","%2B"),"=","%3D"),"?","%3F"),CHAR(34),"%22"),CHAR(10),"%0A"),CHAR(13),"")," ","+")</f>
        <v/>
      </c>
      <c r="AG61" s="32">
        <f>IF(OR(AD61="",AE61=""),"",'Start Here'!$B$20&amp;"#p="&amp;SUBSTITUTE(AD61,"+","%2B")&amp;"&amp;n="&amp;AF61&amp;"&amp;m="&amp;SUBSTITUTE('Start Here'!$B$24,"{name}",AF61))</f>
        <v/>
      </c>
      <c r="AH61" s="32">
        <f>N(AH60)+W61</f>
        <v/>
      </c>
      <c r="AI61" s="32">
        <f>IF(W61=1,AH61,"")</f>
        <v/>
      </c>
    </row>
    <row r="62">
      <c r="A62" s="32">
        <f>IF(INDEX('Form Responses'!$A:$A,ROW())="","",INDEX('Form Responses'!$A:$A,ROW()))</f>
        <v/>
      </c>
      <c r="B62" s="32">
        <f>TRIM(INDEX('Form Responses'!$B:$B,ROW())&amp;"")</f>
        <v/>
      </c>
      <c r="C62" s="32">
        <f>IF(B62="","",TRIM(INDEX('Form Responses'!$C:$C,ROW())&amp;""))</f>
        <v/>
      </c>
      <c r="D62" s="32">
        <f>SUBSTITUTE(SUBSTITUTE(SUBSTITUTE(SUBSTITUTE(SUBSTITUTE(SUBSTITUTE(SUBSTITUTE(SUBSTITUTE(C62," ",""),"-",""),"(",""),")",""),".",""),"+",""),"/",""),CHAR(160),"")</f>
        <v/>
      </c>
      <c r="E62" s="32">
        <f>IF(LEN(D62)&gt;=10,RIGHT(D62,10),D62)</f>
        <v/>
      </c>
      <c r="F62" s="32">
        <f>IF(B62="","",TRIM(INDEX('Form Responses'!$D:$D,ROW())&amp;""))</f>
        <v/>
      </c>
      <c r="G62" s="32">
        <f>IF(B62="","",IF(LEFT(TRIM(INDEX('Form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2" s="32">
        <f>IF(B62="","",MAX(0,IFERROR(INT(--(INDEX('Form Responses'!$F:$F,ROW())&amp;"")),1)))</f>
        <v/>
      </c>
      <c r="I62" s="32">
        <f>IF(B62="","",MAX(0,IFERROR(INT(--(INDEX('Form Responses'!$G:$G,ROW())&amp;"")),0)))</f>
        <v/>
      </c>
      <c r="J62" s="32">
        <f>IF(B62="","",TRIM(INDEX('Form Responses'!$H:$H,ROW())&amp;""))</f>
        <v/>
      </c>
      <c r="K62" s="32">
        <f>IF(B62="","",TRIM(INDEX('Form Responses'!$I:$I,ROW())&amp;""))</f>
        <v/>
      </c>
      <c r="L62" s="32">
        <f>IF(B62="","",TRIM(INDEX('Form Responses'!$J:$J,ROW())&amp;""))</f>
        <v/>
      </c>
      <c r="M62" s="32">
        <f>IF(B62="","",TRIM(INDEX('Form Responses'!$K:$K,ROW())&amp;""))</f>
        <v/>
      </c>
      <c r="N62" s="32">
        <f>IF(B62="","",IF(E62&lt;&gt;"","P"&amp;E62,"N"&amp;B62))</f>
        <v/>
      </c>
      <c r="O62" s="32">
        <f>IF(N62="",0,IF(COUNTIF(N63:N$602,N62)=0,1,0))</f>
        <v/>
      </c>
      <c r="P62" s="32">
        <f>IF(AND(O62=1,E62&lt;&gt;""),E62,"")</f>
        <v/>
      </c>
      <c r="Q62" s="32">
        <f>IF(O62=1,B62,"")</f>
        <v/>
      </c>
      <c r="R62" s="32">
        <f>IF(O62&lt;&gt;1,"",IF(E62&lt;&gt;"",IFERROR(MATCH(E62,Guests!$S$6:$S$505,0)+5,IFERROR(MATCH(B62,Guests!$A$6:$A$505,0)+5,"")),IFERROR(MATCH(B62,Guests!$A$6:$A$505,0)+5,"")))</f>
        <v/>
      </c>
      <c r="S62" s="32">
        <f>IF(R62="","",TRIM(INDEX(Guests!$E$1:$E$505,R62)&amp;""))</f>
        <v/>
      </c>
      <c r="T62" s="32">
        <f>IF(R62="","",IF(S62="",1,COUNTIF(Guests!$E$6:$E$505,S62)))</f>
        <v/>
      </c>
      <c r="U62" s="32">
        <f>IF(R62="","",IF(S62="",1,IF(COUNTIF(S$1:S61,S62)=0,1,0)))</f>
        <v/>
      </c>
      <c r="V62" s="32">
        <f>IF(AND(R62&lt;&gt;"",G62="Attending",U62=1),MAX(0,H62+I62-T62),0)</f>
        <v/>
      </c>
      <c r="W62" s="32">
        <f>IF(AND(O62=1,R62=""),1,0)</f>
        <v/>
      </c>
      <c r="X62" s="32">
        <f>IF(B62="",0,H62+I62)</f>
        <v/>
      </c>
      <c r="Y62" s="32">
        <f>N(Y61)+O62</f>
        <v/>
      </c>
      <c r="Z62" s="32">
        <f>IF(O62=1,Y62,"")</f>
        <v/>
      </c>
      <c r="AA62" s="32">
        <f>IF(AND(W62=1,G62="Not sure yet"),1,0)</f>
        <v/>
      </c>
      <c r="AB62" s="32">
        <f>N(AB61)+AA62</f>
        <v/>
      </c>
      <c r="AC62" s="32">
        <f>IF(AA62=1,AB62,"")</f>
        <v/>
      </c>
      <c r="AD62" s="32">
        <f>IF(D62="","",IF(LEN(D62)=10,"+1"&amp;D62,IF(AND(LEN(D62)=11,LEFT(D62,1)="1"),"+"&amp;D62,IF(LEFT(C62,1)="+","+"&amp;D62,D62))))</f>
        <v/>
      </c>
      <c r="AE62" s="32">
        <f>IF(B62="","",PROPER(IFERROR(LEFT(B62,FIND(" ",B62)-1),B62)))</f>
        <v/>
      </c>
      <c r="AF62" s="32">
        <f>SUBSTITUTE(SUBSTITUTE(SUBSTITUTE(SUBSTITUTE(SUBSTITUTE(SUBSTITUTE(SUBSTITUTE(SUBSTITUTE(SUBSTITUTE(SUBSTITUTE(AE62,"%","%25"),"&amp;","%26"),"#","%23"),"+","%2B"),"=","%3D"),"?","%3F"),CHAR(34),"%22"),CHAR(10),"%0A"),CHAR(13),"")," ","+")</f>
        <v/>
      </c>
      <c r="AG62" s="32">
        <f>IF(OR(AD62="",AE62=""),"",'Start Here'!$B$20&amp;"#p="&amp;SUBSTITUTE(AD62,"+","%2B")&amp;"&amp;n="&amp;AF62&amp;"&amp;m="&amp;SUBSTITUTE('Start Here'!$B$24,"{name}",AF62))</f>
        <v/>
      </c>
      <c r="AH62" s="32">
        <f>N(AH61)+W62</f>
        <v/>
      </c>
      <c r="AI62" s="32">
        <f>IF(W62=1,AH62,"")</f>
        <v/>
      </c>
    </row>
    <row r="63">
      <c r="A63" s="32">
        <f>IF(INDEX('Form Responses'!$A:$A,ROW())="","",INDEX('Form Responses'!$A:$A,ROW()))</f>
        <v/>
      </c>
      <c r="B63" s="32">
        <f>TRIM(INDEX('Form Responses'!$B:$B,ROW())&amp;"")</f>
        <v/>
      </c>
      <c r="C63" s="32">
        <f>IF(B63="","",TRIM(INDEX('Form Responses'!$C:$C,ROW())&amp;""))</f>
        <v/>
      </c>
      <c r="D63" s="32">
        <f>SUBSTITUTE(SUBSTITUTE(SUBSTITUTE(SUBSTITUTE(SUBSTITUTE(SUBSTITUTE(SUBSTITUTE(SUBSTITUTE(C63," ",""),"-",""),"(",""),")",""),".",""),"+",""),"/",""),CHAR(160),"")</f>
        <v/>
      </c>
      <c r="E63" s="32">
        <f>IF(LEN(D63)&gt;=10,RIGHT(D63,10),D63)</f>
        <v/>
      </c>
      <c r="F63" s="32">
        <f>IF(B63="","",TRIM(INDEX('Form Responses'!$D:$D,ROW())&amp;""))</f>
        <v/>
      </c>
      <c r="G63" s="32">
        <f>IF(B63="","",IF(LEFT(TRIM(INDEX('Form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3" s="32">
        <f>IF(B63="","",MAX(0,IFERROR(INT(--(INDEX('Form Responses'!$F:$F,ROW())&amp;"")),1)))</f>
        <v/>
      </c>
      <c r="I63" s="32">
        <f>IF(B63="","",MAX(0,IFERROR(INT(--(INDEX('Form Responses'!$G:$G,ROW())&amp;"")),0)))</f>
        <v/>
      </c>
      <c r="J63" s="32">
        <f>IF(B63="","",TRIM(INDEX('Form Responses'!$H:$H,ROW())&amp;""))</f>
        <v/>
      </c>
      <c r="K63" s="32">
        <f>IF(B63="","",TRIM(INDEX('Form Responses'!$I:$I,ROW())&amp;""))</f>
        <v/>
      </c>
      <c r="L63" s="32">
        <f>IF(B63="","",TRIM(INDEX('Form Responses'!$J:$J,ROW())&amp;""))</f>
        <v/>
      </c>
      <c r="M63" s="32">
        <f>IF(B63="","",TRIM(INDEX('Form Responses'!$K:$K,ROW())&amp;""))</f>
        <v/>
      </c>
      <c r="N63" s="32">
        <f>IF(B63="","",IF(E63&lt;&gt;"","P"&amp;E63,"N"&amp;B63))</f>
        <v/>
      </c>
      <c r="O63" s="32">
        <f>IF(N63="",0,IF(COUNTIF(N64:N$602,N63)=0,1,0))</f>
        <v/>
      </c>
      <c r="P63" s="32">
        <f>IF(AND(O63=1,E63&lt;&gt;""),E63,"")</f>
        <v/>
      </c>
      <c r="Q63" s="32">
        <f>IF(O63=1,B63,"")</f>
        <v/>
      </c>
      <c r="R63" s="32">
        <f>IF(O63&lt;&gt;1,"",IF(E63&lt;&gt;"",IFERROR(MATCH(E63,Guests!$S$6:$S$505,0)+5,IFERROR(MATCH(B63,Guests!$A$6:$A$505,0)+5,"")),IFERROR(MATCH(B63,Guests!$A$6:$A$505,0)+5,"")))</f>
        <v/>
      </c>
      <c r="S63" s="32">
        <f>IF(R63="","",TRIM(INDEX(Guests!$E$1:$E$505,R63)&amp;""))</f>
        <v/>
      </c>
      <c r="T63" s="32">
        <f>IF(R63="","",IF(S63="",1,COUNTIF(Guests!$E$6:$E$505,S63)))</f>
        <v/>
      </c>
      <c r="U63" s="32">
        <f>IF(R63="","",IF(S63="",1,IF(COUNTIF(S$1:S62,S63)=0,1,0)))</f>
        <v/>
      </c>
      <c r="V63" s="32">
        <f>IF(AND(R63&lt;&gt;"",G63="Attending",U63=1),MAX(0,H63+I63-T63),0)</f>
        <v/>
      </c>
      <c r="W63" s="32">
        <f>IF(AND(O63=1,R63=""),1,0)</f>
        <v/>
      </c>
      <c r="X63" s="32">
        <f>IF(B63="",0,H63+I63)</f>
        <v/>
      </c>
      <c r="Y63" s="32">
        <f>N(Y62)+O63</f>
        <v/>
      </c>
      <c r="Z63" s="32">
        <f>IF(O63=1,Y63,"")</f>
        <v/>
      </c>
      <c r="AA63" s="32">
        <f>IF(AND(W63=1,G63="Not sure yet"),1,0)</f>
        <v/>
      </c>
      <c r="AB63" s="32">
        <f>N(AB62)+AA63</f>
        <v/>
      </c>
      <c r="AC63" s="32">
        <f>IF(AA63=1,AB63,"")</f>
        <v/>
      </c>
      <c r="AD63" s="32">
        <f>IF(D63="","",IF(LEN(D63)=10,"+1"&amp;D63,IF(AND(LEN(D63)=11,LEFT(D63,1)="1"),"+"&amp;D63,IF(LEFT(C63,1)="+","+"&amp;D63,D63))))</f>
        <v/>
      </c>
      <c r="AE63" s="32">
        <f>IF(B63="","",PROPER(IFERROR(LEFT(B63,FIND(" ",B63)-1),B63)))</f>
        <v/>
      </c>
      <c r="AF63" s="32">
        <f>SUBSTITUTE(SUBSTITUTE(SUBSTITUTE(SUBSTITUTE(SUBSTITUTE(SUBSTITUTE(SUBSTITUTE(SUBSTITUTE(SUBSTITUTE(SUBSTITUTE(AE63,"%","%25"),"&amp;","%26"),"#","%23"),"+","%2B"),"=","%3D"),"?","%3F"),CHAR(34),"%22"),CHAR(10),"%0A"),CHAR(13),"")," ","+")</f>
        <v/>
      </c>
      <c r="AG63" s="32">
        <f>IF(OR(AD63="",AE63=""),"",'Start Here'!$B$20&amp;"#p="&amp;SUBSTITUTE(AD63,"+","%2B")&amp;"&amp;n="&amp;AF63&amp;"&amp;m="&amp;SUBSTITUTE('Start Here'!$B$24,"{name}",AF63))</f>
        <v/>
      </c>
      <c r="AH63" s="32">
        <f>N(AH62)+W63</f>
        <v/>
      </c>
      <c r="AI63" s="32">
        <f>IF(W63=1,AH63,"")</f>
        <v/>
      </c>
    </row>
    <row r="64">
      <c r="A64" s="32">
        <f>IF(INDEX('Form Responses'!$A:$A,ROW())="","",INDEX('Form Responses'!$A:$A,ROW()))</f>
        <v/>
      </c>
      <c r="B64" s="32">
        <f>TRIM(INDEX('Form Responses'!$B:$B,ROW())&amp;"")</f>
        <v/>
      </c>
      <c r="C64" s="32">
        <f>IF(B64="","",TRIM(INDEX('Form Responses'!$C:$C,ROW())&amp;""))</f>
        <v/>
      </c>
      <c r="D64" s="32">
        <f>SUBSTITUTE(SUBSTITUTE(SUBSTITUTE(SUBSTITUTE(SUBSTITUTE(SUBSTITUTE(SUBSTITUTE(SUBSTITUTE(C64," ",""),"-",""),"(",""),")",""),".",""),"+",""),"/",""),CHAR(160),"")</f>
        <v/>
      </c>
      <c r="E64" s="32">
        <f>IF(LEN(D64)&gt;=10,RIGHT(D64,10),D64)</f>
        <v/>
      </c>
      <c r="F64" s="32">
        <f>IF(B64="","",TRIM(INDEX('Form Responses'!$D:$D,ROW())&amp;""))</f>
        <v/>
      </c>
      <c r="G64" s="32">
        <f>IF(B64="","",IF(LEFT(TRIM(INDEX('Form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4" s="32">
        <f>IF(B64="","",MAX(0,IFERROR(INT(--(INDEX('Form Responses'!$F:$F,ROW())&amp;"")),1)))</f>
        <v/>
      </c>
      <c r="I64" s="32">
        <f>IF(B64="","",MAX(0,IFERROR(INT(--(INDEX('Form Responses'!$G:$G,ROW())&amp;"")),0)))</f>
        <v/>
      </c>
      <c r="J64" s="32">
        <f>IF(B64="","",TRIM(INDEX('Form Responses'!$H:$H,ROW())&amp;""))</f>
        <v/>
      </c>
      <c r="K64" s="32">
        <f>IF(B64="","",TRIM(INDEX('Form Responses'!$I:$I,ROW())&amp;""))</f>
        <v/>
      </c>
      <c r="L64" s="32">
        <f>IF(B64="","",TRIM(INDEX('Form Responses'!$J:$J,ROW())&amp;""))</f>
        <v/>
      </c>
      <c r="M64" s="32">
        <f>IF(B64="","",TRIM(INDEX('Form Responses'!$K:$K,ROW())&amp;""))</f>
        <v/>
      </c>
      <c r="N64" s="32">
        <f>IF(B64="","",IF(E64&lt;&gt;"","P"&amp;E64,"N"&amp;B64))</f>
        <v/>
      </c>
      <c r="O64" s="32">
        <f>IF(N64="",0,IF(COUNTIF(N65:N$602,N64)=0,1,0))</f>
        <v/>
      </c>
      <c r="P64" s="32">
        <f>IF(AND(O64=1,E64&lt;&gt;""),E64,"")</f>
        <v/>
      </c>
      <c r="Q64" s="32">
        <f>IF(O64=1,B64,"")</f>
        <v/>
      </c>
      <c r="R64" s="32">
        <f>IF(O64&lt;&gt;1,"",IF(E64&lt;&gt;"",IFERROR(MATCH(E64,Guests!$S$6:$S$505,0)+5,IFERROR(MATCH(B64,Guests!$A$6:$A$505,0)+5,"")),IFERROR(MATCH(B64,Guests!$A$6:$A$505,0)+5,"")))</f>
        <v/>
      </c>
      <c r="S64" s="32">
        <f>IF(R64="","",TRIM(INDEX(Guests!$E$1:$E$505,R64)&amp;""))</f>
        <v/>
      </c>
      <c r="T64" s="32">
        <f>IF(R64="","",IF(S64="",1,COUNTIF(Guests!$E$6:$E$505,S64)))</f>
        <v/>
      </c>
      <c r="U64" s="32">
        <f>IF(R64="","",IF(S64="",1,IF(COUNTIF(S$1:S63,S64)=0,1,0)))</f>
        <v/>
      </c>
      <c r="V64" s="32">
        <f>IF(AND(R64&lt;&gt;"",G64="Attending",U64=1),MAX(0,H64+I64-T64),0)</f>
        <v/>
      </c>
      <c r="W64" s="32">
        <f>IF(AND(O64=1,R64=""),1,0)</f>
        <v/>
      </c>
      <c r="X64" s="32">
        <f>IF(B64="",0,H64+I64)</f>
        <v/>
      </c>
      <c r="Y64" s="32">
        <f>N(Y63)+O64</f>
        <v/>
      </c>
      <c r="Z64" s="32">
        <f>IF(O64=1,Y64,"")</f>
        <v/>
      </c>
      <c r="AA64" s="32">
        <f>IF(AND(W64=1,G64="Not sure yet"),1,0)</f>
        <v/>
      </c>
      <c r="AB64" s="32">
        <f>N(AB63)+AA64</f>
        <v/>
      </c>
      <c r="AC64" s="32">
        <f>IF(AA64=1,AB64,"")</f>
        <v/>
      </c>
      <c r="AD64" s="32">
        <f>IF(D64="","",IF(LEN(D64)=10,"+1"&amp;D64,IF(AND(LEN(D64)=11,LEFT(D64,1)="1"),"+"&amp;D64,IF(LEFT(C64,1)="+","+"&amp;D64,D64))))</f>
        <v/>
      </c>
      <c r="AE64" s="32">
        <f>IF(B64="","",PROPER(IFERROR(LEFT(B64,FIND(" ",B64)-1),B64)))</f>
        <v/>
      </c>
      <c r="AF64" s="32">
        <f>SUBSTITUTE(SUBSTITUTE(SUBSTITUTE(SUBSTITUTE(SUBSTITUTE(SUBSTITUTE(SUBSTITUTE(SUBSTITUTE(SUBSTITUTE(SUBSTITUTE(AE64,"%","%25"),"&amp;","%26"),"#","%23"),"+","%2B"),"=","%3D"),"?","%3F"),CHAR(34),"%22"),CHAR(10),"%0A"),CHAR(13),"")," ","+")</f>
        <v/>
      </c>
      <c r="AG64" s="32">
        <f>IF(OR(AD64="",AE64=""),"",'Start Here'!$B$20&amp;"#p="&amp;SUBSTITUTE(AD64,"+","%2B")&amp;"&amp;n="&amp;AF64&amp;"&amp;m="&amp;SUBSTITUTE('Start Here'!$B$24,"{name}",AF64))</f>
        <v/>
      </c>
      <c r="AH64" s="32">
        <f>N(AH63)+W64</f>
        <v/>
      </c>
      <c r="AI64" s="32">
        <f>IF(W64=1,AH64,"")</f>
        <v/>
      </c>
    </row>
    <row r="65">
      <c r="A65" s="32">
        <f>IF(INDEX('Form Responses'!$A:$A,ROW())="","",INDEX('Form Responses'!$A:$A,ROW()))</f>
        <v/>
      </c>
      <c r="B65" s="32">
        <f>TRIM(INDEX('Form Responses'!$B:$B,ROW())&amp;"")</f>
        <v/>
      </c>
      <c r="C65" s="32">
        <f>IF(B65="","",TRIM(INDEX('Form Responses'!$C:$C,ROW())&amp;""))</f>
        <v/>
      </c>
      <c r="D65" s="32">
        <f>SUBSTITUTE(SUBSTITUTE(SUBSTITUTE(SUBSTITUTE(SUBSTITUTE(SUBSTITUTE(SUBSTITUTE(SUBSTITUTE(C65," ",""),"-",""),"(",""),")",""),".",""),"+",""),"/",""),CHAR(160),"")</f>
        <v/>
      </c>
      <c r="E65" s="32">
        <f>IF(LEN(D65)&gt;=10,RIGHT(D65,10),D65)</f>
        <v/>
      </c>
      <c r="F65" s="32">
        <f>IF(B65="","",TRIM(INDEX('Form Responses'!$D:$D,ROW())&amp;""))</f>
        <v/>
      </c>
      <c r="G65" s="32">
        <f>IF(B65="","",IF(LEFT(TRIM(INDEX('Form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5" s="32">
        <f>IF(B65="","",MAX(0,IFERROR(INT(--(INDEX('Form Responses'!$F:$F,ROW())&amp;"")),1)))</f>
        <v/>
      </c>
      <c r="I65" s="32">
        <f>IF(B65="","",MAX(0,IFERROR(INT(--(INDEX('Form Responses'!$G:$G,ROW())&amp;"")),0)))</f>
        <v/>
      </c>
      <c r="J65" s="32">
        <f>IF(B65="","",TRIM(INDEX('Form Responses'!$H:$H,ROW())&amp;""))</f>
        <v/>
      </c>
      <c r="K65" s="32">
        <f>IF(B65="","",TRIM(INDEX('Form Responses'!$I:$I,ROW())&amp;""))</f>
        <v/>
      </c>
      <c r="L65" s="32">
        <f>IF(B65="","",TRIM(INDEX('Form Responses'!$J:$J,ROW())&amp;""))</f>
        <v/>
      </c>
      <c r="M65" s="32">
        <f>IF(B65="","",TRIM(INDEX('Form Responses'!$K:$K,ROW())&amp;""))</f>
        <v/>
      </c>
      <c r="N65" s="32">
        <f>IF(B65="","",IF(E65&lt;&gt;"","P"&amp;E65,"N"&amp;B65))</f>
        <v/>
      </c>
      <c r="O65" s="32">
        <f>IF(N65="",0,IF(COUNTIF(N66:N$602,N65)=0,1,0))</f>
        <v/>
      </c>
      <c r="P65" s="32">
        <f>IF(AND(O65=1,E65&lt;&gt;""),E65,"")</f>
        <v/>
      </c>
      <c r="Q65" s="32">
        <f>IF(O65=1,B65,"")</f>
        <v/>
      </c>
      <c r="R65" s="32">
        <f>IF(O65&lt;&gt;1,"",IF(E65&lt;&gt;"",IFERROR(MATCH(E65,Guests!$S$6:$S$505,0)+5,IFERROR(MATCH(B65,Guests!$A$6:$A$505,0)+5,"")),IFERROR(MATCH(B65,Guests!$A$6:$A$505,0)+5,"")))</f>
        <v/>
      </c>
      <c r="S65" s="32">
        <f>IF(R65="","",TRIM(INDEX(Guests!$E$1:$E$505,R65)&amp;""))</f>
        <v/>
      </c>
      <c r="T65" s="32">
        <f>IF(R65="","",IF(S65="",1,COUNTIF(Guests!$E$6:$E$505,S65)))</f>
        <v/>
      </c>
      <c r="U65" s="32">
        <f>IF(R65="","",IF(S65="",1,IF(COUNTIF(S$1:S64,S65)=0,1,0)))</f>
        <v/>
      </c>
      <c r="V65" s="32">
        <f>IF(AND(R65&lt;&gt;"",G65="Attending",U65=1),MAX(0,H65+I65-T65),0)</f>
        <v/>
      </c>
      <c r="W65" s="32">
        <f>IF(AND(O65=1,R65=""),1,0)</f>
        <v/>
      </c>
      <c r="X65" s="32">
        <f>IF(B65="",0,H65+I65)</f>
        <v/>
      </c>
      <c r="Y65" s="32">
        <f>N(Y64)+O65</f>
        <v/>
      </c>
      <c r="Z65" s="32">
        <f>IF(O65=1,Y65,"")</f>
        <v/>
      </c>
      <c r="AA65" s="32">
        <f>IF(AND(W65=1,G65="Not sure yet"),1,0)</f>
        <v/>
      </c>
      <c r="AB65" s="32">
        <f>N(AB64)+AA65</f>
        <v/>
      </c>
      <c r="AC65" s="32">
        <f>IF(AA65=1,AB65,"")</f>
        <v/>
      </c>
      <c r="AD65" s="32">
        <f>IF(D65="","",IF(LEN(D65)=10,"+1"&amp;D65,IF(AND(LEN(D65)=11,LEFT(D65,1)="1"),"+"&amp;D65,IF(LEFT(C65,1)="+","+"&amp;D65,D65))))</f>
        <v/>
      </c>
      <c r="AE65" s="32">
        <f>IF(B65="","",PROPER(IFERROR(LEFT(B65,FIND(" ",B65)-1),B65)))</f>
        <v/>
      </c>
      <c r="AF65" s="32">
        <f>SUBSTITUTE(SUBSTITUTE(SUBSTITUTE(SUBSTITUTE(SUBSTITUTE(SUBSTITUTE(SUBSTITUTE(SUBSTITUTE(SUBSTITUTE(SUBSTITUTE(AE65,"%","%25"),"&amp;","%26"),"#","%23"),"+","%2B"),"=","%3D"),"?","%3F"),CHAR(34),"%22"),CHAR(10),"%0A"),CHAR(13),"")," ","+")</f>
        <v/>
      </c>
      <c r="AG65" s="32">
        <f>IF(OR(AD65="",AE65=""),"",'Start Here'!$B$20&amp;"#p="&amp;SUBSTITUTE(AD65,"+","%2B")&amp;"&amp;n="&amp;AF65&amp;"&amp;m="&amp;SUBSTITUTE('Start Here'!$B$24,"{name}",AF65))</f>
        <v/>
      </c>
      <c r="AH65" s="32">
        <f>N(AH64)+W65</f>
        <v/>
      </c>
      <c r="AI65" s="32">
        <f>IF(W65=1,AH65,"")</f>
        <v/>
      </c>
    </row>
    <row r="66">
      <c r="A66" s="32">
        <f>IF(INDEX('Form Responses'!$A:$A,ROW())="","",INDEX('Form Responses'!$A:$A,ROW()))</f>
        <v/>
      </c>
      <c r="B66" s="32">
        <f>TRIM(INDEX('Form Responses'!$B:$B,ROW())&amp;"")</f>
        <v/>
      </c>
      <c r="C66" s="32">
        <f>IF(B66="","",TRIM(INDEX('Form Responses'!$C:$C,ROW())&amp;""))</f>
        <v/>
      </c>
      <c r="D66" s="32">
        <f>SUBSTITUTE(SUBSTITUTE(SUBSTITUTE(SUBSTITUTE(SUBSTITUTE(SUBSTITUTE(SUBSTITUTE(SUBSTITUTE(C66," ",""),"-",""),"(",""),")",""),".",""),"+",""),"/",""),CHAR(160),"")</f>
        <v/>
      </c>
      <c r="E66" s="32">
        <f>IF(LEN(D66)&gt;=10,RIGHT(D66,10),D66)</f>
        <v/>
      </c>
      <c r="F66" s="32">
        <f>IF(B66="","",TRIM(INDEX('Form Responses'!$D:$D,ROW())&amp;""))</f>
        <v/>
      </c>
      <c r="G66" s="32">
        <f>IF(B66="","",IF(LEFT(TRIM(INDEX('Form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6" s="32">
        <f>IF(B66="","",MAX(0,IFERROR(INT(--(INDEX('Form Responses'!$F:$F,ROW())&amp;"")),1)))</f>
        <v/>
      </c>
      <c r="I66" s="32">
        <f>IF(B66="","",MAX(0,IFERROR(INT(--(INDEX('Form Responses'!$G:$G,ROW())&amp;"")),0)))</f>
        <v/>
      </c>
      <c r="J66" s="32">
        <f>IF(B66="","",TRIM(INDEX('Form Responses'!$H:$H,ROW())&amp;""))</f>
        <v/>
      </c>
      <c r="K66" s="32">
        <f>IF(B66="","",TRIM(INDEX('Form Responses'!$I:$I,ROW())&amp;""))</f>
        <v/>
      </c>
      <c r="L66" s="32">
        <f>IF(B66="","",TRIM(INDEX('Form Responses'!$J:$J,ROW())&amp;""))</f>
        <v/>
      </c>
      <c r="M66" s="32">
        <f>IF(B66="","",TRIM(INDEX('Form Responses'!$K:$K,ROW())&amp;""))</f>
        <v/>
      </c>
      <c r="N66" s="32">
        <f>IF(B66="","",IF(E66&lt;&gt;"","P"&amp;E66,"N"&amp;B66))</f>
        <v/>
      </c>
      <c r="O66" s="32">
        <f>IF(N66="",0,IF(COUNTIF(N67:N$602,N66)=0,1,0))</f>
        <v/>
      </c>
      <c r="P66" s="32">
        <f>IF(AND(O66=1,E66&lt;&gt;""),E66,"")</f>
        <v/>
      </c>
      <c r="Q66" s="32">
        <f>IF(O66=1,B66,"")</f>
        <v/>
      </c>
      <c r="R66" s="32">
        <f>IF(O66&lt;&gt;1,"",IF(E66&lt;&gt;"",IFERROR(MATCH(E66,Guests!$S$6:$S$505,0)+5,IFERROR(MATCH(B66,Guests!$A$6:$A$505,0)+5,"")),IFERROR(MATCH(B66,Guests!$A$6:$A$505,0)+5,"")))</f>
        <v/>
      </c>
      <c r="S66" s="32">
        <f>IF(R66="","",TRIM(INDEX(Guests!$E$1:$E$505,R66)&amp;""))</f>
        <v/>
      </c>
      <c r="T66" s="32">
        <f>IF(R66="","",IF(S66="",1,COUNTIF(Guests!$E$6:$E$505,S66)))</f>
        <v/>
      </c>
      <c r="U66" s="32">
        <f>IF(R66="","",IF(S66="",1,IF(COUNTIF(S$1:S65,S66)=0,1,0)))</f>
        <v/>
      </c>
      <c r="V66" s="32">
        <f>IF(AND(R66&lt;&gt;"",G66="Attending",U66=1),MAX(0,H66+I66-T66),0)</f>
        <v/>
      </c>
      <c r="W66" s="32">
        <f>IF(AND(O66=1,R66=""),1,0)</f>
        <v/>
      </c>
      <c r="X66" s="32">
        <f>IF(B66="",0,H66+I66)</f>
        <v/>
      </c>
      <c r="Y66" s="32">
        <f>N(Y65)+O66</f>
        <v/>
      </c>
      <c r="Z66" s="32">
        <f>IF(O66=1,Y66,"")</f>
        <v/>
      </c>
      <c r="AA66" s="32">
        <f>IF(AND(W66=1,G66="Not sure yet"),1,0)</f>
        <v/>
      </c>
      <c r="AB66" s="32">
        <f>N(AB65)+AA66</f>
        <v/>
      </c>
      <c r="AC66" s="32">
        <f>IF(AA66=1,AB66,"")</f>
        <v/>
      </c>
      <c r="AD66" s="32">
        <f>IF(D66="","",IF(LEN(D66)=10,"+1"&amp;D66,IF(AND(LEN(D66)=11,LEFT(D66,1)="1"),"+"&amp;D66,IF(LEFT(C66,1)="+","+"&amp;D66,D66))))</f>
        <v/>
      </c>
      <c r="AE66" s="32">
        <f>IF(B66="","",PROPER(IFERROR(LEFT(B66,FIND(" ",B66)-1),B66)))</f>
        <v/>
      </c>
      <c r="AF66" s="32">
        <f>SUBSTITUTE(SUBSTITUTE(SUBSTITUTE(SUBSTITUTE(SUBSTITUTE(SUBSTITUTE(SUBSTITUTE(SUBSTITUTE(SUBSTITUTE(SUBSTITUTE(AE66,"%","%25"),"&amp;","%26"),"#","%23"),"+","%2B"),"=","%3D"),"?","%3F"),CHAR(34),"%22"),CHAR(10),"%0A"),CHAR(13),"")," ","+")</f>
        <v/>
      </c>
      <c r="AG66" s="32">
        <f>IF(OR(AD66="",AE66=""),"",'Start Here'!$B$20&amp;"#p="&amp;SUBSTITUTE(AD66,"+","%2B")&amp;"&amp;n="&amp;AF66&amp;"&amp;m="&amp;SUBSTITUTE('Start Here'!$B$24,"{name}",AF66))</f>
        <v/>
      </c>
      <c r="AH66" s="32">
        <f>N(AH65)+W66</f>
        <v/>
      </c>
      <c r="AI66" s="32">
        <f>IF(W66=1,AH66,"")</f>
        <v/>
      </c>
    </row>
    <row r="67">
      <c r="A67" s="32">
        <f>IF(INDEX('Form Responses'!$A:$A,ROW())="","",INDEX('Form Responses'!$A:$A,ROW()))</f>
        <v/>
      </c>
      <c r="B67" s="32">
        <f>TRIM(INDEX('Form Responses'!$B:$B,ROW())&amp;"")</f>
        <v/>
      </c>
      <c r="C67" s="32">
        <f>IF(B67="","",TRIM(INDEX('Form Responses'!$C:$C,ROW())&amp;""))</f>
        <v/>
      </c>
      <c r="D67" s="32">
        <f>SUBSTITUTE(SUBSTITUTE(SUBSTITUTE(SUBSTITUTE(SUBSTITUTE(SUBSTITUTE(SUBSTITUTE(SUBSTITUTE(C67," ",""),"-",""),"(",""),")",""),".",""),"+",""),"/",""),CHAR(160),"")</f>
        <v/>
      </c>
      <c r="E67" s="32">
        <f>IF(LEN(D67)&gt;=10,RIGHT(D67,10),D67)</f>
        <v/>
      </c>
      <c r="F67" s="32">
        <f>IF(B67="","",TRIM(INDEX('Form Responses'!$D:$D,ROW())&amp;""))</f>
        <v/>
      </c>
      <c r="G67" s="32">
        <f>IF(B67="","",IF(LEFT(TRIM(INDEX('Form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7" s="32">
        <f>IF(B67="","",MAX(0,IFERROR(INT(--(INDEX('Form Responses'!$F:$F,ROW())&amp;"")),1)))</f>
        <v/>
      </c>
      <c r="I67" s="32">
        <f>IF(B67="","",MAX(0,IFERROR(INT(--(INDEX('Form Responses'!$G:$G,ROW())&amp;"")),0)))</f>
        <v/>
      </c>
      <c r="J67" s="32">
        <f>IF(B67="","",TRIM(INDEX('Form Responses'!$H:$H,ROW())&amp;""))</f>
        <v/>
      </c>
      <c r="K67" s="32">
        <f>IF(B67="","",TRIM(INDEX('Form Responses'!$I:$I,ROW())&amp;""))</f>
        <v/>
      </c>
      <c r="L67" s="32">
        <f>IF(B67="","",TRIM(INDEX('Form Responses'!$J:$J,ROW())&amp;""))</f>
        <v/>
      </c>
      <c r="M67" s="32">
        <f>IF(B67="","",TRIM(INDEX('Form Responses'!$K:$K,ROW())&amp;""))</f>
        <v/>
      </c>
      <c r="N67" s="32">
        <f>IF(B67="","",IF(E67&lt;&gt;"","P"&amp;E67,"N"&amp;B67))</f>
        <v/>
      </c>
      <c r="O67" s="32">
        <f>IF(N67="",0,IF(COUNTIF(N68:N$602,N67)=0,1,0))</f>
        <v/>
      </c>
      <c r="P67" s="32">
        <f>IF(AND(O67=1,E67&lt;&gt;""),E67,"")</f>
        <v/>
      </c>
      <c r="Q67" s="32">
        <f>IF(O67=1,B67,"")</f>
        <v/>
      </c>
      <c r="R67" s="32">
        <f>IF(O67&lt;&gt;1,"",IF(E67&lt;&gt;"",IFERROR(MATCH(E67,Guests!$S$6:$S$505,0)+5,IFERROR(MATCH(B67,Guests!$A$6:$A$505,0)+5,"")),IFERROR(MATCH(B67,Guests!$A$6:$A$505,0)+5,"")))</f>
        <v/>
      </c>
      <c r="S67" s="32">
        <f>IF(R67="","",TRIM(INDEX(Guests!$E$1:$E$505,R67)&amp;""))</f>
        <v/>
      </c>
      <c r="T67" s="32">
        <f>IF(R67="","",IF(S67="",1,COUNTIF(Guests!$E$6:$E$505,S67)))</f>
        <v/>
      </c>
      <c r="U67" s="32">
        <f>IF(R67="","",IF(S67="",1,IF(COUNTIF(S$1:S66,S67)=0,1,0)))</f>
        <v/>
      </c>
      <c r="V67" s="32">
        <f>IF(AND(R67&lt;&gt;"",G67="Attending",U67=1),MAX(0,H67+I67-T67),0)</f>
        <v/>
      </c>
      <c r="W67" s="32">
        <f>IF(AND(O67=1,R67=""),1,0)</f>
        <v/>
      </c>
      <c r="X67" s="32">
        <f>IF(B67="",0,H67+I67)</f>
        <v/>
      </c>
      <c r="Y67" s="32">
        <f>N(Y66)+O67</f>
        <v/>
      </c>
      <c r="Z67" s="32">
        <f>IF(O67=1,Y67,"")</f>
        <v/>
      </c>
      <c r="AA67" s="32">
        <f>IF(AND(W67=1,G67="Not sure yet"),1,0)</f>
        <v/>
      </c>
      <c r="AB67" s="32">
        <f>N(AB66)+AA67</f>
        <v/>
      </c>
      <c r="AC67" s="32">
        <f>IF(AA67=1,AB67,"")</f>
        <v/>
      </c>
      <c r="AD67" s="32">
        <f>IF(D67="","",IF(LEN(D67)=10,"+1"&amp;D67,IF(AND(LEN(D67)=11,LEFT(D67,1)="1"),"+"&amp;D67,IF(LEFT(C67,1)="+","+"&amp;D67,D67))))</f>
        <v/>
      </c>
      <c r="AE67" s="32">
        <f>IF(B67="","",PROPER(IFERROR(LEFT(B67,FIND(" ",B67)-1),B67)))</f>
        <v/>
      </c>
      <c r="AF67" s="32">
        <f>SUBSTITUTE(SUBSTITUTE(SUBSTITUTE(SUBSTITUTE(SUBSTITUTE(SUBSTITUTE(SUBSTITUTE(SUBSTITUTE(SUBSTITUTE(SUBSTITUTE(AE67,"%","%25"),"&amp;","%26"),"#","%23"),"+","%2B"),"=","%3D"),"?","%3F"),CHAR(34),"%22"),CHAR(10),"%0A"),CHAR(13),"")," ","+")</f>
        <v/>
      </c>
      <c r="AG67" s="32">
        <f>IF(OR(AD67="",AE67=""),"",'Start Here'!$B$20&amp;"#p="&amp;SUBSTITUTE(AD67,"+","%2B")&amp;"&amp;n="&amp;AF67&amp;"&amp;m="&amp;SUBSTITUTE('Start Here'!$B$24,"{name}",AF67))</f>
        <v/>
      </c>
      <c r="AH67" s="32">
        <f>N(AH66)+W67</f>
        <v/>
      </c>
      <c r="AI67" s="32">
        <f>IF(W67=1,AH67,"")</f>
        <v/>
      </c>
    </row>
    <row r="68">
      <c r="A68" s="32">
        <f>IF(INDEX('Form Responses'!$A:$A,ROW())="","",INDEX('Form Responses'!$A:$A,ROW()))</f>
        <v/>
      </c>
      <c r="B68" s="32">
        <f>TRIM(INDEX('Form Responses'!$B:$B,ROW())&amp;"")</f>
        <v/>
      </c>
      <c r="C68" s="32">
        <f>IF(B68="","",TRIM(INDEX('Form Responses'!$C:$C,ROW())&amp;""))</f>
        <v/>
      </c>
      <c r="D68" s="32">
        <f>SUBSTITUTE(SUBSTITUTE(SUBSTITUTE(SUBSTITUTE(SUBSTITUTE(SUBSTITUTE(SUBSTITUTE(SUBSTITUTE(C68," ",""),"-",""),"(",""),")",""),".",""),"+",""),"/",""),CHAR(160),"")</f>
        <v/>
      </c>
      <c r="E68" s="32">
        <f>IF(LEN(D68)&gt;=10,RIGHT(D68,10),D68)</f>
        <v/>
      </c>
      <c r="F68" s="32">
        <f>IF(B68="","",TRIM(INDEX('Form Responses'!$D:$D,ROW())&amp;""))</f>
        <v/>
      </c>
      <c r="G68" s="32">
        <f>IF(B68="","",IF(LEFT(TRIM(INDEX('Form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8" s="32">
        <f>IF(B68="","",MAX(0,IFERROR(INT(--(INDEX('Form Responses'!$F:$F,ROW())&amp;"")),1)))</f>
        <v/>
      </c>
      <c r="I68" s="32">
        <f>IF(B68="","",MAX(0,IFERROR(INT(--(INDEX('Form Responses'!$G:$G,ROW())&amp;"")),0)))</f>
        <v/>
      </c>
      <c r="J68" s="32">
        <f>IF(B68="","",TRIM(INDEX('Form Responses'!$H:$H,ROW())&amp;""))</f>
        <v/>
      </c>
      <c r="K68" s="32">
        <f>IF(B68="","",TRIM(INDEX('Form Responses'!$I:$I,ROW())&amp;""))</f>
        <v/>
      </c>
      <c r="L68" s="32">
        <f>IF(B68="","",TRIM(INDEX('Form Responses'!$J:$J,ROW())&amp;""))</f>
        <v/>
      </c>
      <c r="M68" s="32">
        <f>IF(B68="","",TRIM(INDEX('Form Responses'!$K:$K,ROW())&amp;""))</f>
        <v/>
      </c>
      <c r="N68" s="32">
        <f>IF(B68="","",IF(E68&lt;&gt;"","P"&amp;E68,"N"&amp;B68))</f>
        <v/>
      </c>
      <c r="O68" s="32">
        <f>IF(N68="",0,IF(COUNTIF(N69:N$602,N68)=0,1,0))</f>
        <v/>
      </c>
      <c r="P68" s="32">
        <f>IF(AND(O68=1,E68&lt;&gt;""),E68,"")</f>
        <v/>
      </c>
      <c r="Q68" s="32">
        <f>IF(O68=1,B68,"")</f>
        <v/>
      </c>
      <c r="R68" s="32">
        <f>IF(O68&lt;&gt;1,"",IF(E68&lt;&gt;"",IFERROR(MATCH(E68,Guests!$S$6:$S$505,0)+5,IFERROR(MATCH(B68,Guests!$A$6:$A$505,0)+5,"")),IFERROR(MATCH(B68,Guests!$A$6:$A$505,0)+5,"")))</f>
        <v/>
      </c>
      <c r="S68" s="32">
        <f>IF(R68="","",TRIM(INDEX(Guests!$E$1:$E$505,R68)&amp;""))</f>
        <v/>
      </c>
      <c r="T68" s="32">
        <f>IF(R68="","",IF(S68="",1,COUNTIF(Guests!$E$6:$E$505,S68)))</f>
        <v/>
      </c>
      <c r="U68" s="32">
        <f>IF(R68="","",IF(S68="",1,IF(COUNTIF(S$1:S67,S68)=0,1,0)))</f>
        <v/>
      </c>
      <c r="V68" s="32">
        <f>IF(AND(R68&lt;&gt;"",G68="Attending",U68=1),MAX(0,H68+I68-T68),0)</f>
        <v/>
      </c>
      <c r="W68" s="32">
        <f>IF(AND(O68=1,R68=""),1,0)</f>
        <v/>
      </c>
      <c r="X68" s="32">
        <f>IF(B68="",0,H68+I68)</f>
        <v/>
      </c>
      <c r="Y68" s="32">
        <f>N(Y67)+O68</f>
        <v/>
      </c>
      <c r="Z68" s="32">
        <f>IF(O68=1,Y68,"")</f>
        <v/>
      </c>
      <c r="AA68" s="32">
        <f>IF(AND(W68=1,G68="Not sure yet"),1,0)</f>
        <v/>
      </c>
      <c r="AB68" s="32">
        <f>N(AB67)+AA68</f>
        <v/>
      </c>
      <c r="AC68" s="32">
        <f>IF(AA68=1,AB68,"")</f>
        <v/>
      </c>
      <c r="AD68" s="32">
        <f>IF(D68="","",IF(LEN(D68)=10,"+1"&amp;D68,IF(AND(LEN(D68)=11,LEFT(D68,1)="1"),"+"&amp;D68,IF(LEFT(C68,1)="+","+"&amp;D68,D68))))</f>
        <v/>
      </c>
      <c r="AE68" s="32">
        <f>IF(B68="","",PROPER(IFERROR(LEFT(B68,FIND(" ",B68)-1),B68)))</f>
        <v/>
      </c>
      <c r="AF68" s="32">
        <f>SUBSTITUTE(SUBSTITUTE(SUBSTITUTE(SUBSTITUTE(SUBSTITUTE(SUBSTITUTE(SUBSTITUTE(SUBSTITUTE(SUBSTITUTE(SUBSTITUTE(AE68,"%","%25"),"&amp;","%26"),"#","%23"),"+","%2B"),"=","%3D"),"?","%3F"),CHAR(34),"%22"),CHAR(10),"%0A"),CHAR(13),"")," ","+")</f>
        <v/>
      </c>
      <c r="AG68" s="32">
        <f>IF(OR(AD68="",AE68=""),"",'Start Here'!$B$20&amp;"#p="&amp;SUBSTITUTE(AD68,"+","%2B")&amp;"&amp;n="&amp;AF68&amp;"&amp;m="&amp;SUBSTITUTE('Start Here'!$B$24,"{name}",AF68))</f>
        <v/>
      </c>
      <c r="AH68" s="32">
        <f>N(AH67)+W68</f>
        <v/>
      </c>
      <c r="AI68" s="32">
        <f>IF(W68=1,AH68,"")</f>
        <v/>
      </c>
    </row>
    <row r="69">
      <c r="A69" s="32">
        <f>IF(INDEX('Form Responses'!$A:$A,ROW())="","",INDEX('Form Responses'!$A:$A,ROW()))</f>
        <v/>
      </c>
      <c r="B69" s="32">
        <f>TRIM(INDEX('Form Responses'!$B:$B,ROW())&amp;"")</f>
        <v/>
      </c>
      <c r="C69" s="32">
        <f>IF(B69="","",TRIM(INDEX('Form Responses'!$C:$C,ROW())&amp;""))</f>
        <v/>
      </c>
      <c r="D69" s="32">
        <f>SUBSTITUTE(SUBSTITUTE(SUBSTITUTE(SUBSTITUTE(SUBSTITUTE(SUBSTITUTE(SUBSTITUTE(SUBSTITUTE(C69," ",""),"-",""),"(",""),")",""),".",""),"+",""),"/",""),CHAR(160),"")</f>
        <v/>
      </c>
      <c r="E69" s="32">
        <f>IF(LEN(D69)&gt;=10,RIGHT(D69,10),D69)</f>
        <v/>
      </c>
      <c r="F69" s="32">
        <f>IF(B69="","",TRIM(INDEX('Form Responses'!$D:$D,ROW())&amp;""))</f>
        <v/>
      </c>
      <c r="G69" s="32">
        <f>IF(B69="","",IF(LEFT(TRIM(INDEX('Form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9" s="32">
        <f>IF(B69="","",MAX(0,IFERROR(INT(--(INDEX('Form Responses'!$F:$F,ROW())&amp;"")),1)))</f>
        <v/>
      </c>
      <c r="I69" s="32">
        <f>IF(B69="","",MAX(0,IFERROR(INT(--(INDEX('Form Responses'!$G:$G,ROW())&amp;"")),0)))</f>
        <v/>
      </c>
      <c r="J69" s="32">
        <f>IF(B69="","",TRIM(INDEX('Form Responses'!$H:$H,ROW())&amp;""))</f>
        <v/>
      </c>
      <c r="K69" s="32">
        <f>IF(B69="","",TRIM(INDEX('Form Responses'!$I:$I,ROW())&amp;""))</f>
        <v/>
      </c>
      <c r="L69" s="32">
        <f>IF(B69="","",TRIM(INDEX('Form Responses'!$J:$J,ROW())&amp;""))</f>
        <v/>
      </c>
      <c r="M69" s="32">
        <f>IF(B69="","",TRIM(INDEX('Form Responses'!$K:$K,ROW())&amp;""))</f>
        <v/>
      </c>
      <c r="N69" s="32">
        <f>IF(B69="","",IF(E69&lt;&gt;"","P"&amp;E69,"N"&amp;B69))</f>
        <v/>
      </c>
      <c r="O69" s="32">
        <f>IF(N69="",0,IF(COUNTIF(N70:N$602,N69)=0,1,0))</f>
        <v/>
      </c>
      <c r="P69" s="32">
        <f>IF(AND(O69=1,E69&lt;&gt;""),E69,"")</f>
        <v/>
      </c>
      <c r="Q69" s="32">
        <f>IF(O69=1,B69,"")</f>
        <v/>
      </c>
      <c r="R69" s="32">
        <f>IF(O69&lt;&gt;1,"",IF(E69&lt;&gt;"",IFERROR(MATCH(E69,Guests!$S$6:$S$505,0)+5,IFERROR(MATCH(B69,Guests!$A$6:$A$505,0)+5,"")),IFERROR(MATCH(B69,Guests!$A$6:$A$505,0)+5,"")))</f>
        <v/>
      </c>
      <c r="S69" s="32">
        <f>IF(R69="","",TRIM(INDEX(Guests!$E$1:$E$505,R69)&amp;""))</f>
        <v/>
      </c>
      <c r="T69" s="32">
        <f>IF(R69="","",IF(S69="",1,COUNTIF(Guests!$E$6:$E$505,S69)))</f>
        <v/>
      </c>
      <c r="U69" s="32">
        <f>IF(R69="","",IF(S69="",1,IF(COUNTIF(S$1:S68,S69)=0,1,0)))</f>
        <v/>
      </c>
      <c r="V69" s="32">
        <f>IF(AND(R69&lt;&gt;"",G69="Attending",U69=1),MAX(0,H69+I69-T69),0)</f>
        <v/>
      </c>
      <c r="W69" s="32">
        <f>IF(AND(O69=1,R69=""),1,0)</f>
        <v/>
      </c>
      <c r="X69" s="32">
        <f>IF(B69="",0,H69+I69)</f>
        <v/>
      </c>
      <c r="Y69" s="32">
        <f>N(Y68)+O69</f>
        <v/>
      </c>
      <c r="Z69" s="32">
        <f>IF(O69=1,Y69,"")</f>
        <v/>
      </c>
      <c r="AA69" s="32">
        <f>IF(AND(W69=1,G69="Not sure yet"),1,0)</f>
        <v/>
      </c>
      <c r="AB69" s="32">
        <f>N(AB68)+AA69</f>
        <v/>
      </c>
      <c r="AC69" s="32">
        <f>IF(AA69=1,AB69,"")</f>
        <v/>
      </c>
      <c r="AD69" s="32">
        <f>IF(D69="","",IF(LEN(D69)=10,"+1"&amp;D69,IF(AND(LEN(D69)=11,LEFT(D69,1)="1"),"+"&amp;D69,IF(LEFT(C69,1)="+","+"&amp;D69,D69))))</f>
        <v/>
      </c>
      <c r="AE69" s="32">
        <f>IF(B69="","",PROPER(IFERROR(LEFT(B69,FIND(" ",B69)-1),B69)))</f>
        <v/>
      </c>
      <c r="AF69" s="32">
        <f>SUBSTITUTE(SUBSTITUTE(SUBSTITUTE(SUBSTITUTE(SUBSTITUTE(SUBSTITUTE(SUBSTITUTE(SUBSTITUTE(SUBSTITUTE(SUBSTITUTE(AE69,"%","%25"),"&amp;","%26"),"#","%23"),"+","%2B"),"=","%3D"),"?","%3F"),CHAR(34),"%22"),CHAR(10),"%0A"),CHAR(13),"")," ","+")</f>
        <v/>
      </c>
      <c r="AG69" s="32">
        <f>IF(OR(AD69="",AE69=""),"",'Start Here'!$B$20&amp;"#p="&amp;SUBSTITUTE(AD69,"+","%2B")&amp;"&amp;n="&amp;AF69&amp;"&amp;m="&amp;SUBSTITUTE('Start Here'!$B$24,"{name}",AF69))</f>
        <v/>
      </c>
      <c r="AH69" s="32">
        <f>N(AH68)+W69</f>
        <v/>
      </c>
      <c r="AI69" s="32">
        <f>IF(W69=1,AH69,"")</f>
        <v/>
      </c>
    </row>
    <row r="70">
      <c r="A70" s="32">
        <f>IF(INDEX('Form Responses'!$A:$A,ROW())="","",INDEX('Form Responses'!$A:$A,ROW()))</f>
        <v/>
      </c>
      <c r="B70" s="32">
        <f>TRIM(INDEX('Form Responses'!$B:$B,ROW())&amp;"")</f>
        <v/>
      </c>
      <c r="C70" s="32">
        <f>IF(B70="","",TRIM(INDEX('Form Responses'!$C:$C,ROW())&amp;""))</f>
        <v/>
      </c>
      <c r="D70" s="32">
        <f>SUBSTITUTE(SUBSTITUTE(SUBSTITUTE(SUBSTITUTE(SUBSTITUTE(SUBSTITUTE(SUBSTITUTE(SUBSTITUTE(C70," ",""),"-",""),"(",""),")",""),".",""),"+",""),"/",""),CHAR(160),"")</f>
        <v/>
      </c>
      <c r="E70" s="32">
        <f>IF(LEN(D70)&gt;=10,RIGHT(D70,10),D70)</f>
        <v/>
      </c>
      <c r="F70" s="32">
        <f>IF(B70="","",TRIM(INDEX('Form Responses'!$D:$D,ROW())&amp;""))</f>
        <v/>
      </c>
      <c r="G70" s="32">
        <f>IF(B70="","",IF(LEFT(TRIM(INDEX('Form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0" s="32">
        <f>IF(B70="","",MAX(0,IFERROR(INT(--(INDEX('Form Responses'!$F:$F,ROW())&amp;"")),1)))</f>
        <v/>
      </c>
      <c r="I70" s="32">
        <f>IF(B70="","",MAX(0,IFERROR(INT(--(INDEX('Form Responses'!$G:$G,ROW())&amp;"")),0)))</f>
        <v/>
      </c>
      <c r="J70" s="32">
        <f>IF(B70="","",TRIM(INDEX('Form Responses'!$H:$H,ROW())&amp;""))</f>
        <v/>
      </c>
      <c r="K70" s="32">
        <f>IF(B70="","",TRIM(INDEX('Form Responses'!$I:$I,ROW())&amp;""))</f>
        <v/>
      </c>
      <c r="L70" s="32">
        <f>IF(B70="","",TRIM(INDEX('Form Responses'!$J:$J,ROW())&amp;""))</f>
        <v/>
      </c>
      <c r="M70" s="32">
        <f>IF(B70="","",TRIM(INDEX('Form Responses'!$K:$K,ROW())&amp;""))</f>
        <v/>
      </c>
      <c r="N70" s="32">
        <f>IF(B70="","",IF(E70&lt;&gt;"","P"&amp;E70,"N"&amp;B70))</f>
        <v/>
      </c>
      <c r="O70" s="32">
        <f>IF(N70="",0,IF(COUNTIF(N71:N$602,N70)=0,1,0))</f>
        <v/>
      </c>
      <c r="P70" s="32">
        <f>IF(AND(O70=1,E70&lt;&gt;""),E70,"")</f>
        <v/>
      </c>
      <c r="Q70" s="32">
        <f>IF(O70=1,B70,"")</f>
        <v/>
      </c>
      <c r="R70" s="32">
        <f>IF(O70&lt;&gt;1,"",IF(E70&lt;&gt;"",IFERROR(MATCH(E70,Guests!$S$6:$S$505,0)+5,IFERROR(MATCH(B70,Guests!$A$6:$A$505,0)+5,"")),IFERROR(MATCH(B70,Guests!$A$6:$A$505,0)+5,"")))</f>
        <v/>
      </c>
      <c r="S70" s="32">
        <f>IF(R70="","",TRIM(INDEX(Guests!$E$1:$E$505,R70)&amp;""))</f>
        <v/>
      </c>
      <c r="T70" s="32">
        <f>IF(R70="","",IF(S70="",1,COUNTIF(Guests!$E$6:$E$505,S70)))</f>
        <v/>
      </c>
      <c r="U70" s="32">
        <f>IF(R70="","",IF(S70="",1,IF(COUNTIF(S$1:S69,S70)=0,1,0)))</f>
        <v/>
      </c>
      <c r="V70" s="32">
        <f>IF(AND(R70&lt;&gt;"",G70="Attending",U70=1),MAX(0,H70+I70-T70),0)</f>
        <v/>
      </c>
      <c r="W70" s="32">
        <f>IF(AND(O70=1,R70=""),1,0)</f>
        <v/>
      </c>
      <c r="X70" s="32">
        <f>IF(B70="",0,H70+I70)</f>
        <v/>
      </c>
      <c r="Y70" s="32">
        <f>N(Y69)+O70</f>
        <v/>
      </c>
      <c r="Z70" s="32">
        <f>IF(O70=1,Y70,"")</f>
        <v/>
      </c>
      <c r="AA70" s="32">
        <f>IF(AND(W70=1,G70="Not sure yet"),1,0)</f>
        <v/>
      </c>
      <c r="AB70" s="32">
        <f>N(AB69)+AA70</f>
        <v/>
      </c>
      <c r="AC70" s="32">
        <f>IF(AA70=1,AB70,"")</f>
        <v/>
      </c>
      <c r="AD70" s="32">
        <f>IF(D70="","",IF(LEN(D70)=10,"+1"&amp;D70,IF(AND(LEN(D70)=11,LEFT(D70,1)="1"),"+"&amp;D70,IF(LEFT(C70,1)="+","+"&amp;D70,D70))))</f>
        <v/>
      </c>
      <c r="AE70" s="32">
        <f>IF(B70="","",PROPER(IFERROR(LEFT(B70,FIND(" ",B70)-1),B70)))</f>
        <v/>
      </c>
      <c r="AF70" s="32">
        <f>SUBSTITUTE(SUBSTITUTE(SUBSTITUTE(SUBSTITUTE(SUBSTITUTE(SUBSTITUTE(SUBSTITUTE(SUBSTITUTE(SUBSTITUTE(SUBSTITUTE(AE70,"%","%25"),"&amp;","%26"),"#","%23"),"+","%2B"),"=","%3D"),"?","%3F"),CHAR(34),"%22"),CHAR(10),"%0A"),CHAR(13),"")," ","+")</f>
        <v/>
      </c>
      <c r="AG70" s="32">
        <f>IF(OR(AD70="",AE70=""),"",'Start Here'!$B$20&amp;"#p="&amp;SUBSTITUTE(AD70,"+","%2B")&amp;"&amp;n="&amp;AF70&amp;"&amp;m="&amp;SUBSTITUTE('Start Here'!$B$24,"{name}",AF70))</f>
        <v/>
      </c>
      <c r="AH70" s="32">
        <f>N(AH69)+W70</f>
        <v/>
      </c>
      <c r="AI70" s="32">
        <f>IF(W70=1,AH70,"")</f>
        <v/>
      </c>
    </row>
    <row r="71">
      <c r="A71" s="32">
        <f>IF(INDEX('Form Responses'!$A:$A,ROW())="","",INDEX('Form Responses'!$A:$A,ROW()))</f>
        <v/>
      </c>
      <c r="B71" s="32">
        <f>TRIM(INDEX('Form Responses'!$B:$B,ROW())&amp;"")</f>
        <v/>
      </c>
      <c r="C71" s="32">
        <f>IF(B71="","",TRIM(INDEX('Form Responses'!$C:$C,ROW())&amp;""))</f>
        <v/>
      </c>
      <c r="D71" s="32">
        <f>SUBSTITUTE(SUBSTITUTE(SUBSTITUTE(SUBSTITUTE(SUBSTITUTE(SUBSTITUTE(SUBSTITUTE(SUBSTITUTE(C71," ",""),"-",""),"(",""),")",""),".",""),"+",""),"/",""),CHAR(160),"")</f>
        <v/>
      </c>
      <c r="E71" s="32">
        <f>IF(LEN(D71)&gt;=10,RIGHT(D71,10),D71)</f>
        <v/>
      </c>
      <c r="F71" s="32">
        <f>IF(B71="","",TRIM(INDEX('Form Responses'!$D:$D,ROW())&amp;""))</f>
        <v/>
      </c>
      <c r="G71" s="32">
        <f>IF(B71="","",IF(LEFT(TRIM(INDEX('Form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1" s="32">
        <f>IF(B71="","",MAX(0,IFERROR(INT(--(INDEX('Form Responses'!$F:$F,ROW())&amp;"")),1)))</f>
        <v/>
      </c>
      <c r="I71" s="32">
        <f>IF(B71="","",MAX(0,IFERROR(INT(--(INDEX('Form Responses'!$G:$G,ROW())&amp;"")),0)))</f>
        <v/>
      </c>
      <c r="J71" s="32">
        <f>IF(B71="","",TRIM(INDEX('Form Responses'!$H:$H,ROW())&amp;""))</f>
        <v/>
      </c>
      <c r="K71" s="32">
        <f>IF(B71="","",TRIM(INDEX('Form Responses'!$I:$I,ROW())&amp;""))</f>
        <v/>
      </c>
      <c r="L71" s="32">
        <f>IF(B71="","",TRIM(INDEX('Form Responses'!$J:$J,ROW())&amp;""))</f>
        <v/>
      </c>
      <c r="M71" s="32">
        <f>IF(B71="","",TRIM(INDEX('Form Responses'!$K:$K,ROW())&amp;""))</f>
        <v/>
      </c>
      <c r="N71" s="32">
        <f>IF(B71="","",IF(E71&lt;&gt;"","P"&amp;E71,"N"&amp;B71))</f>
        <v/>
      </c>
      <c r="O71" s="32">
        <f>IF(N71="",0,IF(COUNTIF(N72:N$602,N71)=0,1,0))</f>
        <v/>
      </c>
      <c r="P71" s="32">
        <f>IF(AND(O71=1,E71&lt;&gt;""),E71,"")</f>
        <v/>
      </c>
      <c r="Q71" s="32">
        <f>IF(O71=1,B71,"")</f>
        <v/>
      </c>
      <c r="R71" s="32">
        <f>IF(O71&lt;&gt;1,"",IF(E71&lt;&gt;"",IFERROR(MATCH(E71,Guests!$S$6:$S$505,0)+5,IFERROR(MATCH(B71,Guests!$A$6:$A$505,0)+5,"")),IFERROR(MATCH(B71,Guests!$A$6:$A$505,0)+5,"")))</f>
        <v/>
      </c>
      <c r="S71" s="32">
        <f>IF(R71="","",TRIM(INDEX(Guests!$E$1:$E$505,R71)&amp;""))</f>
        <v/>
      </c>
      <c r="T71" s="32">
        <f>IF(R71="","",IF(S71="",1,COUNTIF(Guests!$E$6:$E$505,S71)))</f>
        <v/>
      </c>
      <c r="U71" s="32">
        <f>IF(R71="","",IF(S71="",1,IF(COUNTIF(S$1:S70,S71)=0,1,0)))</f>
        <v/>
      </c>
      <c r="V71" s="32">
        <f>IF(AND(R71&lt;&gt;"",G71="Attending",U71=1),MAX(0,H71+I71-T71),0)</f>
        <v/>
      </c>
      <c r="W71" s="32">
        <f>IF(AND(O71=1,R71=""),1,0)</f>
        <v/>
      </c>
      <c r="X71" s="32">
        <f>IF(B71="",0,H71+I71)</f>
        <v/>
      </c>
      <c r="Y71" s="32">
        <f>N(Y70)+O71</f>
        <v/>
      </c>
      <c r="Z71" s="32">
        <f>IF(O71=1,Y71,"")</f>
        <v/>
      </c>
      <c r="AA71" s="32">
        <f>IF(AND(W71=1,G71="Not sure yet"),1,0)</f>
        <v/>
      </c>
      <c r="AB71" s="32">
        <f>N(AB70)+AA71</f>
        <v/>
      </c>
      <c r="AC71" s="32">
        <f>IF(AA71=1,AB71,"")</f>
        <v/>
      </c>
      <c r="AD71" s="32">
        <f>IF(D71="","",IF(LEN(D71)=10,"+1"&amp;D71,IF(AND(LEN(D71)=11,LEFT(D71,1)="1"),"+"&amp;D71,IF(LEFT(C71,1)="+","+"&amp;D71,D71))))</f>
        <v/>
      </c>
      <c r="AE71" s="32">
        <f>IF(B71="","",PROPER(IFERROR(LEFT(B71,FIND(" ",B71)-1),B71)))</f>
        <v/>
      </c>
      <c r="AF71" s="32">
        <f>SUBSTITUTE(SUBSTITUTE(SUBSTITUTE(SUBSTITUTE(SUBSTITUTE(SUBSTITUTE(SUBSTITUTE(SUBSTITUTE(SUBSTITUTE(SUBSTITUTE(AE71,"%","%25"),"&amp;","%26"),"#","%23"),"+","%2B"),"=","%3D"),"?","%3F"),CHAR(34),"%22"),CHAR(10),"%0A"),CHAR(13),"")," ","+")</f>
        <v/>
      </c>
      <c r="AG71" s="32">
        <f>IF(OR(AD71="",AE71=""),"",'Start Here'!$B$20&amp;"#p="&amp;SUBSTITUTE(AD71,"+","%2B")&amp;"&amp;n="&amp;AF71&amp;"&amp;m="&amp;SUBSTITUTE('Start Here'!$B$24,"{name}",AF71))</f>
        <v/>
      </c>
      <c r="AH71" s="32">
        <f>N(AH70)+W71</f>
        <v/>
      </c>
      <c r="AI71" s="32">
        <f>IF(W71=1,AH71,"")</f>
        <v/>
      </c>
    </row>
    <row r="72">
      <c r="A72" s="32">
        <f>IF(INDEX('Form Responses'!$A:$A,ROW())="","",INDEX('Form Responses'!$A:$A,ROW()))</f>
        <v/>
      </c>
      <c r="B72" s="32">
        <f>TRIM(INDEX('Form Responses'!$B:$B,ROW())&amp;"")</f>
        <v/>
      </c>
      <c r="C72" s="32">
        <f>IF(B72="","",TRIM(INDEX('Form Responses'!$C:$C,ROW())&amp;""))</f>
        <v/>
      </c>
      <c r="D72" s="32">
        <f>SUBSTITUTE(SUBSTITUTE(SUBSTITUTE(SUBSTITUTE(SUBSTITUTE(SUBSTITUTE(SUBSTITUTE(SUBSTITUTE(C72," ",""),"-",""),"(",""),")",""),".",""),"+",""),"/",""),CHAR(160),"")</f>
        <v/>
      </c>
      <c r="E72" s="32">
        <f>IF(LEN(D72)&gt;=10,RIGHT(D72,10),D72)</f>
        <v/>
      </c>
      <c r="F72" s="32">
        <f>IF(B72="","",TRIM(INDEX('Form Responses'!$D:$D,ROW())&amp;""))</f>
        <v/>
      </c>
      <c r="G72" s="32">
        <f>IF(B72="","",IF(LEFT(TRIM(INDEX('Form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2" s="32">
        <f>IF(B72="","",MAX(0,IFERROR(INT(--(INDEX('Form Responses'!$F:$F,ROW())&amp;"")),1)))</f>
        <v/>
      </c>
      <c r="I72" s="32">
        <f>IF(B72="","",MAX(0,IFERROR(INT(--(INDEX('Form Responses'!$G:$G,ROW())&amp;"")),0)))</f>
        <v/>
      </c>
      <c r="J72" s="32">
        <f>IF(B72="","",TRIM(INDEX('Form Responses'!$H:$H,ROW())&amp;""))</f>
        <v/>
      </c>
      <c r="K72" s="32">
        <f>IF(B72="","",TRIM(INDEX('Form Responses'!$I:$I,ROW())&amp;""))</f>
        <v/>
      </c>
      <c r="L72" s="32">
        <f>IF(B72="","",TRIM(INDEX('Form Responses'!$J:$J,ROW())&amp;""))</f>
        <v/>
      </c>
      <c r="M72" s="32">
        <f>IF(B72="","",TRIM(INDEX('Form Responses'!$K:$K,ROW())&amp;""))</f>
        <v/>
      </c>
      <c r="N72" s="32">
        <f>IF(B72="","",IF(E72&lt;&gt;"","P"&amp;E72,"N"&amp;B72))</f>
        <v/>
      </c>
      <c r="O72" s="32">
        <f>IF(N72="",0,IF(COUNTIF(N73:N$602,N72)=0,1,0))</f>
        <v/>
      </c>
      <c r="P72" s="32">
        <f>IF(AND(O72=1,E72&lt;&gt;""),E72,"")</f>
        <v/>
      </c>
      <c r="Q72" s="32">
        <f>IF(O72=1,B72,"")</f>
        <v/>
      </c>
      <c r="R72" s="32">
        <f>IF(O72&lt;&gt;1,"",IF(E72&lt;&gt;"",IFERROR(MATCH(E72,Guests!$S$6:$S$505,0)+5,IFERROR(MATCH(B72,Guests!$A$6:$A$505,0)+5,"")),IFERROR(MATCH(B72,Guests!$A$6:$A$505,0)+5,"")))</f>
        <v/>
      </c>
      <c r="S72" s="32">
        <f>IF(R72="","",TRIM(INDEX(Guests!$E$1:$E$505,R72)&amp;""))</f>
        <v/>
      </c>
      <c r="T72" s="32">
        <f>IF(R72="","",IF(S72="",1,COUNTIF(Guests!$E$6:$E$505,S72)))</f>
        <v/>
      </c>
      <c r="U72" s="32">
        <f>IF(R72="","",IF(S72="",1,IF(COUNTIF(S$1:S71,S72)=0,1,0)))</f>
        <v/>
      </c>
      <c r="V72" s="32">
        <f>IF(AND(R72&lt;&gt;"",G72="Attending",U72=1),MAX(0,H72+I72-T72),0)</f>
        <v/>
      </c>
      <c r="W72" s="32">
        <f>IF(AND(O72=1,R72=""),1,0)</f>
        <v/>
      </c>
      <c r="X72" s="32">
        <f>IF(B72="",0,H72+I72)</f>
        <v/>
      </c>
      <c r="Y72" s="32">
        <f>N(Y71)+O72</f>
        <v/>
      </c>
      <c r="Z72" s="32">
        <f>IF(O72=1,Y72,"")</f>
        <v/>
      </c>
      <c r="AA72" s="32">
        <f>IF(AND(W72=1,G72="Not sure yet"),1,0)</f>
        <v/>
      </c>
      <c r="AB72" s="32">
        <f>N(AB71)+AA72</f>
        <v/>
      </c>
      <c r="AC72" s="32">
        <f>IF(AA72=1,AB72,"")</f>
        <v/>
      </c>
      <c r="AD72" s="32">
        <f>IF(D72="","",IF(LEN(D72)=10,"+1"&amp;D72,IF(AND(LEN(D72)=11,LEFT(D72,1)="1"),"+"&amp;D72,IF(LEFT(C72,1)="+","+"&amp;D72,D72))))</f>
        <v/>
      </c>
      <c r="AE72" s="32">
        <f>IF(B72="","",PROPER(IFERROR(LEFT(B72,FIND(" ",B72)-1),B72)))</f>
        <v/>
      </c>
      <c r="AF72" s="32">
        <f>SUBSTITUTE(SUBSTITUTE(SUBSTITUTE(SUBSTITUTE(SUBSTITUTE(SUBSTITUTE(SUBSTITUTE(SUBSTITUTE(SUBSTITUTE(SUBSTITUTE(AE72,"%","%25"),"&amp;","%26"),"#","%23"),"+","%2B"),"=","%3D"),"?","%3F"),CHAR(34),"%22"),CHAR(10),"%0A"),CHAR(13),"")," ","+")</f>
        <v/>
      </c>
      <c r="AG72" s="32">
        <f>IF(OR(AD72="",AE72=""),"",'Start Here'!$B$20&amp;"#p="&amp;SUBSTITUTE(AD72,"+","%2B")&amp;"&amp;n="&amp;AF72&amp;"&amp;m="&amp;SUBSTITUTE('Start Here'!$B$24,"{name}",AF72))</f>
        <v/>
      </c>
      <c r="AH72" s="32">
        <f>N(AH71)+W72</f>
        <v/>
      </c>
      <c r="AI72" s="32">
        <f>IF(W72=1,AH72,"")</f>
        <v/>
      </c>
    </row>
    <row r="73">
      <c r="A73" s="32">
        <f>IF(INDEX('Form Responses'!$A:$A,ROW())="","",INDEX('Form Responses'!$A:$A,ROW()))</f>
        <v/>
      </c>
      <c r="B73" s="32">
        <f>TRIM(INDEX('Form Responses'!$B:$B,ROW())&amp;"")</f>
        <v/>
      </c>
      <c r="C73" s="32">
        <f>IF(B73="","",TRIM(INDEX('Form Responses'!$C:$C,ROW())&amp;""))</f>
        <v/>
      </c>
      <c r="D73" s="32">
        <f>SUBSTITUTE(SUBSTITUTE(SUBSTITUTE(SUBSTITUTE(SUBSTITUTE(SUBSTITUTE(SUBSTITUTE(SUBSTITUTE(C73," ",""),"-",""),"(",""),")",""),".",""),"+",""),"/",""),CHAR(160),"")</f>
        <v/>
      </c>
      <c r="E73" s="32">
        <f>IF(LEN(D73)&gt;=10,RIGHT(D73,10),D73)</f>
        <v/>
      </c>
      <c r="F73" s="32">
        <f>IF(B73="","",TRIM(INDEX('Form Responses'!$D:$D,ROW())&amp;""))</f>
        <v/>
      </c>
      <c r="G73" s="32">
        <f>IF(B73="","",IF(LEFT(TRIM(INDEX('Form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3" s="32">
        <f>IF(B73="","",MAX(0,IFERROR(INT(--(INDEX('Form Responses'!$F:$F,ROW())&amp;"")),1)))</f>
        <v/>
      </c>
      <c r="I73" s="32">
        <f>IF(B73="","",MAX(0,IFERROR(INT(--(INDEX('Form Responses'!$G:$G,ROW())&amp;"")),0)))</f>
        <v/>
      </c>
      <c r="J73" s="32">
        <f>IF(B73="","",TRIM(INDEX('Form Responses'!$H:$H,ROW())&amp;""))</f>
        <v/>
      </c>
      <c r="K73" s="32">
        <f>IF(B73="","",TRIM(INDEX('Form Responses'!$I:$I,ROW())&amp;""))</f>
        <v/>
      </c>
      <c r="L73" s="32">
        <f>IF(B73="","",TRIM(INDEX('Form Responses'!$J:$J,ROW())&amp;""))</f>
        <v/>
      </c>
      <c r="M73" s="32">
        <f>IF(B73="","",TRIM(INDEX('Form Responses'!$K:$K,ROW())&amp;""))</f>
        <v/>
      </c>
      <c r="N73" s="32">
        <f>IF(B73="","",IF(E73&lt;&gt;"","P"&amp;E73,"N"&amp;B73))</f>
        <v/>
      </c>
      <c r="O73" s="32">
        <f>IF(N73="",0,IF(COUNTIF(N74:N$602,N73)=0,1,0))</f>
        <v/>
      </c>
      <c r="P73" s="32">
        <f>IF(AND(O73=1,E73&lt;&gt;""),E73,"")</f>
        <v/>
      </c>
      <c r="Q73" s="32">
        <f>IF(O73=1,B73,"")</f>
        <v/>
      </c>
      <c r="R73" s="32">
        <f>IF(O73&lt;&gt;1,"",IF(E73&lt;&gt;"",IFERROR(MATCH(E73,Guests!$S$6:$S$505,0)+5,IFERROR(MATCH(B73,Guests!$A$6:$A$505,0)+5,"")),IFERROR(MATCH(B73,Guests!$A$6:$A$505,0)+5,"")))</f>
        <v/>
      </c>
      <c r="S73" s="32">
        <f>IF(R73="","",TRIM(INDEX(Guests!$E$1:$E$505,R73)&amp;""))</f>
        <v/>
      </c>
      <c r="T73" s="32">
        <f>IF(R73="","",IF(S73="",1,COUNTIF(Guests!$E$6:$E$505,S73)))</f>
        <v/>
      </c>
      <c r="U73" s="32">
        <f>IF(R73="","",IF(S73="",1,IF(COUNTIF(S$1:S72,S73)=0,1,0)))</f>
        <v/>
      </c>
      <c r="V73" s="32">
        <f>IF(AND(R73&lt;&gt;"",G73="Attending",U73=1),MAX(0,H73+I73-T73),0)</f>
        <v/>
      </c>
      <c r="W73" s="32">
        <f>IF(AND(O73=1,R73=""),1,0)</f>
        <v/>
      </c>
      <c r="X73" s="32">
        <f>IF(B73="",0,H73+I73)</f>
        <v/>
      </c>
      <c r="Y73" s="32">
        <f>N(Y72)+O73</f>
        <v/>
      </c>
      <c r="Z73" s="32">
        <f>IF(O73=1,Y73,"")</f>
        <v/>
      </c>
      <c r="AA73" s="32">
        <f>IF(AND(W73=1,G73="Not sure yet"),1,0)</f>
        <v/>
      </c>
      <c r="AB73" s="32">
        <f>N(AB72)+AA73</f>
        <v/>
      </c>
      <c r="AC73" s="32">
        <f>IF(AA73=1,AB73,"")</f>
        <v/>
      </c>
      <c r="AD73" s="32">
        <f>IF(D73="","",IF(LEN(D73)=10,"+1"&amp;D73,IF(AND(LEN(D73)=11,LEFT(D73,1)="1"),"+"&amp;D73,IF(LEFT(C73,1)="+","+"&amp;D73,D73))))</f>
        <v/>
      </c>
      <c r="AE73" s="32">
        <f>IF(B73="","",PROPER(IFERROR(LEFT(B73,FIND(" ",B73)-1),B73)))</f>
        <v/>
      </c>
      <c r="AF73" s="32">
        <f>SUBSTITUTE(SUBSTITUTE(SUBSTITUTE(SUBSTITUTE(SUBSTITUTE(SUBSTITUTE(SUBSTITUTE(SUBSTITUTE(SUBSTITUTE(SUBSTITUTE(AE73,"%","%25"),"&amp;","%26"),"#","%23"),"+","%2B"),"=","%3D"),"?","%3F"),CHAR(34),"%22"),CHAR(10),"%0A"),CHAR(13),"")," ","+")</f>
        <v/>
      </c>
      <c r="AG73" s="32">
        <f>IF(OR(AD73="",AE73=""),"",'Start Here'!$B$20&amp;"#p="&amp;SUBSTITUTE(AD73,"+","%2B")&amp;"&amp;n="&amp;AF73&amp;"&amp;m="&amp;SUBSTITUTE('Start Here'!$B$24,"{name}",AF73))</f>
        <v/>
      </c>
      <c r="AH73" s="32">
        <f>N(AH72)+W73</f>
        <v/>
      </c>
      <c r="AI73" s="32">
        <f>IF(W73=1,AH73,"")</f>
        <v/>
      </c>
    </row>
    <row r="74">
      <c r="A74" s="32">
        <f>IF(INDEX('Form Responses'!$A:$A,ROW())="","",INDEX('Form Responses'!$A:$A,ROW()))</f>
        <v/>
      </c>
      <c r="B74" s="32">
        <f>TRIM(INDEX('Form Responses'!$B:$B,ROW())&amp;"")</f>
        <v/>
      </c>
      <c r="C74" s="32">
        <f>IF(B74="","",TRIM(INDEX('Form Responses'!$C:$C,ROW())&amp;""))</f>
        <v/>
      </c>
      <c r="D74" s="32">
        <f>SUBSTITUTE(SUBSTITUTE(SUBSTITUTE(SUBSTITUTE(SUBSTITUTE(SUBSTITUTE(SUBSTITUTE(SUBSTITUTE(C74," ",""),"-",""),"(",""),")",""),".",""),"+",""),"/",""),CHAR(160),"")</f>
        <v/>
      </c>
      <c r="E74" s="32">
        <f>IF(LEN(D74)&gt;=10,RIGHT(D74,10),D74)</f>
        <v/>
      </c>
      <c r="F74" s="32">
        <f>IF(B74="","",TRIM(INDEX('Form Responses'!$D:$D,ROW())&amp;""))</f>
        <v/>
      </c>
      <c r="G74" s="32">
        <f>IF(B74="","",IF(LEFT(TRIM(INDEX('Form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4" s="32">
        <f>IF(B74="","",MAX(0,IFERROR(INT(--(INDEX('Form Responses'!$F:$F,ROW())&amp;"")),1)))</f>
        <v/>
      </c>
      <c r="I74" s="32">
        <f>IF(B74="","",MAX(0,IFERROR(INT(--(INDEX('Form Responses'!$G:$G,ROW())&amp;"")),0)))</f>
        <v/>
      </c>
      <c r="J74" s="32">
        <f>IF(B74="","",TRIM(INDEX('Form Responses'!$H:$H,ROW())&amp;""))</f>
        <v/>
      </c>
      <c r="K74" s="32">
        <f>IF(B74="","",TRIM(INDEX('Form Responses'!$I:$I,ROW())&amp;""))</f>
        <v/>
      </c>
      <c r="L74" s="32">
        <f>IF(B74="","",TRIM(INDEX('Form Responses'!$J:$J,ROW())&amp;""))</f>
        <v/>
      </c>
      <c r="M74" s="32">
        <f>IF(B74="","",TRIM(INDEX('Form Responses'!$K:$K,ROW())&amp;""))</f>
        <v/>
      </c>
      <c r="N74" s="32">
        <f>IF(B74="","",IF(E74&lt;&gt;"","P"&amp;E74,"N"&amp;B74))</f>
        <v/>
      </c>
      <c r="O74" s="32">
        <f>IF(N74="",0,IF(COUNTIF(N75:N$602,N74)=0,1,0))</f>
        <v/>
      </c>
      <c r="P74" s="32">
        <f>IF(AND(O74=1,E74&lt;&gt;""),E74,"")</f>
        <v/>
      </c>
      <c r="Q74" s="32">
        <f>IF(O74=1,B74,"")</f>
        <v/>
      </c>
      <c r="R74" s="32">
        <f>IF(O74&lt;&gt;1,"",IF(E74&lt;&gt;"",IFERROR(MATCH(E74,Guests!$S$6:$S$505,0)+5,IFERROR(MATCH(B74,Guests!$A$6:$A$505,0)+5,"")),IFERROR(MATCH(B74,Guests!$A$6:$A$505,0)+5,"")))</f>
        <v/>
      </c>
      <c r="S74" s="32">
        <f>IF(R74="","",TRIM(INDEX(Guests!$E$1:$E$505,R74)&amp;""))</f>
        <v/>
      </c>
      <c r="T74" s="32">
        <f>IF(R74="","",IF(S74="",1,COUNTIF(Guests!$E$6:$E$505,S74)))</f>
        <v/>
      </c>
      <c r="U74" s="32">
        <f>IF(R74="","",IF(S74="",1,IF(COUNTIF(S$1:S73,S74)=0,1,0)))</f>
        <v/>
      </c>
      <c r="V74" s="32">
        <f>IF(AND(R74&lt;&gt;"",G74="Attending",U74=1),MAX(0,H74+I74-T74),0)</f>
        <v/>
      </c>
      <c r="W74" s="32">
        <f>IF(AND(O74=1,R74=""),1,0)</f>
        <v/>
      </c>
      <c r="X74" s="32">
        <f>IF(B74="",0,H74+I74)</f>
        <v/>
      </c>
      <c r="Y74" s="32">
        <f>N(Y73)+O74</f>
        <v/>
      </c>
      <c r="Z74" s="32">
        <f>IF(O74=1,Y74,"")</f>
        <v/>
      </c>
      <c r="AA74" s="32">
        <f>IF(AND(W74=1,G74="Not sure yet"),1,0)</f>
        <v/>
      </c>
      <c r="AB74" s="32">
        <f>N(AB73)+AA74</f>
        <v/>
      </c>
      <c r="AC74" s="32">
        <f>IF(AA74=1,AB74,"")</f>
        <v/>
      </c>
      <c r="AD74" s="32">
        <f>IF(D74="","",IF(LEN(D74)=10,"+1"&amp;D74,IF(AND(LEN(D74)=11,LEFT(D74,1)="1"),"+"&amp;D74,IF(LEFT(C74,1)="+","+"&amp;D74,D74))))</f>
        <v/>
      </c>
      <c r="AE74" s="32">
        <f>IF(B74="","",PROPER(IFERROR(LEFT(B74,FIND(" ",B74)-1),B74)))</f>
        <v/>
      </c>
      <c r="AF74" s="32">
        <f>SUBSTITUTE(SUBSTITUTE(SUBSTITUTE(SUBSTITUTE(SUBSTITUTE(SUBSTITUTE(SUBSTITUTE(SUBSTITUTE(SUBSTITUTE(SUBSTITUTE(AE74,"%","%25"),"&amp;","%26"),"#","%23"),"+","%2B"),"=","%3D"),"?","%3F"),CHAR(34),"%22"),CHAR(10),"%0A"),CHAR(13),"")," ","+")</f>
        <v/>
      </c>
      <c r="AG74" s="32">
        <f>IF(OR(AD74="",AE74=""),"",'Start Here'!$B$20&amp;"#p="&amp;SUBSTITUTE(AD74,"+","%2B")&amp;"&amp;n="&amp;AF74&amp;"&amp;m="&amp;SUBSTITUTE('Start Here'!$B$24,"{name}",AF74))</f>
        <v/>
      </c>
      <c r="AH74" s="32">
        <f>N(AH73)+W74</f>
        <v/>
      </c>
      <c r="AI74" s="32">
        <f>IF(W74=1,AH74,"")</f>
        <v/>
      </c>
    </row>
    <row r="75">
      <c r="A75" s="32">
        <f>IF(INDEX('Form Responses'!$A:$A,ROW())="","",INDEX('Form Responses'!$A:$A,ROW()))</f>
        <v/>
      </c>
      <c r="B75" s="32">
        <f>TRIM(INDEX('Form Responses'!$B:$B,ROW())&amp;"")</f>
        <v/>
      </c>
      <c r="C75" s="32">
        <f>IF(B75="","",TRIM(INDEX('Form Responses'!$C:$C,ROW())&amp;""))</f>
        <v/>
      </c>
      <c r="D75" s="32">
        <f>SUBSTITUTE(SUBSTITUTE(SUBSTITUTE(SUBSTITUTE(SUBSTITUTE(SUBSTITUTE(SUBSTITUTE(SUBSTITUTE(C75," ",""),"-",""),"(",""),")",""),".",""),"+",""),"/",""),CHAR(160),"")</f>
        <v/>
      </c>
      <c r="E75" s="32">
        <f>IF(LEN(D75)&gt;=10,RIGHT(D75,10),D75)</f>
        <v/>
      </c>
      <c r="F75" s="32">
        <f>IF(B75="","",TRIM(INDEX('Form Responses'!$D:$D,ROW())&amp;""))</f>
        <v/>
      </c>
      <c r="G75" s="32">
        <f>IF(B75="","",IF(LEFT(TRIM(INDEX('Form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5" s="32">
        <f>IF(B75="","",MAX(0,IFERROR(INT(--(INDEX('Form Responses'!$F:$F,ROW())&amp;"")),1)))</f>
        <v/>
      </c>
      <c r="I75" s="32">
        <f>IF(B75="","",MAX(0,IFERROR(INT(--(INDEX('Form Responses'!$G:$G,ROW())&amp;"")),0)))</f>
        <v/>
      </c>
      <c r="J75" s="32">
        <f>IF(B75="","",TRIM(INDEX('Form Responses'!$H:$H,ROW())&amp;""))</f>
        <v/>
      </c>
      <c r="K75" s="32">
        <f>IF(B75="","",TRIM(INDEX('Form Responses'!$I:$I,ROW())&amp;""))</f>
        <v/>
      </c>
      <c r="L75" s="32">
        <f>IF(B75="","",TRIM(INDEX('Form Responses'!$J:$J,ROW())&amp;""))</f>
        <v/>
      </c>
      <c r="M75" s="32">
        <f>IF(B75="","",TRIM(INDEX('Form Responses'!$K:$K,ROW())&amp;""))</f>
        <v/>
      </c>
      <c r="N75" s="32">
        <f>IF(B75="","",IF(E75&lt;&gt;"","P"&amp;E75,"N"&amp;B75))</f>
        <v/>
      </c>
      <c r="O75" s="32">
        <f>IF(N75="",0,IF(COUNTIF(N76:N$602,N75)=0,1,0))</f>
        <v/>
      </c>
      <c r="P75" s="32">
        <f>IF(AND(O75=1,E75&lt;&gt;""),E75,"")</f>
        <v/>
      </c>
      <c r="Q75" s="32">
        <f>IF(O75=1,B75,"")</f>
        <v/>
      </c>
      <c r="R75" s="32">
        <f>IF(O75&lt;&gt;1,"",IF(E75&lt;&gt;"",IFERROR(MATCH(E75,Guests!$S$6:$S$505,0)+5,IFERROR(MATCH(B75,Guests!$A$6:$A$505,0)+5,"")),IFERROR(MATCH(B75,Guests!$A$6:$A$505,0)+5,"")))</f>
        <v/>
      </c>
      <c r="S75" s="32">
        <f>IF(R75="","",TRIM(INDEX(Guests!$E$1:$E$505,R75)&amp;""))</f>
        <v/>
      </c>
      <c r="T75" s="32">
        <f>IF(R75="","",IF(S75="",1,COUNTIF(Guests!$E$6:$E$505,S75)))</f>
        <v/>
      </c>
      <c r="U75" s="32">
        <f>IF(R75="","",IF(S75="",1,IF(COUNTIF(S$1:S74,S75)=0,1,0)))</f>
        <v/>
      </c>
      <c r="V75" s="32">
        <f>IF(AND(R75&lt;&gt;"",G75="Attending",U75=1),MAX(0,H75+I75-T75),0)</f>
        <v/>
      </c>
      <c r="W75" s="32">
        <f>IF(AND(O75=1,R75=""),1,0)</f>
        <v/>
      </c>
      <c r="X75" s="32">
        <f>IF(B75="",0,H75+I75)</f>
        <v/>
      </c>
      <c r="Y75" s="32">
        <f>N(Y74)+O75</f>
        <v/>
      </c>
      <c r="Z75" s="32">
        <f>IF(O75=1,Y75,"")</f>
        <v/>
      </c>
      <c r="AA75" s="32">
        <f>IF(AND(W75=1,G75="Not sure yet"),1,0)</f>
        <v/>
      </c>
      <c r="AB75" s="32">
        <f>N(AB74)+AA75</f>
        <v/>
      </c>
      <c r="AC75" s="32">
        <f>IF(AA75=1,AB75,"")</f>
        <v/>
      </c>
      <c r="AD75" s="32">
        <f>IF(D75="","",IF(LEN(D75)=10,"+1"&amp;D75,IF(AND(LEN(D75)=11,LEFT(D75,1)="1"),"+"&amp;D75,IF(LEFT(C75,1)="+","+"&amp;D75,D75))))</f>
        <v/>
      </c>
      <c r="AE75" s="32">
        <f>IF(B75="","",PROPER(IFERROR(LEFT(B75,FIND(" ",B75)-1),B75)))</f>
        <v/>
      </c>
      <c r="AF75" s="32">
        <f>SUBSTITUTE(SUBSTITUTE(SUBSTITUTE(SUBSTITUTE(SUBSTITUTE(SUBSTITUTE(SUBSTITUTE(SUBSTITUTE(SUBSTITUTE(SUBSTITUTE(AE75,"%","%25"),"&amp;","%26"),"#","%23"),"+","%2B"),"=","%3D"),"?","%3F"),CHAR(34),"%22"),CHAR(10),"%0A"),CHAR(13),"")," ","+")</f>
        <v/>
      </c>
      <c r="AG75" s="32">
        <f>IF(OR(AD75="",AE75=""),"",'Start Here'!$B$20&amp;"#p="&amp;SUBSTITUTE(AD75,"+","%2B")&amp;"&amp;n="&amp;AF75&amp;"&amp;m="&amp;SUBSTITUTE('Start Here'!$B$24,"{name}",AF75))</f>
        <v/>
      </c>
      <c r="AH75" s="32">
        <f>N(AH74)+W75</f>
        <v/>
      </c>
      <c r="AI75" s="32">
        <f>IF(W75=1,AH75,"")</f>
        <v/>
      </c>
    </row>
    <row r="76">
      <c r="A76" s="32">
        <f>IF(INDEX('Form Responses'!$A:$A,ROW())="","",INDEX('Form Responses'!$A:$A,ROW()))</f>
        <v/>
      </c>
      <c r="B76" s="32">
        <f>TRIM(INDEX('Form Responses'!$B:$B,ROW())&amp;"")</f>
        <v/>
      </c>
      <c r="C76" s="32">
        <f>IF(B76="","",TRIM(INDEX('Form Responses'!$C:$C,ROW())&amp;""))</f>
        <v/>
      </c>
      <c r="D76" s="32">
        <f>SUBSTITUTE(SUBSTITUTE(SUBSTITUTE(SUBSTITUTE(SUBSTITUTE(SUBSTITUTE(SUBSTITUTE(SUBSTITUTE(C76," ",""),"-",""),"(",""),")",""),".",""),"+",""),"/",""),CHAR(160),"")</f>
        <v/>
      </c>
      <c r="E76" s="32">
        <f>IF(LEN(D76)&gt;=10,RIGHT(D76,10),D76)</f>
        <v/>
      </c>
      <c r="F76" s="32">
        <f>IF(B76="","",TRIM(INDEX('Form Responses'!$D:$D,ROW())&amp;""))</f>
        <v/>
      </c>
      <c r="G76" s="32">
        <f>IF(B76="","",IF(LEFT(TRIM(INDEX('Form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6" s="32">
        <f>IF(B76="","",MAX(0,IFERROR(INT(--(INDEX('Form Responses'!$F:$F,ROW())&amp;"")),1)))</f>
        <v/>
      </c>
      <c r="I76" s="32">
        <f>IF(B76="","",MAX(0,IFERROR(INT(--(INDEX('Form Responses'!$G:$G,ROW())&amp;"")),0)))</f>
        <v/>
      </c>
      <c r="J76" s="32">
        <f>IF(B76="","",TRIM(INDEX('Form Responses'!$H:$H,ROW())&amp;""))</f>
        <v/>
      </c>
      <c r="K76" s="32">
        <f>IF(B76="","",TRIM(INDEX('Form Responses'!$I:$I,ROW())&amp;""))</f>
        <v/>
      </c>
      <c r="L76" s="32">
        <f>IF(B76="","",TRIM(INDEX('Form Responses'!$J:$J,ROW())&amp;""))</f>
        <v/>
      </c>
      <c r="M76" s="32">
        <f>IF(B76="","",TRIM(INDEX('Form Responses'!$K:$K,ROW())&amp;""))</f>
        <v/>
      </c>
      <c r="N76" s="32">
        <f>IF(B76="","",IF(E76&lt;&gt;"","P"&amp;E76,"N"&amp;B76))</f>
        <v/>
      </c>
      <c r="O76" s="32">
        <f>IF(N76="",0,IF(COUNTIF(N77:N$602,N76)=0,1,0))</f>
        <v/>
      </c>
      <c r="P76" s="32">
        <f>IF(AND(O76=1,E76&lt;&gt;""),E76,"")</f>
        <v/>
      </c>
      <c r="Q76" s="32">
        <f>IF(O76=1,B76,"")</f>
        <v/>
      </c>
      <c r="R76" s="32">
        <f>IF(O76&lt;&gt;1,"",IF(E76&lt;&gt;"",IFERROR(MATCH(E76,Guests!$S$6:$S$505,0)+5,IFERROR(MATCH(B76,Guests!$A$6:$A$505,0)+5,"")),IFERROR(MATCH(B76,Guests!$A$6:$A$505,0)+5,"")))</f>
        <v/>
      </c>
      <c r="S76" s="32">
        <f>IF(R76="","",TRIM(INDEX(Guests!$E$1:$E$505,R76)&amp;""))</f>
        <v/>
      </c>
      <c r="T76" s="32">
        <f>IF(R76="","",IF(S76="",1,COUNTIF(Guests!$E$6:$E$505,S76)))</f>
        <v/>
      </c>
      <c r="U76" s="32">
        <f>IF(R76="","",IF(S76="",1,IF(COUNTIF(S$1:S75,S76)=0,1,0)))</f>
        <v/>
      </c>
      <c r="V76" s="32">
        <f>IF(AND(R76&lt;&gt;"",G76="Attending",U76=1),MAX(0,H76+I76-T76),0)</f>
        <v/>
      </c>
      <c r="W76" s="32">
        <f>IF(AND(O76=1,R76=""),1,0)</f>
        <v/>
      </c>
      <c r="X76" s="32">
        <f>IF(B76="",0,H76+I76)</f>
        <v/>
      </c>
      <c r="Y76" s="32">
        <f>N(Y75)+O76</f>
        <v/>
      </c>
      <c r="Z76" s="32">
        <f>IF(O76=1,Y76,"")</f>
        <v/>
      </c>
      <c r="AA76" s="32">
        <f>IF(AND(W76=1,G76="Not sure yet"),1,0)</f>
        <v/>
      </c>
      <c r="AB76" s="32">
        <f>N(AB75)+AA76</f>
        <v/>
      </c>
      <c r="AC76" s="32">
        <f>IF(AA76=1,AB76,"")</f>
        <v/>
      </c>
      <c r="AD76" s="32">
        <f>IF(D76="","",IF(LEN(D76)=10,"+1"&amp;D76,IF(AND(LEN(D76)=11,LEFT(D76,1)="1"),"+"&amp;D76,IF(LEFT(C76,1)="+","+"&amp;D76,D76))))</f>
        <v/>
      </c>
      <c r="AE76" s="32">
        <f>IF(B76="","",PROPER(IFERROR(LEFT(B76,FIND(" ",B76)-1),B76)))</f>
        <v/>
      </c>
      <c r="AF76" s="32">
        <f>SUBSTITUTE(SUBSTITUTE(SUBSTITUTE(SUBSTITUTE(SUBSTITUTE(SUBSTITUTE(SUBSTITUTE(SUBSTITUTE(SUBSTITUTE(SUBSTITUTE(AE76,"%","%25"),"&amp;","%26"),"#","%23"),"+","%2B"),"=","%3D"),"?","%3F"),CHAR(34),"%22"),CHAR(10),"%0A"),CHAR(13),"")," ","+")</f>
        <v/>
      </c>
      <c r="AG76" s="32">
        <f>IF(OR(AD76="",AE76=""),"",'Start Here'!$B$20&amp;"#p="&amp;SUBSTITUTE(AD76,"+","%2B")&amp;"&amp;n="&amp;AF76&amp;"&amp;m="&amp;SUBSTITUTE('Start Here'!$B$24,"{name}",AF76))</f>
        <v/>
      </c>
      <c r="AH76" s="32">
        <f>N(AH75)+W76</f>
        <v/>
      </c>
      <c r="AI76" s="32">
        <f>IF(W76=1,AH76,"")</f>
        <v/>
      </c>
    </row>
    <row r="77">
      <c r="A77" s="32">
        <f>IF(INDEX('Form Responses'!$A:$A,ROW())="","",INDEX('Form Responses'!$A:$A,ROW()))</f>
        <v/>
      </c>
      <c r="B77" s="32">
        <f>TRIM(INDEX('Form Responses'!$B:$B,ROW())&amp;"")</f>
        <v/>
      </c>
      <c r="C77" s="32">
        <f>IF(B77="","",TRIM(INDEX('Form Responses'!$C:$C,ROW())&amp;""))</f>
        <v/>
      </c>
      <c r="D77" s="32">
        <f>SUBSTITUTE(SUBSTITUTE(SUBSTITUTE(SUBSTITUTE(SUBSTITUTE(SUBSTITUTE(SUBSTITUTE(SUBSTITUTE(C77," ",""),"-",""),"(",""),")",""),".",""),"+",""),"/",""),CHAR(160),"")</f>
        <v/>
      </c>
      <c r="E77" s="32">
        <f>IF(LEN(D77)&gt;=10,RIGHT(D77,10),D77)</f>
        <v/>
      </c>
      <c r="F77" s="32">
        <f>IF(B77="","",TRIM(INDEX('Form Responses'!$D:$D,ROW())&amp;""))</f>
        <v/>
      </c>
      <c r="G77" s="32">
        <f>IF(B77="","",IF(LEFT(TRIM(INDEX('Form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7" s="32">
        <f>IF(B77="","",MAX(0,IFERROR(INT(--(INDEX('Form Responses'!$F:$F,ROW())&amp;"")),1)))</f>
        <v/>
      </c>
      <c r="I77" s="32">
        <f>IF(B77="","",MAX(0,IFERROR(INT(--(INDEX('Form Responses'!$G:$G,ROW())&amp;"")),0)))</f>
        <v/>
      </c>
      <c r="J77" s="32">
        <f>IF(B77="","",TRIM(INDEX('Form Responses'!$H:$H,ROW())&amp;""))</f>
        <v/>
      </c>
      <c r="K77" s="32">
        <f>IF(B77="","",TRIM(INDEX('Form Responses'!$I:$I,ROW())&amp;""))</f>
        <v/>
      </c>
      <c r="L77" s="32">
        <f>IF(B77="","",TRIM(INDEX('Form Responses'!$J:$J,ROW())&amp;""))</f>
        <v/>
      </c>
      <c r="M77" s="32">
        <f>IF(B77="","",TRIM(INDEX('Form Responses'!$K:$K,ROW())&amp;""))</f>
        <v/>
      </c>
      <c r="N77" s="32">
        <f>IF(B77="","",IF(E77&lt;&gt;"","P"&amp;E77,"N"&amp;B77))</f>
        <v/>
      </c>
      <c r="O77" s="32">
        <f>IF(N77="",0,IF(COUNTIF(N78:N$602,N77)=0,1,0))</f>
        <v/>
      </c>
      <c r="P77" s="32">
        <f>IF(AND(O77=1,E77&lt;&gt;""),E77,"")</f>
        <v/>
      </c>
      <c r="Q77" s="32">
        <f>IF(O77=1,B77,"")</f>
        <v/>
      </c>
      <c r="R77" s="32">
        <f>IF(O77&lt;&gt;1,"",IF(E77&lt;&gt;"",IFERROR(MATCH(E77,Guests!$S$6:$S$505,0)+5,IFERROR(MATCH(B77,Guests!$A$6:$A$505,0)+5,"")),IFERROR(MATCH(B77,Guests!$A$6:$A$505,0)+5,"")))</f>
        <v/>
      </c>
      <c r="S77" s="32">
        <f>IF(R77="","",TRIM(INDEX(Guests!$E$1:$E$505,R77)&amp;""))</f>
        <v/>
      </c>
      <c r="T77" s="32">
        <f>IF(R77="","",IF(S77="",1,COUNTIF(Guests!$E$6:$E$505,S77)))</f>
        <v/>
      </c>
      <c r="U77" s="32">
        <f>IF(R77="","",IF(S77="",1,IF(COUNTIF(S$1:S76,S77)=0,1,0)))</f>
        <v/>
      </c>
      <c r="V77" s="32">
        <f>IF(AND(R77&lt;&gt;"",G77="Attending",U77=1),MAX(0,H77+I77-T77),0)</f>
        <v/>
      </c>
      <c r="W77" s="32">
        <f>IF(AND(O77=1,R77=""),1,0)</f>
        <v/>
      </c>
      <c r="X77" s="32">
        <f>IF(B77="",0,H77+I77)</f>
        <v/>
      </c>
      <c r="Y77" s="32">
        <f>N(Y76)+O77</f>
        <v/>
      </c>
      <c r="Z77" s="32">
        <f>IF(O77=1,Y77,"")</f>
        <v/>
      </c>
      <c r="AA77" s="32">
        <f>IF(AND(W77=1,G77="Not sure yet"),1,0)</f>
        <v/>
      </c>
      <c r="AB77" s="32">
        <f>N(AB76)+AA77</f>
        <v/>
      </c>
      <c r="AC77" s="32">
        <f>IF(AA77=1,AB77,"")</f>
        <v/>
      </c>
      <c r="AD77" s="32">
        <f>IF(D77="","",IF(LEN(D77)=10,"+1"&amp;D77,IF(AND(LEN(D77)=11,LEFT(D77,1)="1"),"+"&amp;D77,IF(LEFT(C77,1)="+","+"&amp;D77,D77))))</f>
        <v/>
      </c>
      <c r="AE77" s="32">
        <f>IF(B77="","",PROPER(IFERROR(LEFT(B77,FIND(" ",B77)-1),B77)))</f>
        <v/>
      </c>
      <c r="AF77" s="32">
        <f>SUBSTITUTE(SUBSTITUTE(SUBSTITUTE(SUBSTITUTE(SUBSTITUTE(SUBSTITUTE(SUBSTITUTE(SUBSTITUTE(SUBSTITUTE(SUBSTITUTE(AE77,"%","%25"),"&amp;","%26"),"#","%23"),"+","%2B"),"=","%3D"),"?","%3F"),CHAR(34),"%22"),CHAR(10),"%0A"),CHAR(13),"")," ","+")</f>
        <v/>
      </c>
      <c r="AG77" s="32">
        <f>IF(OR(AD77="",AE77=""),"",'Start Here'!$B$20&amp;"#p="&amp;SUBSTITUTE(AD77,"+","%2B")&amp;"&amp;n="&amp;AF77&amp;"&amp;m="&amp;SUBSTITUTE('Start Here'!$B$24,"{name}",AF77))</f>
        <v/>
      </c>
      <c r="AH77" s="32">
        <f>N(AH76)+W77</f>
        <v/>
      </c>
      <c r="AI77" s="32">
        <f>IF(W77=1,AH77,"")</f>
        <v/>
      </c>
    </row>
    <row r="78">
      <c r="A78" s="32">
        <f>IF(INDEX('Form Responses'!$A:$A,ROW())="","",INDEX('Form Responses'!$A:$A,ROW()))</f>
        <v/>
      </c>
      <c r="B78" s="32">
        <f>TRIM(INDEX('Form Responses'!$B:$B,ROW())&amp;"")</f>
        <v/>
      </c>
      <c r="C78" s="32">
        <f>IF(B78="","",TRIM(INDEX('Form Responses'!$C:$C,ROW())&amp;""))</f>
        <v/>
      </c>
      <c r="D78" s="32">
        <f>SUBSTITUTE(SUBSTITUTE(SUBSTITUTE(SUBSTITUTE(SUBSTITUTE(SUBSTITUTE(SUBSTITUTE(SUBSTITUTE(C78," ",""),"-",""),"(",""),")",""),".",""),"+",""),"/",""),CHAR(160),"")</f>
        <v/>
      </c>
      <c r="E78" s="32">
        <f>IF(LEN(D78)&gt;=10,RIGHT(D78,10),D78)</f>
        <v/>
      </c>
      <c r="F78" s="32">
        <f>IF(B78="","",TRIM(INDEX('Form Responses'!$D:$D,ROW())&amp;""))</f>
        <v/>
      </c>
      <c r="G78" s="32">
        <f>IF(B78="","",IF(LEFT(TRIM(INDEX('Form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8" s="32">
        <f>IF(B78="","",MAX(0,IFERROR(INT(--(INDEX('Form Responses'!$F:$F,ROW())&amp;"")),1)))</f>
        <v/>
      </c>
      <c r="I78" s="32">
        <f>IF(B78="","",MAX(0,IFERROR(INT(--(INDEX('Form Responses'!$G:$G,ROW())&amp;"")),0)))</f>
        <v/>
      </c>
      <c r="J78" s="32">
        <f>IF(B78="","",TRIM(INDEX('Form Responses'!$H:$H,ROW())&amp;""))</f>
        <v/>
      </c>
      <c r="K78" s="32">
        <f>IF(B78="","",TRIM(INDEX('Form Responses'!$I:$I,ROW())&amp;""))</f>
        <v/>
      </c>
      <c r="L78" s="32">
        <f>IF(B78="","",TRIM(INDEX('Form Responses'!$J:$J,ROW())&amp;""))</f>
        <v/>
      </c>
      <c r="M78" s="32">
        <f>IF(B78="","",TRIM(INDEX('Form Responses'!$K:$K,ROW())&amp;""))</f>
        <v/>
      </c>
      <c r="N78" s="32">
        <f>IF(B78="","",IF(E78&lt;&gt;"","P"&amp;E78,"N"&amp;B78))</f>
        <v/>
      </c>
      <c r="O78" s="32">
        <f>IF(N78="",0,IF(COUNTIF(N79:N$602,N78)=0,1,0))</f>
        <v/>
      </c>
      <c r="P78" s="32">
        <f>IF(AND(O78=1,E78&lt;&gt;""),E78,"")</f>
        <v/>
      </c>
      <c r="Q78" s="32">
        <f>IF(O78=1,B78,"")</f>
        <v/>
      </c>
      <c r="R78" s="32">
        <f>IF(O78&lt;&gt;1,"",IF(E78&lt;&gt;"",IFERROR(MATCH(E78,Guests!$S$6:$S$505,0)+5,IFERROR(MATCH(B78,Guests!$A$6:$A$505,0)+5,"")),IFERROR(MATCH(B78,Guests!$A$6:$A$505,0)+5,"")))</f>
        <v/>
      </c>
      <c r="S78" s="32">
        <f>IF(R78="","",TRIM(INDEX(Guests!$E$1:$E$505,R78)&amp;""))</f>
        <v/>
      </c>
      <c r="T78" s="32">
        <f>IF(R78="","",IF(S78="",1,COUNTIF(Guests!$E$6:$E$505,S78)))</f>
        <v/>
      </c>
      <c r="U78" s="32">
        <f>IF(R78="","",IF(S78="",1,IF(COUNTIF(S$1:S77,S78)=0,1,0)))</f>
        <v/>
      </c>
      <c r="V78" s="32">
        <f>IF(AND(R78&lt;&gt;"",G78="Attending",U78=1),MAX(0,H78+I78-T78),0)</f>
        <v/>
      </c>
      <c r="W78" s="32">
        <f>IF(AND(O78=1,R78=""),1,0)</f>
        <v/>
      </c>
      <c r="X78" s="32">
        <f>IF(B78="",0,H78+I78)</f>
        <v/>
      </c>
      <c r="Y78" s="32">
        <f>N(Y77)+O78</f>
        <v/>
      </c>
      <c r="Z78" s="32">
        <f>IF(O78=1,Y78,"")</f>
        <v/>
      </c>
      <c r="AA78" s="32">
        <f>IF(AND(W78=1,G78="Not sure yet"),1,0)</f>
        <v/>
      </c>
      <c r="AB78" s="32">
        <f>N(AB77)+AA78</f>
        <v/>
      </c>
      <c r="AC78" s="32">
        <f>IF(AA78=1,AB78,"")</f>
        <v/>
      </c>
      <c r="AD78" s="32">
        <f>IF(D78="","",IF(LEN(D78)=10,"+1"&amp;D78,IF(AND(LEN(D78)=11,LEFT(D78,1)="1"),"+"&amp;D78,IF(LEFT(C78,1)="+","+"&amp;D78,D78))))</f>
        <v/>
      </c>
      <c r="AE78" s="32">
        <f>IF(B78="","",PROPER(IFERROR(LEFT(B78,FIND(" ",B78)-1),B78)))</f>
        <v/>
      </c>
      <c r="AF78" s="32">
        <f>SUBSTITUTE(SUBSTITUTE(SUBSTITUTE(SUBSTITUTE(SUBSTITUTE(SUBSTITUTE(SUBSTITUTE(SUBSTITUTE(SUBSTITUTE(SUBSTITUTE(AE78,"%","%25"),"&amp;","%26"),"#","%23"),"+","%2B"),"=","%3D"),"?","%3F"),CHAR(34),"%22"),CHAR(10),"%0A"),CHAR(13),"")," ","+")</f>
        <v/>
      </c>
      <c r="AG78" s="32">
        <f>IF(OR(AD78="",AE78=""),"",'Start Here'!$B$20&amp;"#p="&amp;SUBSTITUTE(AD78,"+","%2B")&amp;"&amp;n="&amp;AF78&amp;"&amp;m="&amp;SUBSTITUTE('Start Here'!$B$24,"{name}",AF78))</f>
        <v/>
      </c>
      <c r="AH78" s="32">
        <f>N(AH77)+W78</f>
        <v/>
      </c>
      <c r="AI78" s="32">
        <f>IF(W78=1,AH78,"")</f>
        <v/>
      </c>
    </row>
    <row r="79">
      <c r="A79" s="32">
        <f>IF(INDEX('Form Responses'!$A:$A,ROW())="","",INDEX('Form Responses'!$A:$A,ROW()))</f>
        <v/>
      </c>
      <c r="B79" s="32">
        <f>TRIM(INDEX('Form Responses'!$B:$B,ROW())&amp;"")</f>
        <v/>
      </c>
      <c r="C79" s="32">
        <f>IF(B79="","",TRIM(INDEX('Form Responses'!$C:$C,ROW())&amp;""))</f>
        <v/>
      </c>
      <c r="D79" s="32">
        <f>SUBSTITUTE(SUBSTITUTE(SUBSTITUTE(SUBSTITUTE(SUBSTITUTE(SUBSTITUTE(SUBSTITUTE(SUBSTITUTE(C79," ",""),"-",""),"(",""),")",""),".",""),"+",""),"/",""),CHAR(160),"")</f>
        <v/>
      </c>
      <c r="E79" s="32">
        <f>IF(LEN(D79)&gt;=10,RIGHT(D79,10),D79)</f>
        <v/>
      </c>
      <c r="F79" s="32">
        <f>IF(B79="","",TRIM(INDEX('Form Responses'!$D:$D,ROW())&amp;""))</f>
        <v/>
      </c>
      <c r="G79" s="32">
        <f>IF(B79="","",IF(LEFT(TRIM(INDEX('Form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79" s="32">
        <f>IF(B79="","",MAX(0,IFERROR(INT(--(INDEX('Form Responses'!$F:$F,ROW())&amp;"")),1)))</f>
        <v/>
      </c>
      <c r="I79" s="32">
        <f>IF(B79="","",MAX(0,IFERROR(INT(--(INDEX('Form Responses'!$G:$G,ROW())&amp;"")),0)))</f>
        <v/>
      </c>
      <c r="J79" s="32">
        <f>IF(B79="","",TRIM(INDEX('Form Responses'!$H:$H,ROW())&amp;""))</f>
        <v/>
      </c>
      <c r="K79" s="32">
        <f>IF(B79="","",TRIM(INDEX('Form Responses'!$I:$I,ROW())&amp;""))</f>
        <v/>
      </c>
      <c r="L79" s="32">
        <f>IF(B79="","",TRIM(INDEX('Form Responses'!$J:$J,ROW())&amp;""))</f>
        <v/>
      </c>
      <c r="M79" s="32">
        <f>IF(B79="","",TRIM(INDEX('Form Responses'!$K:$K,ROW())&amp;""))</f>
        <v/>
      </c>
      <c r="N79" s="32">
        <f>IF(B79="","",IF(E79&lt;&gt;"","P"&amp;E79,"N"&amp;B79))</f>
        <v/>
      </c>
      <c r="O79" s="32">
        <f>IF(N79="",0,IF(COUNTIF(N80:N$602,N79)=0,1,0))</f>
        <v/>
      </c>
      <c r="P79" s="32">
        <f>IF(AND(O79=1,E79&lt;&gt;""),E79,"")</f>
        <v/>
      </c>
      <c r="Q79" s="32">
        <f>IF(O79=1,B79,"")</f>
        <v/>
      </c>
      <c r="R79" s="32">
        <f>IF(O79&lt;&gt;1,"",IF(E79&lt;&gt;"",IFERROR(MATCH(E79,Guests!$S$6:$S$505,0)+5,IFERROR(MATCH(B79,Guests!$A$6:$A$505,0)+5,"")),IFERROR(MATCH(B79,Guests!$A$6:$A$505,0)+5,"")))</f>
        <v/>
      </c>
      <c r="S79" s="32">
        <f>IF(R79="","",TRIM(INDEX(Guests!$E$1:$E$505,R79)&amp;""))</f>
        <v/>
      </c>
      <c r="T79" s="32">
        <f>IF(R79="","",IF(S79="",1,COUNTIF(Guests!$E$6:$E$505,S79)))</f>
        <v/>
      </c>
      <c r="U79" s="32">
        <f>IF(R79="","",IF(S79="",1,IF(COUNTIF(S$1:S78,S79)=0,1,0)))</f>
        <v/>
      </c>
      <c r="V79" s="32">
        <f>IF(AND(R79&lt;&gt;"",G79="Attending",U79=1),MAX(0,H79+I79-T79),0)</f>
        <v/>
      </c>
      <c r="W79" s="32">
        <f>IF(AND(O79=1,R79=""),1,0)</f>
        <v/>
      </c>
      <c r="X79" s="32">
        <f>IF(B79="",0,H79+I79)</f>
        <v/>
      </c>
      <c r="Y79" s="32">
        <f>N(Y78)+O79</f>
        <v/>
      </c>
      <c r="Z79" s="32">
        <f>IF(O79=1,Y79,"")</f>
        <v/>
      </c>
      <c r="AA79" s="32">
        <f>IF(AND(W79=1,G79="Not sure yet"),1,0)</f>
        <v/>
      </c>
      <c r="AB79" s="32">
        <f>N(AB78)+AA79</f>
        <v/>
      </c>
      <c r="AC79" s="32">
        <f>IF(AA79=1,AB79,"")</f>
        <v/>
      </c>
      <c r="AD79" s="32">
        <f>IF(D79="","",IF(LEN(D79)=10,"+1"&amp;D79,IF(AND(LEN(D79)=11,LEFT(D79,1)="1"),"+"&amp;D79,IF(LEFT(C79,1)="+","+"&amp;D79,D79))))</f>
        <v/>
      </c>
      <c r="AE79" s="32">
        <f>IF(B79="","",PROPER(IFERROR(LEFT(B79,FIND(" ",B79)-1),B79)))</f>
        <v/>
      </c>
      <c r="AF79" s="32">
        <f>SUBSTITUTE(SUBSTITUTE(SUBSTITUTE(SUBSTITUTE(SUBSTITUTE(SUBSTITUTE(SUBSTITUTE(SUBSTITUTE(SUBSTITUTE(SUBSTITUTE(AE79,"%","%25"),"&amp;","%26"),"#","%23"),"+","%2B"),"=","%3D"),"?","%3F"),CHAR(34),"%22"),CHAR(10),"%0A"),CHAR(13),"")," ","+")</f>
        <v/>
      </c>
      <c r="AG79" s="32">
        <f>IF(OR(AD79="",AE79=""),"",'Start Here'!$B$20&amp;"#p="&amp;SUBSTITUTE(AD79,"+","%2B")&amp;"&amp;n="&amp;AF79&amp;"&amp;m="&amp;SUBSTITUTE('Start Here'!$B$24,"{name}",AF79))</f>
        <v/>
      </c>
      <c r="AH79" s="32">
        <f>N(AH78)+W79</f>
        <v/>
      </c>
      <c r="AI79" s="32">
        <f>IF(W79=1,AH79,"")</f>
        <v/>
      </c>
    </row>
    <row r="80">
      <c r="A80" s="32">
        <f>IF(INDEX('Form Responses'!$A:$A,ROW())="","",INDEX('Form Responses'!$A:$A,ROW()))</f>
        <v/>
      </c>
      <c r="B80" s="32">
        <f>TRIM(INDEX('Form Responses'!$B:$B,ROW())&amp;"")</f>
        <v/>
      </c>
      <c r="C80" s="32">
        <f>IF(B80="","",TRIM(INDEX('Form Responses'!$C:$C,ROW())&amp;""))</f>
        <v/>
      </c>
      <c r="D80" s="32">
        <f>SUBSTITUTE(SUBSTITUTE(SUBSTITUTE(SUBSTITUTE(SUBSTITUTE(SUBSTITUTE(SUBSTITUTE(SUBSTITUTE(C80," ",""),"-",""),"(",""),")",""),".",""),"+",""),"/",""),CHAR(160),"")</f>
        <v/>
      </c>
      <c r="E80" s="32">
        <f>IF(LEN(D80)&gt;=10,RIGHT(D80,10),D80)</f>
        <v/>
      </c>
      <c r="F80" s="32">
        <f>IF(B80="","",TRIM(INDEX('Form Responses'!$D:$D,ROW())&amp;""))</f>
        <v/>
      </c>
      <c r="G80" s="32">
        <f>IF(B80="","",IF(LEFT(TRIM(INDEX('Form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0" s="32">
        <f>IF(B80="","",MAX(0,IFERROR(INT(--(INDEX('Form Responses'!$F:$F,ROW())&amp;"")),1)))</f>
        <v/>
      </c>
      <c r="I80" s="32">
        <f>IF(B80="","",MAX(0,IFERROR(INT(--(INDEX('Form Responses'!$G:$G,ROW())&amp;"")),0)))</f>
        <v/>
      </c>
      <c r="J80" s="32">
        <f>IF(B80="","",TRIM(INDEX('Form Responses'!$H:$H,ROW())&amp;""))</f>
        <v/>
      </c>
      <c r="K80" s="32">
        <f>IF(B80="","",TRIM(INDEX('Form Responses'!$I:$I,ROW())&amp;""))</f>
        <v/>
      </c>
      <c r="L80" s="32">
        <f>IF(B80="","",TRIM(INDEX('Form Responses'!$J:$J,ROW())&amp;""))</f>
        <v/>
      </c>
      <c r="M80" s="32">
        <f>IF(B80="","",TRIM(INDEX('Form Responses'!$K:$K,ROW())&amp;""))</f>
        <v/>
      </c>
      <c r="N80" s="32">
        <f>IF(B80="","",IF(E80&lt;&gt;"","P"&amp;E80,"N"&amp;B80))</f>
        <v/>
      </c>
      <c r="O80" s="32">
        <f>IF(N80="",0,IF(COUNTIF(N81:N$602,N80)=0,1,0))</f>
        <v/>
      </c>
      <c r="P80" s="32">
        <f>IF(AND(O80=1,E80&lt;&gt;""),E80,"")</f>
        <v/>
      </c>
      <c r="Q80" s="32">
        <f>IF(O80=1,B80,"")</f>
        <v/>
      </c>
      <c r="R80" s="32">
        <f>IF(O80&lt;&gt;1,"",IF(E80&lt;&gt;"",IFERROR(MATCH(E80,Guests!$S$6:$S$505,0)+5,IFERROR(MATCH(B80,Guests!$A$6:$A$505,0)+5,"")),IFERROR(MATCH(B80,Guests!$A$6:$A$505,0)+5,"")))</f>
        <v/>
      </c>
      <c r="S80" s="32">
        <f>IF(R80="","",TRIM(INDEX(Guests!$E$1:$E$505,R80)&amp;""))</f>
        <v/>
      </c>
      <c r="T80" s="32">
        <f>IF(R80="","",IF(S80="",1,COUNTIF(Guests!$E$6:$E$505,S80)))</f>
        <v/>
      </c>
      <c r="U80" s="32">
        <f>IF(R80="","",IF(S80="",1,IF(COUNTIF(S$1:S79,S80)=0,1,0)))</f>
        <v/>
      </c>
      <c r="V80" s="32">
        <f>IF(AND(R80&lt;&gt;"",G80="Attending",U80=1),MAX(0,H80+I80-T80),0)</f>
        <v/>
      </c>
      <c r="W80" s="32">
        <f>IF(AND(O80=1,R80=""),1,0)</f>
        <v/>
      </c>
      <c r="X80" s="32">
        <f>IF(B80="",0,H80+I80)</f>
        <v/>
      </c>
      <c r="Y80" s="32">
        <f>N(Y79)+O80</f>
        <v/>
      </c>
      <c r="Z80" s="32">
        <f>IF(O80=1,Y80,"")</f>
        <v/>
      </c>
      <c r="AA80" s="32">
        <f>IF(AND(W80=1,G80="Not sure yet"),1,0)</f>
        <v/>
      </c>
      <c r="AB80" s="32">
        <f>N(AB79)+AA80</f>
        <v/>
      </c>
      <c r="AC80" s="32">
        <f>IF(AA80=1,AB80,"")</f>
        <v/>
      </c>
      <c r="AD80" s="32">
        <f>IF(D80="","",IF(LEN(D80)=10,"+1"&amp;D80,IF(AND(LEN(D80)=11,LEFT(D80,1)="1"),"+"&amp;D80,IF(LEFT(C80,1)="+","+"&amp;D80,D80))))</f>
        <v/>
      </c>
      <c r="AE80" s="32">
        <f>IF(B80="","",PROPER(IFERROR(LEFT(B80,FIND(" ",B80)-1),B80)))</f>
        <v/>
      </c>
      <c r="AF80" s="32">
        <f>SUBSTITUTE(SUBSTITUTE(SUBSTITUTE(SUBSTITUTE(SUBSTITUTE(SUBSTITUTE(SUBSTITUTE(SUBSTITUTE(SUBSTITUTE(SUBSTITUTE(AE80,"%","%25"),"&amp;","%26"),"#","%23"),"+","%2B"),"=","%3D"),"?","%3F"),CHAR(34),"%22"),CHAR(10),"%0A"),CHAR(13),"")," ","+")</f>
        <v/>
      </c>
      <c r="AG80" s="32">
        <f>IF(OR(AD80="",AE80=""),"",'Start Here'!$B$20&amp;"#p="&amp;SUBSTITUTE(AD80,"+","%2B")&amp;"&amp;n="&amp;AF80&amp;"&amp;m="&amp;SUBSTITUTE('Start Here'!$B$24,"{name}",AF80))</f>
        <v/>
      </c>
      <c r="AH80" s="32">
        <f>N(AH79)+W80</f>
        <v/>
      </c>
      <c r="AI80" s="32">
        <f>IF(W80=1,AH80,"")</f>
        <v/>
      </c>
    </row>
    <row r="81">
      <c r="A81" s="32">
        <f>IF(INDEX('Form Responses'!$A:$A,ROW())="","",INDEX('Form Responses'!$A:$A,ROW()))</f>
        <v/>
      </c>
      <c r="B81" s="32">
        <f>TRIM(INDEX('Form Responses'!$B:$B,ROW())&amp;"")</f>
        <v/>
      </c>
      <c r="C81" s="32">
        <f>IF(B81="","",TRIM(INDEX('Form Responses'!$C:$C,ROW())&amp;""))</f>
        <v/>
      </c>
      <c r="D81" s="32">
        <f>SUBSTITUTE(SUBSTITUTE(SUBSTITUTE(SUBSTITUTE(SUBSTITUTE(SUBSTITUTE(SUBSTITUTE(SUBSTITUTE(C81," ",""),"-",""),"(",""),")",""),".",""),"+",""),"/",""),CHAR(160),"")</f>
        <v/>
      </c>
      <c r="E81" s="32">
        <f>IF(LEN(D81)&gt;=10,RIGHT(D81,10),D81)</f>
        <v/>
      </c>
      <c r="F81" s="32">
        <f>IF(B81="","",TRIM(INDEX('Form Responses'!$D:$D,ROW())&amp;""))</f>
        <v/>
      </c>
      <c r="G81" s="32">
        <f>IF(B81="","",IF(LEFT(TRIM(INDEX('Form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1" s="32">
        <f>IF(B81="","",MAX(0,IFERROR(INT(--(INDEX('Form Responses'!$F:$F,ROW())&amp;"")),1)))</f>
        <v/>
      </c>
      <c r="I81" s="32">
        <f>IF(B81="","",MAX(0,IFERROR(INT(--(INDEX('Form Responses'!$G:$G,ROW())&amp;"")),0)))</f>
        <v/>
      </c>
      <c r="J81" s="32">
        <f>IF(B81="","",TRIM(INDEX('Form Responses'!$H:$H,ROW())&amp;""))</f>
        <v/>
      </c>
      <c r="K81" s="32">
        <f>IF(B81="","",TRIM(INDEX('Form Responses'!$I:$I,ROW())&amp;""))</f>
        <v/>
      </c>
      <c r="L81" s="32">
        <f>IF(B81="","",TRIM(INDEX('Form Responses'!$J:$J,ROW())&amp;""))</f>
        <v/>
      </c>
      <c r="M81" s="32">
        <f>IF(B81="","",TRIM(INDEX('Form Responses'!$K:$K,ROW())&amp;""))</f>
        <v/>
      </c>
      <c r="N81" s="32">
        <f>IF(B81="","",IF(E81&lt;&gt;"","P"&amp;E81,"N"&amp;B81))</f>
        <v/>
      </c>
      <c r="O81" s="32">
        <f>IF(N81="",0,IF(COUNTIF(N82:N$602,N81)=0,1,0))</f>
        <v/>
      </c>
      <c r="P81" s="32">
        <f>IF(AND(O81=1,E81&lt;&gt;""),E81,"")</f>
        <v/>
      </c>
      <c r="Q81" s="32">
        <f>IF(O81=1,B81,"")</f>
        <v/>
      </c>
      <c r="R81" s="32">
        <f>IF(O81&lt;&gt;1,"",IF(E81&lt;&gt;"",IFERROR(MATCH(E81,Guests!$S$6:$S$505,0)+5,IFERROR(MATCH(B81,Guests!$A$6:$A$505,0)+5,"")),IFERROR(MATCH(B81,Guests!$A$6:$A$505,0)+5,"")))</f>
        <v/>
      </c>
      <c r="S81" s="32">
        <f>IF(R81="","",TRIM(INDEX(Guests!$E$1:$E$505,R81)&amp;""))</f>
        <v/>
      </c>
      <c r="T81" s="32">
        <f>IF(R81="","",IF(S81="",1,COUNTIF(Guests!$E$6:$E$505,S81)))</f>
        <v/>
      </c>
      <c r="U81" s="32">
        <f>IF(R81="","",IF(S81="",1,IF(COUNTIF(S$1:S80,S81)=0,1,0)))</f>
        <v/>
      </c>
      <c r="V81" s="32">
        <f>IF(AND(R81&lt;&gt;"",G81="Attending",U81=1),MAX(0,H81+I81-T81),0)</f>
        <v/>
      </c>
      <c r="W81" s="32">
        <f>IF(AND(O81=1,R81=""),1,0)</f>
        <v/>
      </c>
      <c r="X81" s="32">
        <f>IF(B81="",0,H81+I81)</f>
        <v/>
      </c>
      <c r="Y81" s="32">
        <f>N(Y80)+O81</f>
        <v/>
      </c>
      <c r="Z81" s="32">
        <f>IF(O81=1,Y81,"")</f>
        <v/>
      </c>
      <c r="AA81" s="32">
        <f>IF(AND(W81=1,G81="Not sure yet"),1,0)</f>
        <v/>
      </c>
      <c r="AB81" s="32">
        <f>N(AB80)+AA81</f>
        <v/>
      </c>
      <c r="AC81" s="32">
        <f>IF(AA81=1,AB81,"")</f>
        <v/>
      </c>
      <c r="AD81" s="32">
        <f>IF(D81="","",IF(LEN(D81)=10,"+1"&amp;D81,IF(AND(LEN(D81)=11,LEFT(D81,1)="1"),"+"&amp;D81,IF(LEFT(C81,1)="+","+"&amp;D81,D81))))</f>
        <v/>
      </c>
      <c r="AE81" s="32">
        <f>IF(B81="","",PROPER(IFERROR(LEFT(B81,FIND(" ",B81)-1),B81)))</f>
        <v/>
      </c>
      <c r="AF81" s="32">
        <f>SUBSTITUTE(SUBSTITUTE(SUBSTITUTE(SUBSTITUTE(SUBSTITUTE(SUBSTITUTE(SUBSTITUTE(SUBSTITUTE(SUBSTITUTE(SUBSTITUTE(AE81,"%","%25"),"&amp;","%26"),"#","%23"),"+","%2B"),"=","%3D"),"?","%3F"),CHAR(34),"%22"),CHAR(10),"%0A"),CHAR(13),"")," ","+")</f>
        <v/>
      </c>
      <c r="AG81" s="32">
        <f>IF(OR(AD81="",AE81=""),"",'Start Here'!$B$20&amp;"#p="&amp;SUBSTITUTE(AD81,"+","%2B")&amp;"&amp;n="&amp;AF81&amp;"&amp;m="&amp;SUBSTITUTE('Start Here'!$B$24,"{name}",AF81))</f>
        <v/>
      </c>
      <c r="AH81" s="32">
        <f>N(AH80)+W81</f>
        <v/>
      </c>
      <c r="AI81" s="32">
        <f>IF(W81=1,AH81,"")</f>
        <v/>
      </c>
    </row>
    <row r="82">
      <c r="A82" s="32">
        <f>IF(INDEX('Form Responses'!$A:$A,ROW())="","",INDEX('Form Responses'!$A:$A,ROW()))</f>
        <v/>
      </c>
      <c r="B82" s="32">
        <f>TRIM(INDEX('Form Responses'!$B:$B,ROW())&amp;"")</f>
        <v/>
      </c>
      <c r="C82" s="32">
        <f>IF(B82="","",TRIM(INDEX('Form Responses'!$C:$C,ROW())&amp;""))</f>
        <v/>
      </c>
      <c r="D82" s="32">
        <f>SUBSTITUTE(SUBSTITUTE(SUBSTITUTE(SUBSTITUTE(SUBSTITUTE(SUBSTITUTE(SUBSTITUTE(SUBSTITUTE(C82," ",""),"-",""),"(",""),")",""),".",""),"+",""),"/",""),CHAR(160),"")</f>
        <v/>
      </c>
      <c r="E82" s="32">
        <f>IF(LEN(D82)&gt;=10,RIGHT(D82,10),D82)</f>
        <v/>
      </c>
      <c r="F82" s="32">
        <f>IF(B82="","",TRIM(INDEX('Form Responses'!$D:$D,ROW())&amp;""))</f>
        <v/>
      </c>
      <c r="G82" s="32">
        <f>IF(B82="","",IF(LEFT(TRIM(INDEX('Form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2" s="32">
        <f>IF(B82="","",MAX(0,IFERROR(INT(--(INDEX('Form Responses'!$F:$F,ROW())&amp;"")),1)))</f>
        <v/>
      </c>
      <c r="I82" s="32">
        <f>IF(B82="","",MAX(0,IFERROR(INT(--(INDEX('Form Responses'!$G:$G,ROW())&amp;"")),0)))</f>
        <v/>
      </c>
      <c r="J82" s="32">
        <f>IF(B82="","",TRIM(INDEX('Form Responses'!$H:$H,ROW())&amp;""))</f>
        <v/>
      </c>
      <c r="K82" s="32">
        <f>IF(B82="","",TRIM(INDEX('Form Responses'!$I:$I,ROW())&amp;""))</f>
        <v/>
      </c>
      <c r="L82" s="32">
        <f>IF(B82="","",TRIM(INDEX('Form Responses'!$J:$J,ROW())&amp;""))</f>
        <v/>
      </c>
      <c r="M82" s="32">
        <f>IF(B82="","",TRIM(INDEX('Form Responses'!$K:$K,ROW())&amp;""))</f>
        <v/>
      </c>
      <c r="N82" s="32">
        <f>IF(B82="","",IF(E82&lt;&gt;"","P"&amp;E82,"N"&amp;B82))</f>
        <v/>
      </c>
      <c r="O82" s="32">
        <f>IF(N82="",0,IF(COUNTIF(N83:N$602,N82)=0,1,0))</f>
        <v/>
      </c>
      <c r="P82" s="32">
        <f>IF(AND(O82=1,E82&lt;&gt;""),E82,"")</f>
        <v/>
      </c>
      <c r="Q82" s="32">
        <f>IF(O82=1,B82,"")</f>
        <v/>
      </c>
      <c r="R82" s="32">
        <f>IF(O82&lt;&gt;1,"",IF(E82&lt;&gt;"",IFERROR(MATCH(E82,Guests!$S$6:$S$505,0)+5,IFERROR(MATCH(B82,Guests!$A$6:$A$505,0)+5,"")),IFERROR(MATCH(B82,Guests!$A$6:$A$505,0)+5,"")))</f>
        <v/>
      </c>
      <c r="S82" s="32">
        <f>IF(R82="","",TRIM(INDEX(Guests!$E$1:$E$505,R82)&amp;""))</f>
        <v/>
      </c>
      <c r="T82" s="32">
        <f>IF(R82="","",IF(S82="",1,COUNTIF(Guests!$E$6:$E$505,S82)))</f>
        <v/>
      </c>
      <c r="U82" s="32">
        <f>IF(R82="","",IF(S82="",1,IF(COUNTIF(S$1:S81,S82)=0,1,0)))</f>
        <v/>
      </c>
      <c r="V82" s="32">
        <f>IF(AND(R82&lt;&gt;"",G82="Attending",U82=1),MAX(0,H82+I82-T82),0)</f>
        <v/>
      </c>
      <c r="W82" s="32">
        <f>IF(AND(O82=1,R82=""),1,0)</f>
        <v/>
      </c>
      <c r="X82" s="32">
        <f>IF(B82="",0,H82+I82)</f>
        <v/>
      </c>
      <c r="Y82" s="32">
        <f>N(Y81)+O82</f>
        <v/>
      </c>
      <c r="Z82" s="32">
        <f>IF(O82=1,Y82,"")</f>
        <v/>
      </c>
      <c r="AA82" s="32">
        <f>IF(AND(W82=1,G82="Not sure yet"),1,0)</f>
        <v/>
      </c>
      <c r="AB82" s="32">
        <f>N(AB81)+AA82</f>
        <v/>
      </c>
      <c r="AC82" s="32">
        <f>IF(AA82=1,AB82,"")</f>
        <v/>
      </c>
      <c r="AD82" s="32">
        <f>IF(D82="","",IF(LEN(D82)=10,"+1"&amp;D82,IF(AND(LEN(D82)=11,LEFT(D82,1)="1"),"+"&amp;D82,IF(LEFT(C82,1)="+","+"&amp;D82,D82))))</f>
        <v/>
      </c>
      <c r="AE82" s="32">
        <f>IF(B82="","",PROPER(IFERROR(LEFT(B82,FIND(" ",B82)-1),B82)))</f>
        <v/>
      </c>
      <c r="AF82" s="32">
        <f>SUBSTITUTE(SUBSTITUTE(SUBSTITUTE(SUBSTITUTE(SUBSTITUTE(SUBSTITUTE(SUBSTITUTE(SUBSTITUTE(SUBSTITUTE(SUBSTITUTE(AE82,"%","%25"),"&amp;","%26"),"#","%23"),"+","%2B"),"=","%3D"),"?","%3F"),CHAR(34),"%22"),CHAR(10),"%0A"),CHAR(13),"")," ","+")</f>
        <v/>
      </c>
      <c r="AG82" s="32">
        <f>IF(OR(AD82="",AE82=""),"",'Start Here'!$B$20&amp;"#p="&amp;SUBSTITUTE(AD82,"+","%2B")&amp;"&amp;n="&amp;AF82&amp;"&amp;m="&amp;SUBSTITUTE('Start Here'!$B$24,"{name}",AF82))</f>
        <v/>
      </c>
      <c r="AH82" s="32">
        <f>N(AH81)+W82</f>
        <v/>
      </c>
      <c r="AI82" s="32">
        <f>IF(W82=1,AH82,"")</f>
        <v/>
      </c>
    </row>
    <row r="83">
      <c r="A83" s="32">
        <f>IF(INDEX('Form Responses'!$A:$A,ROW())="","",INDEX('Form Responses'!$A:$A,ROW()))</f>
        <v/>
      </c>
      <c r="B83" s="32">
        <f>TRIM(INDEX('Form Responses'!$B:$B,ROW())&amp;"")</f>
        <v/>
      </c>
      <c r="C83" s="32">
        <f>IF(B83="","",TRIM(INDEX('Form Responses'!$C:$C,ROW())&amp;""))</f>
        <v/>
      </c>
      <c r="D83" s="32">
        <f>SUBSTITUTE(SUBSTITUTE(SUBSTITUTE(SUBSTITUTE(SUBSTITUTE(SUBSTITUTE(SUBSTITUTE(SUBSTITUTE(C83," ",""),"-",""),"(",""),")",""),".",""),"+",""),"/",""),CHAR(160),"")</f>
        <v/>
      </c>
      <c r="E83" s="32">
        <f>IF(LEN(D83)&gt;=10,RIGHT(D83,10),D83)</f>
        <v/>
      </c>
      <c r="F83" s="32">
        <f>IF(B83="","",TRIM(INDEX('Form Responses'!$D:$D,ROW())&amp;""))</f>
        <v/>
      </c>
      <c r="G83" s="32">
        <f>IF(B83="","",IF(LEFT(TRIM(INDEX('Form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3" s="32">
        <f>IF(B83="","",MAX(0,IFERROR(INT(--(INDEX('Form Responses'!$F:$F,ROW())&amp;"")),1)))</f>
        <v/>
      </c>
      <c r="I83" s="32">
        <f>IF(B83="","",MAX(0,IFERROR(INT(--(INDEX('Form Responses'!$G:$G,ROW())&amp;"")),0)))</f>
        <v/>
      </c>
      <c r="J83" s="32">
        <f>IF(B83="","",TRIM(INDEX('Form Responses'!$H:$H,ROW())&amp;""))</f>
        <v/>
      </c>
      <c r="K83" s="32">
        <f>IF(B83="","",TRIM(INDEX('Form Responses'!$I:$I,ROW())&amp;""))</f>
        <v/>
      </c>
      <c r="L83" s="32">
        <f>IF(B83="","",TRIM(INDEX('Form Responses'!$J:$J,ROW())&amp;""))</f>
        <v/>
      </c>
      <c r="M83" s="32">
        <f>IF(B83="","",TRIM(INDEX('Form Responses'!$K:$K,ROW())&amp;""))</f>
        <v/>
      </c>
      <c r="N83" s="32">
        <f>IF(B83="","",IF(E83&lt;&gt;"","P"&amp;E83,"N"&amp;B83))</f>
        <v/>
      </c>
      <c r="O83" s="32">
        <f>IF(N83="",0,IF(COUNTIF(N84:N$602,N83)=0,1,0))</f>
        <v/>
      </c>
      <c r="P83" s="32">
        <f>IF(AND(O83=1,E83&lt;&gt;""),E83,"")</f>
        <v/>
      </c>
      <c r="Q83" s="32">
        <f>IF(O83=1,B83,"")</f>
        <v/>
      </c>
      <c r="R83" s="32">
        <f>IF(O83&lt;&gt;1,"",IF(E83&lt;&gt;"",IFERROR(MATCH(E83,Guests!$S$6:$S$505,0)+5,IFERROR(MATCH(B83,Guests!$A$6:$A$505,0)+5,"")),IFERROR(MATCH(B83,Guests!$A$6:$A$505,0)+5,"")))</f>
        <v/>
      </c>
      <c r="S83" s="32">
        <f>IF(R83="","",TRIM(INDEX(Guests!$E$1:$E$505,R83)&amp;""))</f>
        <v/>
      </c>
      <c r="T83" s="32">
        <f>IF(R83="","",IF(S83="",1,COUNTIF(Guests!$E$6:$E$505,S83)))</f>
        <v/>
      </c>
      <c r="U83" s="32">
        <f>IF(R83="","",IF(S83="",1,IF(COUNTIF(S$1:S82,S83)=0,1,0)))</f>
        <v/>
      </c>
      <c r="V83" s="32">
        <f>IF(AND(R83&lt;&gt;"",G83="Attending",U83=1),MAX(0,H83+I83-T83),0)</f>
        <v/>
      </c>
      <c r="W83" s="32">
        <f>IF(AND(O83=1,R83=""),1,0)</f>
        <v/>
      </c>
      <c r="X83" s="32">
        <f>IF(B83="",0,H83+I83)</f>
        <v/>
      </c>
      <c r="Y83" s="32">
        <f>N(Y82)+O83</f>
        <v/>
      </c>
      <c r="Z83" s="32">
        <f>IF(O83=1,Y83,"")</f>
        <v/>
      </c>
      <c r="AA83" s="32">
        <f>IF(AND(W83=1,G83="Not sure yet"),1,0)</f>
        <v/>
      </c>
      <c r="AB83" s="32">
        <f>N(AB82)+AA83</f>
        <v/>
      </c>
      <c r="AC83" s="32">
        <f>IF(AA83=1,AB83,"")</f>
        <v/>
      </c>
      <c r="AD83" s="32">
        <f>IF(D83="","",IF(LEN(D83)=10,"+1"&amp;D83,IF(AND(LEN(D83)=11,LEFT(D83,1)="1"),"+"&amp;D83,IF(LEFT(C83,1)="+","+"&amp;D83,D83))))</f>
        <v/>
      </c>
      <c r="AE83" s="32">
        <f>IF(B83="","",PROPER(IFERROR(LEFT(B83,FIND(" ",B83)-1),B83)))</f>
        <v/>
      </c>
      <c r="AF83" s="32">
        <f>SUBSTITUTE(SUBSTITUTE(SUBSTITUTE(SUBSTITUTE(SUBSTITUTE(SUBSTITUTE(SUBSTITUTE(SUBSTITUTE(SUBSTITUTE(SUBSTITUTE(AE83,"%","%25"),"&amp;","%26"),"#","%23"),"+","%2B"),"=","%3D"),"?","%3F"),CHAR(34),"%22"),CHAR(10),"%0A"),CHAR(13),"")," ","+")</f>
        <v/>
      </c>
      <c r="AG83" s="32">
        <f>IF(OR(AD83="",AE83=""),"",'Start Here'!$B$20&amp;"#p="&amp;SUBSTITUTE(AD83,"+","%2B")&amp;"&amp;n="&amp;AF83&amp;"&amp;m="&amp;SUBSTITUTE('Start Here'!$B$24,"{name}",AF83))</f>
        <v/>
      </c>
      <c r="AH83" s="32">
        <f>N(AH82)+W83</f>
        <v/>
      </c>
      <c r="AI83" s="32">
        <f>IF(W83=1,AH83,"")</f>
        <v/>
      </c>
    </row>
    <row r="84">
      <c r="A84" s="32">
        <f>IF(INDEX('Form Responses'!$A:$A,ROW())="","",INDEX('Form Responses'!$A:$A,ROW()))</f>
        <v/>
      </c>
      <c r="B84" s="32">
        <f>TRIM(INDEX('Form Responses'!$B:$B,ROW())&amp;"")</f>
        <v/>
      </c>
      <c r="C84" s="32">
        <f>IF(B84="","",TRIM(INDEX('Form Responses'!$C:$C,ROW())&amp;""))</f>
        <v/>
      </c>
      <c r="D84" s="32">
        <f>SUBSTITUTE(SUBSTITUTE(SUBSTITUTE(SUBSTITUTE(SUBSTITUTE(SUBSTITUTE(SUBSTITUTE(SUBSTITUTE(C84," ",""),"-",""),"(",""),")",""),".",""),"+",""),"/",""),CHAR(160),"")</f>
        <v/>
      </c>
      <c r="E84" s="32">
        <f>IF(LEN(D84)&gt;=10,RIGHT(D84,10),D84)</f>
        <v/>
      </c>
      <c r="F84" s="32">
        <f>IF(B84="","",TRIM(INDEX('Form Responses'!$D:$D,ROW())&amp;""))</f>
        <v/>
      </c>
      <c r="G84" s="32">
        <f>IF(B84="","",IF(LEFT(TRIM(INDEX('Form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4" s="32">
        <f>IF(B84="","",MAX(0,IFERROR(INT(--(INDEX('Form Responses'!$F:$F,ROW())&amp;"")),1)))</f>
        <v/>
      </c>
      <c r="I84" s="32">
        <f>IF(B84="","",MAX(0,IFERROR(INT(--(INDEX('Form Responses'!$G:$G,ROW())&amp;"")),0)))</f>
        <v/>
      </c>
      <c r="J84" s="32">
        <f>IF(B84="","",TRIM(INDEX('Form Responses'!$H:$H,ROW())&amp;""))</f>
        <v/>
      </c>
      <c r="K84" s="32">
        <f>IF(B84="","",TRIM(INDEX('Form Responses'!$I:$I,ROW())&amp;""))</f>
        <v/>
      </c>
      <c r="L84" s="32">
        <f>IF(B84="","",TRIM(INDEX('Form Responses'!$J:$J,ROW())&amp;""))</f>
        <v/>
      </c>
      <c r="M84" s="32">
        <f>IF(B84="","",TRIM(INDEX('Form Responses'!$K:$K,ROW())&amp;""))</f>
        <v/>
      </c>
      <c r="N84" s="32">
        <f>IF(B84="","",IF(E84&lt;&gt;"","P"&amp;E84,"N"&amp;B84))</f>
        <v/>
      </c>
      <c r="O84" s="32">
        <f>IF(N84="",0,IF(COUNTIF(N85:N$602,N84)=0,1,0))</f>
        <v/>
      </c>
      <c r="P84" s="32">
        <f>IF(AND(O84=1,E84&lt;&gt;""),E84,"")</f>
        <v/>
      </c>
      <c r="Q84" s="32">
        <f>IF(O84=1,B84,"")</f>
        <v/>
      </c>
      <c r="R84" s="32">
        <f>IF(O84&lt;&gt;1,"",IF(E84&lt;&gt;"",IFERROR(MATCH(E84,Guests!$S$6:$S$505,0)+5,IFERROR(MATCH(B84,Guests!$A$6:$A$505,0)+5,"")),IFERROR(MATCH(B84,Guests!$A$6:$A$505,0)+5,"")))</f>
        <v/>
      </c>
      <c r="S84" s="32">
        <f>IF(R84="","",TRIM(INDEX(Guests!$E$1:$E$505,R84)&amp;""))</f>
        <v/>
      </c>
      <c r="T84" s="32">
        <f>IF(R84="","",IF(S84="",1,COUNTIF(Guests!$E$6:$E$505,S84)))</f>
        <v/>
      </c>
      <c r="U84" s="32">
        <f>IF(R84="","",IF(S84="",1,IF(COUNTIF(S$1:S83,S84)=0,1,0)))</f>
        <v/>
      </c>
      <c r="V84" s="32">
        <f>IF(AND(R84&lt;&gt;"",G84="Attending",U84=1),MAX(0,H84+I84-T84),0)</f>
        <v/>
      </c>
      <c r="W84" s="32">
        <f>IF(AND(O84=1,R84=""),1,0)</f>
        <v/>
      </c>
      <c r="X84" s="32">
        <f>IF(B84="",0,H84+I84)</f>
        <v/>
      </c>
      <c r="Y84" s="32">
        <f>N(Y83)+O84</f>
        <v/>
      </c>
      <c r="Z84" s="32">
        <f>IF(O84=1,Y84,"")</f>
        <v/>
      </c>
      <c r="AA84" s="32">
        <f>IF(AND(W84=1,G84="Not sure yet"),1,0)</f>
        <v/>
      </c>
      <c r="AB84" s="32">
        <f>N(AB83)+AA84</f>
        <v/>
      </c>
      <c r="AC84" s="32">
        <f>IF(AA84=1,AB84,"")</f>
        <v/>
      </c>
      <c r="AD84" s="32">
        <f>IF(D84="","",IF(LEN(D84)=10,"+1"&amp;D84,IF(AND(LEN(D84)=11,LEFT(D84,1)="1"),"+"&amp;D84,IF(LEFT(C84,1)="+","+"&amp;D84,D84))))</f>
        <v/>
      </c>
      <c r="AE84" s="32">
        <f>IF(B84="","",PROPER(IFERROR(LEFT(B84,FIND(" ",B84)-1),B84)))</f>
        <v/>
      </c>
      <c r="AF84" s="32">
        <f>SUBSTITUTE(SUBSTITUTE(SUBSTITUTE(SUBSTITUTE(SUBSTITUTE(SUBSTITUTE(SUBSTITUTE(SUBSTITUTE(SUBSTITUTE(SUBSTITUTE(AE84,"%","%25"),"&amp;","%26"),"#","%23"),"+","%2B"),"=","%3D"),"?","%3F"),CHAR(34),"%22"),CHAR(10),"%0A"),CHAR(13),"")," ","+")</f>
        <v/>
      </c>
      <c r="AG84" s="32">
        <f>IF(OR(AD84="",AE84=""),"",'Start Here'!$B$20&amp;"#p="&amp;SUBSTITUTE(AD84,"+","%2B")&amp;"&amp;n="&amp;AF84&amp;"&amp;m="&amp;SUBSTITUTE('Start Here'!$B$24,"{name}",AF84))</f>
        <v/>
      </c>
      <c r="AH84" s="32">
        <f>N(AH83)+W84</f>
        <v/>
      </c>
      <c r="AI84" s="32">
        <f>IF(W84=1,AH84,"")</f>
        <v/>
      </c>
    </row>
    <row r="85">
      <c r="A85" s="32">
        <f>IF(INDEX('Form Responses'!$A:$A,ROW())="","",INDEX('Form Responses'!$A:$A,ROW()))</f>
        <v/>
      </c>
      <c r="B85" s="32">
        <f>TRIM(INDEX('Form Responses'!$B:$B,ROW())&amp;"")</f>
        <v/>
      </c>
      <c r="C85" s="32">
        <f>IF(B85="","",TRIM(INDEX('Form Responses'!$C:$C,ROW())&amp;""))</f>
        <v/>
      </c>
      <c r="D85" s="32">
        <f>SUBSTITUTE(SUBSTITUTE(SUBSTITUTE(SUBSTITUTE(SUBSTITUTE(SUBSTITUTE(SUBSTITUTE(SUBSTITUTE(C85," ",""),"-",""),"(",""),")",""),".",""),"+",""),"/",""),CHAR(160),"")</f>
        <v/>
      </c>
      <c r="E85" s="32">
        <f>IF(LEN(D85)&gt;=10,RIGHT(D85,10),D85)</f>
        <v/>
      </c>
      <c r="F85" s="32">
        <f>IF(B85="","",TRIM(INDEX('Form Responses'!$D:$D,ROW())&amp;""))</f>
        <v/>
      </c>
      <c r="G85" s="32">
        <f>IF(B85="","",IF(LEFT(TRIM(INDEX('Form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5" s="32">
        <f>IF(B85="","",MAX(0,IFERROR(INT(--(INDEX('Form Responses'!$F:$F,ROW())&amp;"")),1)))</f>
        <v/>
      </c>
      <c r="I85" s="32">
        <f>IF(B85="","",MAX(0,IFERROR(INT(--(INDEX('Form Responses'!$G:$G,ROW())&amp;"")),0)))</f>
        <v/>
      </c>
      <c r="J85" s="32">
        <f>IF(B85="","",TRIM(INDEX('Form Responses'!$H:$H,ROW())&amp;""))</f>
        <v/>
      </c>
      <c r="K85" s="32">
        <f>IF(B85="","",TRIM(INDEX('Form Responses'!$I:$I,ROW())&amp;""))</f>
        <v/>
      </c>
      <c r="L85" s="32">
        <f>IF(B85="","",TRIM(INDEX('Form Responses'!$J:$J,ROW())&amp;""))</f>
        <v/>
      </c>
      <c r="M85" s="32">
        <f>IF(B85="","",TRIM(INDEX('Form Responses'!$K:$K,ROW())&amp;""))</f>
        <v/>
      </c>
      <c r="N85" s="32">
        <f>IF(B85="","",IF(E85&lt;&gt;"","P"&amp;E85,"N"&amp;B85))</f>
        <v/>
      </c>
      <c r="O85" s="32">
        <f>IF(N85="",0,IF(COUNTIF(N86:N$602,N85)=0,1,0))</f>
        <v/>
      </c>
      <c r="P85" s="32">
        <f>IF(AND(O85=1,E85&lt;&gt;""),E85,"")</f>
        <v/>
      </c>
      <c r="Q85" s="32">
        <f>IF(O85=1,B85,"")</f>
        <v/>
      </c>
      <c r="R85" s="32">
        <f>IF(O85&lt;&gt;1,"",IF(E85&lt;&gt;"",IFERROR(MATCH(E85,Guests!$S$6:$S$505,0)+5,IFERROR(MATCH(B85,Guests!$A$6:$A$505,0)+5,"")),IFERROR(MATCH(B85,Guests!$A$6:$A$505,0)+5,"")))</f>
        <v/>
      </c>
      <c r="S85" s="32">
        <f>IF(R85="","",TRIM(INDEX(Guests!$E$1:$E$505,R85)&amp;""))</f>
        <v/>
      </c>
      <c r="T85" s="32">
        <f>IF(R85="","",IF(S85="",1,COUNTIF(Guests!$E$6:$E$505,S85)))</f>
        <v/>
      </c>
      <c r="U85" s="32">
        <f>IF(R85="","",IF(S85="",1,IF(COUNTIF(S$1:S84,S85)=0,1,0)))</f>
        <v/>
      </c>
      <c r="V85" s="32">
        <f>IF(AND(R85&lt;&gt;"",G85="Attending",U85=1),MAX(0,H85+I85-T85),0)</f>
        <v/>
      </c>
      <c r="W85" s="32">
        <f>IF(AND(O85=1,R85=""),1,0)</f>
        <v/>
      </c>
      <c r="X85" s="32">
        <f>IF(B85="",0,H85+I85)</f>
        <v/>
      </c>
      <c r="Y85" s="32">
        <f>N(Y84)+O85</f>
        <v/>
      </c>
      <c r="Z85" s="32">
        <f>IF(O85=1,Y85,"")</f>
        <v/>
      </c>
      <c r="AA85" s="32">
        <f>IF(AND(W85=1,G85="Not sure yet"),1,0)</f>
        <v/>
      </c>
      <c r="AB85" s="32">
        <f>N(AB84)+AA85</f>
        <v/>
      </c>
      <c r="AC85" s="32">
        <f>IF(AA85=1,AB85,"")</f>
        <v/>
      </c>
      <c r="AD85" s="32">
        <f>IF(D85="","",IF(LEN(D85)=10,"+1"&amp;D85,IF(AND(LEN(D85)=11,LEFT(D85,1)="1"),"+"&amp;D85,IF(LEFT(C85,1)="+","+"&amp;D85,D85))))</f>
        <v/>
      </c>
      <c r="AE85" s="32">
        <f>IF(B85="","",PROPER(IFERROR(LEFT(B85,FIND(" ",B85)-1),B85)))</f>
        <v/>
      </c>
      <c r="AF85" s="32">
        <f>SUBSTITUTE(SUBSTITUTE(SUBSTITUTE(SUBSTITUTE(SUBSTITUTE(SUBSTITUTE(SUBSTITUTE(SUBSTITUTE(SUBSTITUTE(SUBSTITUTE(AE85,"%","%25"),"&amp;","%26"),"#","%23"),"+","%2B"),"=","%3D"),"?","%3F"),CHAR(34),"%22"),CHAR(10),"%0A"),CHAR(13),"")," ","+")</f>
        <v/>
      </c>
      <c r="AG85" s="32">
        <f>IF(OR(AD85="",AE85=""),"",'Start Here'!$B$20&amp;"#p="&amp;SUBSTITUTE(AD85,"+","%2B")&amp;"&amp;n="&amp;AF85&amp;"&amp;m="&amp;SUBSTITUTE('Start Here'!$B$24,"{name}",AF85))</f>
        <v/>
      </c>
      <c r="AH85" s="32">
        <f>N(AH84)+W85</f>
        <v/>
      </c>
      <c r="AI85" s="32">
        <f>IF(W85=1,AH85,"")</f>
        <v/>
      </c>
    </row>
    <row r="86">
      <c r="A86" s="32">
        <f>IF(INDEX('Form Responses'!$A:$A,ROW())="","",INDEX('Form Responses'!$A:$A,ROW()))</f>
        <v/>
      </c>
      <c r="B86" s="32">
        <f>TRIM(INDEX('Form Responses'!$B:$B,ROW())&amp;"")</f>
        <v/>
      </c>
      <c r="C86" s="32">
        <f>IF(B86="","",TRIM(INDEX('Form Responses'!$C:$C,ROW())&amp;""))</f>
        <v/>
      </c>
      <c r="D86" s="32">
        <f>SUBSTITUTE(SUBSTITUTE(SUBSTITUTE(SUBSTITUTE(SUBSTITUTE(SUBSTITUTE(SUBSTITUTE(SUBSTITUTE(C86," ",""),"-",""),"(",""),")",""),".",""),"+",""),"/",""),CHAR(160),"")</f>
        <v/>
      </c>
      <c r="E86" s="32">
        <f>IF(LEN(D86)&gt;=10,RIGHT(D86,10),D86)</f>
        <v/>
      </c>
      <c r="F86" s="32">
        <f>IF(B86="","",TRIM(INDEX('Form Responses'!$D:$D,ROW())&amp;""))</f>
        <v/>
      </c>
      <c r="G86" s="32">
        <f>IF(B86="","",IF(LEFT(TRIM(INDEX('Form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6" s="32">
        <f>IF(B86="","",MAX(0,IFERROR(INT(--(INDEX('Form Responses'!$F:$F,ROW())&amp;"")),1)))</f>
        <v/>
      </c>
      <c r="I86" s="32">
        <f>IF(B86="","",MAX(0,IFERROR(INT(--(INDEX('Form Responses'!$G:$G,ROW())&amp;"")),0)))</f>
        <v/>
      </c>
      <c r="J86" s="32">
        <f>IF(B86="","",TRIM(INDEX('Form Responses'!$H:$H,ROW())&amp;""))</f>
        <v/>
      </c>
      <c r="K86" s="32">
        <f>IF(B86="","",TRIM(INDEX('Form Responses'!$I:$I,ROW())&amp;""))</f>
        <v/>
      </c>
      <c r="L86" s="32">
        <f>IF(B86="","",TRIM(INDEX('Form Responses'!$J:$J,ROW())&amp;""))</f>
        <v/>
      </c>
      <c r="M86" s="32">
        <f>IF(B86="","",TRIM(INDEX('Form Responses'!$K:$K,ROW())&amp;""))</f>
        <v/>
      </c>
      <c r="N86" s="32">
        <f>IF(B86="","",IF(E86&lt;&gt;"","P"&amp;E86,"N"&amp;B86))</f>
        <v/>
      </c>
      <c r="O86" s="32">
        <f>IF(N86="",0,IF(COUNTIF(N87:N$602,N86)=0,1,0))</f>
        <v/>
      </c>
      <c r="P86" s="32">
        <f>IF(AND(O86=1,E86&lt;&gt;""),E86,"")</f>
        <v/>
      </c>
      <c r="Q86" s="32">
        <f>IF(O86=1,B86,"")</f>
        <v/>
      </c>
      <c r="R86" s="32">
        <f>IF(O86&lt;&gt;1,"",IF(E86&lt;&gt;"",IFERROR(MATCH(E86,Guests!$S$6:$S$505,0)+5,IFERROR(MATCH(B86,Guests!$A$6:$A$505,0)+5,"")),IFERROR(MATCH(B86,Guests!$A$6:$A$505,0)+5,"")))</f>
        <v/>
      </c>
      <c r="S86" s="32">
        <f>IF(R86="","",TRIM(INDEX(Guests!$E$1:$E$505,R86)&amp;""))</f>
        <v/>
      </c>
      <c r="T86" s="32">
        <f>IF(R86="","",IF(S86="",1,COUNTIF(Guests!$E$6:$E$505,S86)))</f>
        <v/>
      </c>
      <c r="U86" s="32">
        <f>IF(R86="","",IF(S86="",1,IF(COUNTIF(S$1:S85,S86)=0,1,0)))</f>
        <v/>
      </c>
      <c r="V86" s="32">
        <f>IF(AND(R86&lt;&gt;"",G86="Attending",U86=1),MAX(0,H86+I86-T86),0)</f>
        <v/>
      </c>
      <c r="W86" s="32">
        <f>IF(AND(O86=1,R86=""),1,0)</f>
        <v/>
      </c>
      <c r="X86" s="32">
        <f>IF(B86="",0,H86+I86)</f>
        <v/>
      </c>
      <c r="Y86" s="32">
        <f>N(Y85)+O86</f>
        <v/>
      </c>
      <c r="Z86" s="32">
        <f>IF(O86=1,Y86,"")</f>
        <v/>
      </c>
      <c r="AA86" s="32">
        <f>IF(AND(W86=1,G86="Not sure yet"),1,0)</f>
        <v/>
      </c>
      <c r="AB86" s="32">
        <f>N(AB85)+AA86</f>
        <v/>
      </c>
      <c r="AC86" s="32">
        <f>IF(AA86=1,AB86,"")</f>
        <v/>
      </c>
      <c r="AD86" s="32">
        <f>IF(D86="","",IF(LEN(D86)=10,"+1"&amp;D86,IF(AND(LEN(D86)=11,LEFT(D86,1)="1"),"+"&amp;D86,IF(LEFT(C86,1)="+","+"&amp;D86,D86))))</f>
        <v/>
      </c>
      <c r="AE86" s="32">
        <f>IF(B86="","",PROPER(IFERROR(LEFT(B86,FIND(" ",B86)-1),B86)))</f>
        <v/>
      </c>
      <c r="AF86" s="32">
        <f>SUBSTITUTE(SUBSTITUTE(SUBSTITUTE(SUBSTITUTE(SUBSTITUTE(SUBSTITUTE(SUBSTITUTE(SUBSTITUTE(SUBSTITUTE(SUBSTITUTE(AE86,"%","%25"),"&amp;","%26"),"#","%23"),"+","%2B"),"=","%3D"),"?","%3F"),CHAR(34),"%22"),CHAR(10),"%0A"),CHAR(13),"")," ","+")</f>
        <v/>
      </c>
      <c r="AG86" s="32">
        <f>IF(OR(AD86="",AE86=""),"",'Start Here'!$B$20&amp;"#p="&amp;SUBSTITUTE(AD86,"+","%2B")&amp;"&amp;n="&amp;AF86&amp;"&amp;m="&amp;SUBSTITUTE('Start Here'!$B$24,"{name}",AF86))</f>
        <v/>
      </c>
      <c r="AH86" s="32">
        <f>N(AH85)+W86</f>
        <v/>
      </c>
      <c r="AI86" s="32">
        <f>IF(W86=1,AH86,"")</f>
        <v/>
      </c>
    </row>
    <row r="87">
      <c r="A87" s="32">
        <f>IF(INDEX('Form Responses'!$A:$A,ROW())="","",INDEX('Form Responses'!$A:$A,ROW()))</f>
        <v/>
      </c>
      <c r="B87" s="32">
        <f>TRIM(INDEX('Form Responses'!$B:$B,ROW())&amp;"")</f>
        <v/>
      </c>
      <c r="C87" s="32">
        <f>IF(B87="","",TRIM(INDEX('Form Responses'!$C:$C,ROW())&amp;""))</f>
        <v/>
      </c>
      <c r="D87" s="32">
        <f>SUBSTITUTE(SUBSTITUTE(SUBSTITUTE(SUBSTITUTE(SUBSTITUTE(SUBSTITUTE(SUBSTITUTE(SUBSTITUTE(C87," ",""),"-",""),"(",""),")",""),".",""),"+",""),"/",""),CHAR(160),"")</f>
        <v/>
      </c>
      <c r="E87" s="32">
        <f>IF(LEN(D87)&gt;=10,RIGHT(D87,10),D87)</f>
        <v/>
      </c>
      <c r="F87" s="32">
        <f>IF(B87="","",TRIM(INDEX('Form Responses'!$D:$D,ROW())&amp;""))</f>
        <v/>
      </c>
      <c r="G87" s="32">
        <f>IF(B87="","",IF(LEFT(TRIM(INDEX('Form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7" s="32">
        <f>IF(B87="","",MAX(0,IFERROR(INT(--(INDEX('Form Responses'!$F:$F,ROW())&amp;"")),1)))</f>
        <v/>
      </c>
      <c r="I87" s="32">
        <f>IF(B87="","",MAX(0,IFERROR(INT(--(INDEX('Form Responses'!$G:$G,ROW())&amp;"")),0)))</f>
        <v/>
      </c>
      <c r="J87" s="32">
        <f>IF(B87="","",TRIM(INDEX('Form Responses'!$H:$H,ROW())&amp;""))</f>
        <v/>
      </c>
      <c r="K87" s="32">
        <f>IF(B87="","",TRIM(INDEX('Form Responses'!$I:$I,ROW())&amp;""))</f>
        <v/>
      </c>
      <c r="L87" s="32">
        <f>IF(B87="","",TRIM(INDEX('Form Responses'!$J:$J,ROW())&amp;""))</f>
        <v/>
      </c>
      <c r="M87" s="32">
        <f>IF(B87="","",TRIM(INDEX('Form Responses'!$K:$K,ROW())&amp;""))</f>
        <v/>
      </c>
      <c r="N87" s="32">
        <f>IF(B87="","",IF(E87&lt;&gt;"","P"&amp;E87,"N"&amp;B87))</f>
        <v/>
      </c>
      <c r="O87" s="32">
        <f>IF(N87="",0,IF(COUNTIF(N88:N$602,N87)=0,1,0))</f>
        <v/>
      </c>
      <c r="P87" s="32">
        <f>IF(AND(O87=1,E87&lt;&gt;""),E87,"")</f>
        <v/>
      </c>
      <c r="Q87" s="32">
        <f>IF(O87=1,B87,"")</f>
        <v/>
      </c>
      <c r="R87" s="32">
        <f>IF(O87&lt;&gt;1,"",IF(E87&lt;&gt;"",IFERROR(MATCH(E87,Guests!$S$6:$S$505,0)+5,IFERROR(MATCH(B87,Guests!$A$6:$A$505,0)+5,"")),IFERROR(MATCH(B87,Guests!$A$6:$A$505,0)+5,"")))</f>
        <v/>
      </c>
      <c r="S87" s="32">
        <f>IF(R87="","",TRIM(INDEX(Guests!$E$1:$E$505,R87)&amp;""))</f>
        <v/>
      </c>
      <c r="T87" s="32">
        <f>IF(R87="","",IF(S87="",1,COUNTIF(Guests!$E$6:$E$505,S87)))</f>
        <v/>
      </c>
      <c r="U87" s="32">
        <f>IF(R87="","",IF(S87="",1,IF(COUNTIF(S$1:S86,S87)=0,1,0)))</f>
        <v/>
      </c>
      <c r="V87" s="32">
        <f>IF(AND(R87&lt;&gt;"",G87="Attending",U87=1),MAX(0,H87+I87-T87),0)</f>
        <v/>
      </c>
      <c r="W87" s="32">
        <f>IF(AND(O87=1,R87=""),1,0)</f>
        <v/>
      </c>
      <c r="X87" s="32">
        <f>IF(B87="",0,H87+I87)</f>
        <v/>
      </c>
      <c r="Y87" s="32">
        <f>N(Y86)+O87</f>
        <v/>
      </c>
      <c r="Z87" s="32">
        <f>IF(O87=1,Y87,"")</f>
        <v/>
      </c>
      <c r="AA87" s="32">
        <f>IF(AND(W87=1,G87="Not sure yet"),1,0)</f>
        <v/>
      </c>
      <c r="AB87" s="32">
        <f>N(AB86)+AA87</f>
        <v/>
      </c>
      <c r="AC87" s="32">
        <f>IF(AA87=1,AB87,"")</f>
        <v/>
      </c>
      <c r="AD87" s="32">
        <f>IF(D87="","",IF(LEN(D87)=10,"+1"&amp;D87,IF(AND(LEN(D87)=11,LEFT(D87,1)="1"),"+"&amp;D87,IF(LEFT(C87,1)="+","+"&amp;D87,D87))))</f>
        <v/>
      </c>
      <c r="AE87" s="32">
        <f>IF(B87="","",PROPER(IFERROR(LEFT(B87,FIND(" ",B87)-1),B87)))</f>
        <v/>
      </c>
      <c r="AF87" s="32">
        <f>SUBSTITUTE(SUBSTITUTE(SUBSTITUTE(SUBSTITUTE(SUBSTITUTE(SUBSTITUTE(SUBSTITUTE(SUBSTITUTE(SUBSTITUTE(SUBSTITUTE(AE87,"%","%25"),"&amp;","%26"),"#","%23"),"+","%2B"),"=","%3D"),"?","%3F"),CHAR(34),"%22"),CHAR(10),"%0A"),CHAR(13),"")," ","+")</f>
        <v/>
      </c>
      <c r="AG87" s="32">
        <f>IF(OR(AD87="",AE87=""),"",'Start Here'!$B$20&amp;"#p="&amp;SUBSTITUTE(AD87,"+","%2B")&amp;"&amp;n="&amp;AF87&amp;"&amp;m="&amp;SUBSTITUTE('Start Here'!$B$24,"{name}",AF87))</f>
        <v/>
      </c>
      <c r="AH87" s="32">
        <f>N(AH86)+W87</f>
        <v/>
      </c>
      <c r="AI87" s="32">
        <f>IF(W87=1,AH87,"")</f>
        <v/>
      </c>
    </row>
    <row r="88">
      <c r="A88" s="32">
        <f>IF(INDEX('Form Responses'!$A:$A,ROW())="","",INDEX('Form Responses'!$A:$A,ROW()))</f>
        <v/>
      </c>
      <c r="B88" s="32">
        <f>TRIM(INDEX('Form Responses'!$B:$B,ROW())&amp;"")</f>
        <v/>
      </c>
      <c r="C88" s="32">
        <f>IF(B88="","",TRIM(INDEX('Form Responses'!$C:$C,ROW())&amp;""))</f>
        <v/>
      </c>
      <c r="D88" s="32">
        <f>SUBSTITUTE(SUBSTITUTE(SUBSTITUTE(SUBSTITUTE(SUBSTITUTE(SUBSTITUTE(SUBSTITUTE(SUBSTITUTE(C88," ",""),"-",""),"(",""),")",""),".",""),"+",""),"/",""),CHAR(160),"")</f>
        <v/>
      </c>
      <c r="E88" s="32">
        <f>IF(LEN(D88)&gt;=10,RIGHT(D88,10),D88)</f>
        <v/>
      </c>
      <c r="F88" s="32">
        <f>IF(B88="","",TRIM(INDEX('Form Responses'!$D:$D,ROW())&amp;""))</f>
        <v/>
      </c>
      <c r="G88" s="32">
        <f>IF(B88="","",IF(LEFT(TRIM(INDEX('Form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8" s="32">
        <f>IF(B88="","",MAX(0,IFERROR(INT(--(INDEX('Form Responses'!$F:$F,ROW())&amp;"")),1)))</f>
        <v/>
      </c>
      <c r="I88" s="32">
        <f>IF(B88="","",MAX(0,IFERROR(INT(--(INDEX('Form Responses'!$G:$G,ROW())&amp;"")),0)))</f>
        <v/>
      </c>
      <c r="J88" s="32">
        <f>IF(B88="","",TRIM(INDEX('Form Responses'!$H:$H,ROW())&amp;""))</f>
        <v/>
      </c>
      <c r="K88" s="32">
        <f>IF(B88="","",TRIM(INDEX('Form Responses'!$I:$I,ROW())&amp;""))</f>
        <v/>
      </c>
      <c r="L88" s="32">
        <f>IF(B88="","",TRIM(INDEX('Form Responses'!$J:$J,ROW())&amp;""))</f>
        <v/>
      </c>
      <c r="M88" s="32">
        <f>IF(B88="","",TRIM(INDEX('Form Responses'!$K:$K,ROW())&amp;""))</f>
        <v/>
      </c>
      <c r="N88" s="32">
        <f>IF(B88="","",IF(E88&lt;&gt;"","P"&amp;E88,"N"&amp;B88))</f>
        <v/>
      </c>
      <c r="O88" s="32">
        <f>IF(N88="",0,IF(COUNTIF(N89:N$602,N88)=0,1,0))</f>
        <v/>
      </c>
      <c r="P88" s="32">
        <f>IF(AND(O88=1,E88&lt;&gt;""),E88,"")</f>
        <v/>
      </c>
      <c r="Q88" s="32">
        <f>IF(O88=1,B88,"")</f>
        <v/>
      </c>
      <c r="R88" s="32">
        <f>IF(O88&lt;&gt;1,"",IF(E88&lt;&gt;"",IFERROR(MATCH(E88,Guests!$S$6:$S$505,0)+5,IFERROR(MATCH(B88,Guests!$A$6:$A$505,0)+5,"")),IFERROR(MATCH(B88,Guests!$A$6:$A$505,0)+5,"")))</f>
        <v/>
      </c>
      <c r="S88" s="32">
        <f>IF(R88="","",TRIM(INDEX(Guests!$E$1:$E$505,R88)&amp;""))</f>
        <v/>
      </c>
      <c r="T88" s="32">
        <f>IF(R88="","",IF(S88="",1,COUNTIF(Guests!$E$6:$E$505,S88)))</f>
        <v/>
      </c>
      <c r="U88" s="32">
        <f>IF(R88="","",IF(S88="",1,IF(COUNTIF(S$1:S87,S88)=0,1,0)))</f>
        <v/>
      </c>
      <c r="V88" s="32">
        <f>IF(AND(R88&lt;&gt;"",G88="Attending",U88=1),MAX(0,H88+I88-T88),0)</f>
        <v/>
      </c>
      <c r="W88" s="32">
        <f>IF(AND(O88=1,R88=""),1,0)</f>
        <v/>
      </c>
      <c r="X88" s="32">
        <f>IF(B88="",0,H88+I88)</f>
        <v/>
      </c>
      <c r="Y88" s="32">
        <f>N(Y87)+O88</f>
        <v/>
      </c>
      <c r="Z88" s="32">
        <f>IF(O88=1,Y88,"")</f>
        <v/>
      </c>
      <c r="AA88" s="32">
        <f>IF(AND(W88=1,G88="Not sure yet"),1,0)</f>
        <v/>
      </c>
      <c r="AB88" s="32">
        <f>N(AB87)+AA88</f>
        <v/>
      </c>
      <c r="AC88" s="32">
        <f>IF(AA88=1,AB88,"")</f>
        <v/>
      </c>
      <c r="AD88" s="32">
        <f>IF(D88="","",IF(LEN(D88)=10,"+1"&amp;D88,IF(AND(LEN(D88)=11,LEFT(D88,1)="1"),"+"&amp;D88,IF(LEFT(C88,1)="+","+"&amp;D88,D88))))</f>
        <v/>
      </c>
      <c r="AE88" s="32">
        <f>IF(B88="","",PROPER(IFERROR(LEFT(B88,FIND(" ",B88)-1),B88)))</f>
        <v/>
      </c>
      <c r="AF88" s="32">
        <f>SUBSTITUTE(SUBSTITUTE(SUBSTITUTE(SUBSTITUTE(SUBSTITUTE(SUBSTITUTE(SUBSTITUTE(SUBSTITUTE(SUBSTITUTE(SUBSTITUTE(AE88,"%","%25"),"&amp;","%26"),"#","%23"),"+","%2B"),"=","%3D"),"?","%3F"),CHAR(34),"%22"),CHAR(10),"%0A"),CHAR(13),"")," ","+")</f>
        <v/>
      </c>
      <c r="AG88" s="32">
        <f>IF(OR(AD88="",AE88=""),"",'Start Here'!$B$20&amp;"#p="&amp;SUBSTITUTE(AD88,"+","%2B")&amp;"&amp;n="&amp;AF88&amp;"&amp;m="&amp;SUBSTITUTE('Start Here'!$B$24,"{name}",AF88))</f>
        <v/>
      </c>
      <c r="AH88" s="32">
        <f>N(AH87)+W88</f>
        <v/>
      </c>
      <c r="AI88" s="32">
        <f>IF(W88=1,AH88,"")</f>
        <v/>
      </c>
    </row>
    <row r="89">
      <c r="A89" s="32">
        <f>IF(INDEX('Form Responses'!$A:$A,ROW())="","",INDEX('Form Responses'!$A:$A,ROW()))</f>
        <v/>
      </c>
      <c r="B89" s="32">
        <f>TRIM(INDEX('Form Responses'!$B:$B,ROW())&amp;"")</f>
        <v/>
      </c>
      <c r="C89" s="32">
        <f>IF(B89="","",TRIM(INDEX('Form Responses'!$C:$C,ROW())&amp;""))</f>
        <v/>
      </c>
      <c r="D89" s="32">
        <f>SUBSTITUTE(SUBSTITUTE(SUBSTITUTE(SUBSTITUTE(SUBSTITUTE(SUBSTITUTE(SUBSTITUTE(SUBSTITUTE(C89," ",""),"-",""),"(",""),")",""),".",""),"+",""),"/",""),CHAR(160),"")</f>
        <v/>
      </c>
      <c r="E89" s="32">
        <f>IF(LEN(D89)&gt;=10,RIGHT(D89,10),D89)</f>
        <v/>
      </c>
      <c r="F89" s="32">
        <f>IF(B89="","",TRIM(INDEX('Form Responses'!$D:$D,ROW())&amp;""))</f>
        <v/>
      </c>
      <c r="G89" s="32">
        <f>IF(B89="","",IF(LEFT(TRIM(INDEX('Form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89" s="32">
        <f>IF(B89="","",MAX(0,IFERROR(INT(--(INDEX('Form Responses'!$F:$F,ROW())&amp;"")),1)))</f>
        <v/>
      </c>
      <c r="I89" s="32">
        <f>IF(B89="","",MAX(0,IFERROR(INT(--(INDEX('Form Responses'!$G:$G,ROW())&amp;"")),0)))</f>
        <v/>
      </c>
      <c r="J89" s="32">
        <f>IF(B89="","",TRIM(INDEX('Form Responses'!$H:$H,ROW())&amp;""))</f>
        <v/>
      </c>
      <c r="K89" s="32">
        <f>IF(B89="","",TRIM(INDEX('Form Responses'!$I:$I,ROW())&amp;""))</f>
        <v/>
      </c>
      <c r="L89" s="32">
        <f>IF(B89="","",TRIM(INDEX('Form Responses'!$J:$J,ROW())&amp;""))</f>
        <v/>
      </c>
      <c r="M89" s="32">
        <f>IF(B89="","",TRIM(INDEX('Form Responses'!$K:$K,ROW())&amp;""))</f>
        <v/>
      </c>
      <c r="N89" s="32">
        <f>IF(B89="","",IF(E89&lt;&gt;"","P"&amp;E89,"N"&amp;B89))</f>
        <v/>
      </c>
      <c r="O89" s="32">
        <f>IF(N89="",0,IF(COUNTIF(N90:N$602,N89)=0,1,0))</f>
        <v/>
      </c>
      <c r="P89" s="32">
        <f>IF(AND(O89=1,E89&lt;&gt;""),E89,"")</f>
        <v/>
      </c>
      <c r="Q89" s="32">
        <f>IF(O89=1,B89,"")</f>
        <v/>
      </c>
      <c r="R89" s="32">
        <f>IF(O89&lt;&gt;1,"",IF(E89&lt;&gt;"",IFERROR(MATCH(E89,Guests!$S$6:$S$505,0)+5,IFERROR(MATCH(B89,Guests!$A$6:$A$505,0)+5,"")),IFERROR(MATCH(B89,Guests!$A$6:$A$505,0)+5,"")))</f>
        <v/>
      </c>
      <c r="S89" s="32">
        <f>IF(R89="","",TRIM(INDEX(Guests!$E$1:$E$505,R89)&amp;""))</f>
        <v/>
      </c>
      <c r="T89" s="32">
        <f>IF(R89="","",IF(S89="",1,COUNTIF(Guests!$E$6:$E$505,S89)))</f>
        <v/>
      </c>
      <c r="U89" s="32">
        <f>IF(R89="","",IF(S89="",1,IF(COUNTIF(S$1:S88,S89)=0,1,0)))</f>
        <v/>
      </c>
      <c r="V89" s="32">
        <f>IF(AND(R89&lt;&gt;"",G89="Attending",U89=1),MAX(0,H89+I89-T89),0)</f>
        <v/>
      </c>
      <c r="W89" s="32">
        <f>IF(AND(O89=1,R89=""),1,0)</f>
        <v/>
      </c>
      <c r="X89" s="32">
        <f>IF(B89="",0,H89+I89)</f>
        <v/>
      </c>
      <c r="Y89" s="32">
        <f>N(Y88)+O89</f>
        <v/>
      </c>
      <c r="Z89" s="32">
        <f>IF(O89=1,Y89,"")</f>
        <v/>
      </c>
      <c r="AA89" s="32">
        <f>IF(AND(W89=1,G89="Not sure yet"),1,0)</f>
        <v/>
      </c>
      <c r="AB89" s="32">
        <f>N(AB88)+AA89</f>
        <v/>
      </c>
      <c r="AC89" s="32">
        <f>IF(AA89=1,AB89,"")</f>
        <v/>
      </c>
      <c r="AD89" s="32">
        <f>IF(D89="","",IF(LEN(D89)=10,"+1"&amp;D89,IF(AND(LEN(D89)=11,LEFT(D89,1)="1"),"+"&amp;D89,IF(LEFT(C89,1)="+","+"&amp;D89,D89))))</f>
        <v/>
      </c>
      <c r="AE89" s="32">
        <f>IF(B89="","",PROPER(IFERROR(LEFT(B89,FIND(" ",B89)-1),B89)))</f>
        <v/>
      </c>
      <c r="AF89" s="32">
        <f>SUBSTITUTE(SUBSTITUTE(SUBSTITUTE(SUBSTITUTE(SUBSTITUTE(SUBSTITUTE(SUBSTITUTE(SUBSTITUTE(SUBSTITUTE(SUBSTITUTE(AE89,"%","%25"),"&amp;","%26"),"#","%23"),"+","%2B"),"=","%3D"),"?","%3F"),CHAR(34),"%22"),CHAR(10),"%0A"),CHAR(13),"")," ","+")</f>
        <v/>
      </c>
      <c r="AG89" s="32">
        <f>IF(OR(AD89="",AE89=""),"",'Start Here'!$B$20&amp;"#p="&amp;SUBSTITUTE(AD89,"+","%2B")&amp;"&amp;n="&amp;AF89&amp;"&amp;m="&amp;SUBSTITUTE('Start Here'!$B$24,"{name}",AF89))</f>
        <v/>
      </c>
      <c r="AH89" s="32">
        <f>N(AH88)+W89</f>
        <v/>
      </c>
      <c r="AI89" s="32">
        <f>IF(W89=1,AH89,"")</f>
        <v/>
      </c>
    </row>
    <row r="90">
      <c r="A90" s="32">
        <f>IF(INDEX('Form Responses'!$A:$A,ROW())="","",INDEX('Form Responses'!$A:$A,ROW()))</f>
        <v/>
      </c>
      <c r="B90" s="32">
        <f>TRIM(INDEX('Form Responses'!$B:$B,ROW())&amp;"")</f>
        <v/>
      </c>
      <c r="C90" s="32">
        <f>IF(B90="","",TRIM(INDEX('Form Responses'!$C:$C,ROW())&amp;""))</f>
        <v/>
      </c>
      <c r="D90" s="32">
        <f>SUBSTITUTE(SUBSTITUTE(SUBSTITUTE(SUBSTITUTE(SUBSTITUTE(SUBSTITUTE(SUBSTITUTE(SUBSTITUTE(C90," ",""),"-",""),"(",""),")",""),".",""),"+",""),"/",""),CHAR(160),"")</f>
        <v/>
      </c>
      <c r="E90" s="32">
        <f>IF(LEN(D90)&gt;=10,RIGHT(D90,10),D90)</f>
        <v/>
      </c>
      <c r="F90" s="32">
        <f>IF(B90="","",TRIM(INDEX('Form Responses'!$D:$D,ROW())&amp;""))</f>
        <v/>
      </c>
      <c r="G90" s="32">
        <f>IF(B90="","",IF(LEFT(TRIM(INDEX('Form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0" s="32">
        <f>IF(B90="","",MAX(0,IFERROR(INT(--(INDEX('Form Responses'!$F:$F,ROW())&amp;"")),1)))</f>
        <v/>
      </c>
      <c r="I90" s="32">
        <f>IF(B90="","",MAX(0,IFERROR(INT(--(INDEX('Form Responses'!$G:$G,ROW())&amp;"")),0)))</f>
        <v/>
      </c>
      <c r="J90" s="32">
        <f>IF(B90="","",TRIM(INDEX('Form Responses'!$H:$H,ROW())&amp;""))</f>
        <v/>
      </c>
      <c r="K90" s="32">
        <f>IF(B90="","",TRIM(INDEX('Form Responses'!$I:$I,ROW())&amp;""))</f>
        <v/>
      </c>
      <c r="L90" s="32">
        <f>IF(B90="","",TRIM(INDEX('Form Responses'!$J:$J,ROW())&amp;""))</f>
        <v/>
      </c>
      <c r="M90" s="32">
        <f>IF(B90="","",TRIM(INDEX('Form Responses'!$K:$K,ROW())&amp;""))</f>
        <v/>
      </c>
      <c r="N90" s="32">
        <f>IF(B90="","",IF(E90&lt;&gt;"","P"&amp;E90,"N"&amp;B90))</f>
        <v/>
      </c>
      <c r="O90" s="32">
        <f>IF(N90="",0,IF(COUNTIF(N91:N$602,N90)=0,1,0))</f>
        <v/>
      </c>
      <c r="P90" s="32">
        <f>IF(AND(O90=1,E90&lt;&gt;""),E90,"")</f>
        <v/>
      </c>
      <c r="Q90" s="32">
        <f>IF(O90=1,B90,"")</f>
        <v/>
      </c>
      <c r="R90" s="32">
        <f>IF(O90&lt;&gt;1,"",IF(E90&lt;&gt;"",IFERROR(MATCH(E90,Guests!$S$6:$S$505,0)+5,IFERROR(MATCH(B90,Guests!$A$6:$A$505,0)+5,"")),IFERROR(MATCH(B90,Guests!$A$6:$A$505,0)+5,"")))</f>
        <v/>
      </c>
      <c r="S90" s="32">
        <f>IF(R90="","",TRIM(INDEX(Guests!$E$1:$E$505,R90)&amp;""))</f>
        <v/>
      </c>
      <c r="T90" s="32">
        <f>IF(R90="","",IF(S90="",1,COUNTIF(Guests!$E$6:$E$505,S90)))</f>
        <v/>
      </c>
      <c r="U90" s="32">
        <f>IF(R90="","",IF(S90="",1,IF(COUNTIF(S$1:S89,S90)=0,1,0)))</f>
        <v/>
      </c>
      <c r="V90" s="32">
        <f>IF(AND(R90&lt;&gt;"",G90="Attending",U90=1),MAX(0,H90+I90-T90),0)</f>
        <v/>
      </c>
      <c r="W90" s="32">
        <f>IF(AND(O90=1,R90=""),1,0)</f>
        <v/>
      </c>
      <c r="X90" s="32">
        <f>IF(B90="",0,H90+I90)</f>
        <v/>
      </c>
      <c r="Y90" s="32">
        <f>N(Y89)+O90</f>
        <v/>
      </c>
      <c r="Z90" s="32">
        <f>IF(O90=1,Y90,"")</f>
        <v/>
      </c>
      <c r="AA90" s="32">
        <f>IF(AND(W90=1,G90="Not sure yet"),1,0)</f>
        <v/>
      </c>
      <c r="AB90" s="32">
        <f>N(AB89)+AA90</f>
        <v/>
      </c>
      <c r="AC90" s="32">
        <f>IF(AA90=1,AB90,"")</f>
        <v/>
      </c>
      <c r="AD90" s="32">
        <f>IF(D90="","",IF(LEN(D90)=10,"+1"&amp;D90,IF(AND(LEN(D90)=11,LEFT(D90,1)="1"),"+"&amp;D90,IF(LEFT(C90,1)="+","+"&amp;D90,D90))))</f>
        <v/>
      </c>
      <c r="AE90" s="32">
        <f>IF(B90="","",PROPER(IFERROR(LEFT(B90,FIND(" ",B90)-1),B90)))</f>
        <v/>
      </c>
      <c r="AF90" s="32">
        <f>SUBSTITUTE(SUBSTITUTE(SUBSTITUTE(SUBSTITUTE(SUBSTITUTE(SUBSTITUTE(SUBSTITUTE(SUBSTITUTE(SUBSTITUTE(SUBSTITUTE(AE90,"%","%25"),"&amp;","%26"),"#","%23"),"+","%2B"),"=","%3D"),"?","%3F"),CHAR(34),"%22"),CHAR(10),"%0A"),CHAR(13),"")," ","+")</f>
        <v/>
      </c>
      <c r="AG90" s="32">
        <f>IF(OR(AD90="",AE90=""),"",'Start Here'!$B$20&amp;"#p="&amp;SUBSTITUTE(AD90,"+","%2B")&amp;"&amp;n="&amp;AF90&amp;"&amp;m="&amp;SUBSTITUTE('Start Here'!$B$24,"{name}",AF90))</f>
        <v/>
      </c>
      <c r="AH90" s="32">
        <f>N(AH89)+W90</f>
        <v/>
      </c>
      <c r="AI90" s="32">
        <f>IF(W90=1,AH90,"")</f>
        <v/>
      </c>
    </row>
    <row r="91">
      <c r="A91" s="32">
        <f>IF(INDEX('Form Responses'!$A:$A,ROW())="","",INDEX('Form Responses'!$A:$A,ROW()))</f>
        <v/>
      </c>
      <c r="B91" s="32">
        <f>TRIM(INDEX('Form Responses'!$B:$B,ROW())&amp;"")</f>
        <v/>
      </c>
      <c r="C91" s="32">
        <f>IF(B91="","",TRIM(INDEX('Form Responses'!$C:$C,ROW())&amp;""))</f>
        <v/>
      </c>
      <c r="D91" s="32">
        <f>SUBSTITUTE(SUBSTITUTE(SUBSTITUTE(SUBSTITUTE(SUBSTITUTE(SUBSTITUTE(SUBSTITUTE(SUBSTITUTE(C91," ",""),"-",""),"(",""),")",""),".",""),"+",""),"/",""),CHAR(160),"")</f>
        <v/>
      </c>
      <c r="E91" s="32">
        <f>IF(LEN(D91)&gt;=10,RIGHT(D91,10),D91)</f>
        <v/>
      </c>
      <c r="F91" s="32">
        <f>IF(B91="","",TRIM(INDEX('Form Responses'!$D:$D,ROW())&amp;""))</f>
        <v/>
      </c>
      <c r="G91" s="32">
        <f>IF(B91="","",IF(LEFT(TRIM(INDEX('Form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1" s="32">
        <f>IF(B91="","",MAX(0,IFERROR(INT(--(INDEX('Form Responses'!$F:$F,ROW())&amp;"")),1)))</f>
        <v/>
      </c>
      <c r="I91" s="32">
        <f>IF(B91="","",MAX(0,IFERROR(INT(--(INDEX('Form Responses'!$G:$G,ROW())&amp;"")),0)))</f>
        <v/>
      </c>
      <c r="J91" s="32">
        <f>IF(B91="","",TRIM(INDEX('Form Responses'!$H:$H,ROW())&amp;""))</f>
        <v/>
      </c>
      <c r="K91" s="32">
        <f>IF(B91="","",TRIM(INDEX('Form Responses'!$I:$I,ROW())&amp;""))</f>
        <v/>
      </c>
      <c r="L91" s="32">
        <f>IF(B91="","",TRIM(INDEX('Form Responses'!$J:$J,ROW())&amp;""))</f>
        <v/>
      </c>
      <c r="M91" s="32">
        <f>IF(B91="","",TRIM(INDEX('Form Responses'!$K:$K,ROW())&amp;""))</f>
        <v/>
      </c>
      <c r="N91" s="32">
        <f>IF(B91="","",IF(E91&lt;&gt;"","P"&amp;E91,"N"&amp;B91))</f>
        <v/>
      </c>
      <c r="O91" s="32">
        <f>IF(N91="",0,IF(COUNTIF(N92:N$602,N91)=0,1,0))</f>
        <v/>
      </c>
      <c r="P91" s="32">
        <f>IF(AND(O91=1,E91&lt;&gt;""),E91,"")</f>
        <v/>
      </c>
      <c r="Q91" s="32">
        <f>IF(O91=1,B91,"")</f>
        <v/>
      </c>
      <c r="R91" s="32">
        <f>IF(O91&lt;&gt;1,"",IF(E91&lt;&gt;"",IFERROR(MATCH(E91,Guests!$S$6:$S$505,0)+5,IFERROR(MATCH(B91,Guests!$A$6:$A$505,0)+5,"")),IFERROR(MATCH(B91,Guests!$A$6:$A$505,0)+5,"")))</f>
        <v/>
      </c>
      <c r="S91" s="32">
        <f>IF(R91="","",TRIM(INDEX(Guests!$E$1:$E$505,R91)&amp;""))</f>
        <v/>
      </c>
      <c r="T91" s="32">
        <f>IF(R91="","",IF(S91="",1,COUNTIF(Guests!$E$6:$E$505,S91)))</f>
        <v/>
      </c>
      <c r="U91" s="32">
        <f>IF(R91="","",IF(S91="",1,IF(COUNTIF(S$1:S90,S91)=0,1,0)))</f>
        <v/>
      </c>
      <c r="V91" s="32">
        <f>IF(AND(R91&lt;&gt;"",G91="Attending",U91=1),MAX(0,H91+I91-T91),0)</f>
        <v/>
      </c>
      <c r="W91" s="32">
        <f>IF(AND(O91=1,R91=""),1,0)</f>
        <v/>
      </c>
      <c r="X91" s="32">
        <f>IF(B91="",0,H91+I91)</f>
        <v/>
      </c>
      <c r="Y91" s="32">
        <f>N(Y90)+O91</f>
        <v/>
      </c>
      <c r="Z91" s="32">
        <f>IF(O91=1,Y91,"")</f>
        <v/>
      </c>
      <c r="AA91" s="32">
        <f>IF(AND(W91=1,G91="Not sure yet"),1,0)</f>
        <v/>
      </c>
      <c r="AB91" s="32">
        <f>N(AB90)+AA91</f>
        <v/>
      </c>
      <c r="AC91" s="32">
        <f>IF(AA91=1,AB91,"")</f>
        <v/>
      </c>
      <c r="AD91" s="32">
        <f>IF(D91="","",IF(LEN(D91)=10,"+1"&amp;D91,IF(AND(LEN(D91)=11,LEFT(D91,1)="1"),"+"&amp;D91,IF(LEFT(C91,1)="+","+"&amp;D91,D91))))</f>
        <v/>
      </c>
      <c r="AE91" s="32">
        <f>IF(B91="","",PROPER(IFERROR(LEFT(B91,FIND(" ",B91)-1),B91)))</f>
        <v/>
      </c>
      <c r="AF91" s="32">
        <f>SUBSTITUTE(SUBSTITUTE(SUBSTITUTE(SUBSTITUTE(SUBSTITUTE(SUBSTITUTE(SUBSTITUTE(SUBSTITUTE(SUBSTITUTE(SUBSTITUTE(AE91,"%","%25"),"&amp;","%26"),"#","%23"),"+","%2B"),"=","%3D"),"?","%3F"),CHAR(34),"%22"),CHAR(10),"%0A"),CHAR(13),"")," ","+")</f>
        <v/>
      </c>
      <c r="AG91" s="32">
        <f>IF(OR(AD91="",AE91=""),"",'Start Here'!$B$20&amp;"#p="&amp;SUBSTITUTE(AD91,"+","%2B")&amp;"&amp;n="&amp;AF91&amp;"&amp;m="&amp;SUBSTITUTE('Start Here'!$B$24,"{name}",AF91))</f>
        <v/>
      </c>
      <c r="AH91" s="32">
        <f>N(AH90)+W91</f>
        <v/>
      </c>
      <c r="AI91" s="32">
        <f>IF(W91=1,AH91,"")</f>
        <v/>
      </c>
    </row>
    <row r="92">
      <c r="A92" s="32">
        <f>IF(INDEX('Form Responses'!$A:$A,ROW())="","",INDEX('Form Responses'!$A:$A,ROW()))</f>
        <v/>
      </c>
      <c r="B92" s="32">
        <f>TRIM(INDEX('Form Responses'!$B:$B,ROW())&amp;"")</f>
        <v/>
      </c>
      <c r="C92" s="32">
        <f>IF(B92="","",TRIM(INDEX('Form Responses'!$C:$C,ROW())&amp;""))</f>
        <v/>
      </c>
      <c r="D92" s="32">
        <f>SUBSTITUTE(SUBSTITUTE(SUBSTITUTE(SUBSTITUTE(SUBSTITUTE(SUBSTITUTE(SUBSTITUTE(SUBSTITUTE(C92," ",""),"-",""),"(",""),")",""),".",""),"+",""),"/",""),CHAR(160),"")</f>
        <v/>
      </c>
      <c r="E92" s="32">
        <f>IF(LEN(D92)&gt;=10,RIGHT(D92,10),D92)</f>
        <v/>
      </c>
      <c r="F92" s="32">
        <f>IF(B92="","",TRIM(INDEX('Form Responses'!$D:$D,ROW())&amp;""))</f>
        <v/>
      </c>
      <c r="G92" s="32">
        <f>IF(B92="","",IF(LEFT(TRIM(INDEX('Form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2" s="32">
        <f>IF(B92="","",MAX(0,IFERROR(INT(--(INDEX('Form Responses'!$F:$F,ROW())&amp;"")),1)))</f>
        <v/>
      </c>
      <c r="I92" s="32">
        <f>IF(B92="","",MAX(0,IFERROR(INT(--(INDEX('Form Responses'!$G:$G,ROW())&amp;"")),0)))</f>
        <v/>
      </c>
      <c r="J92" s="32">
        <f>IF(B92="","",TRIM(INDEX('Form Responses'!$H:$H,ROW())&amp;""))</f>
        <v/>
      </c>
      <c r="K92" s="32">
        <f>IF(B92="","",TRIM(INDEX('Form Responses'!$I:$I,ROW())&amp;""))</f>
        <v/>
      </c>
      <c r="L92" s="32">
        <f>IF(B92="","",TRIM(INDEX('Form Responses'!$J:$J,ROW())&amp;""))</f>
        <v/>
      </c>
      <c r="M92" s="32">
        <f>IF(B92="","",TRIM(INDEX('Form Responses'!$K:$K,ROW())&amp;""))</f>
        <v/>
      </c>
      <c r="N92" s="32">
        <f>IF(B92="","",IF(E92&lt;&gt;"","P"&amp;E92,"N"&amp;B92))</f>
        <v/>
      </c>
      <c r="O92" s="32">
        <f>IF(N92="",0,IF(COUNTIF(N93:N$602,N92)=0,1,0))</f>
        <v/>
      </c>
      <c r="P92" s="32">
        <f>IF(AND(O92=1,E92&lt;&gt;""),E92,"")</f>
        <v/>
      </c>
      <c r="Q92" s="32">
        <f>IF(O92=1,B92,"")</f>
        <v/>
      </c>
      <c r="R92" s="32">
        <f>IF(O92&lt;&gt;1,"",IF(E92&lt;&gt;"",IFERROR(MATCH(E92,Guests!$S$6:$S$505,0)+5,IFERROR(MATCH(B92,Guests!$A$6:$A$505,0)+5,"")),IFERROR(MATCH(B92,Guests!$A$6:$A$505,0)+5,"")))</f>
        <v/>
      </c>
      <c r="S92" s="32">
        <f>IF(R92="","",TRIM(INDEX(Guests!$E$1:$E$505,R92)&amp;""))</f>
        <v/>
      </c>
      <c r="T92" s="32">
        <f>IF(R92="","",IF(S92="",1,COUNTIF(Guests!$E$6:$E$505,S92)))</f>
        <v/>
      </c>
      <c r="U92" s="32">
        <f>IF(R92="","",IF(S92="",1,IF(COUNTIF(S$1:S91,S92)=0,1,0)))</f>
        <v/>
      </c>
      <c r="V92" s="32">
        <f>IF(AND(R92&lt;&gt;"",G92="Attending",U92=1),MAX(0,H92+I92-T92),0)</f>
        <v/>
      </c>
      <c r="W92" s="32">
        <f>IF(AND(O92=1,R92=""),1,0)</f>
        <v/>
      </c>
      <c r="X92" s="32">
        <f>IF(B92="",0,H92+I92)</f>
        <v/>
      </c>
      <c r="Y92" s="32">
        <f>N(Y91)+O92</f>
        <v/>
      </c>
      <c r="Z92" s="32">
        <f>IF(O92=1,Y92,"")</f>
        <v/>
      </c>
      <c r="AA92" s="32">
        <f>IF(AND(W92=1,G92="Not sure yet"),1,0)</f>
        <v/>
      </c>
      <c r="AB92" s="32">
        <f>N(AB91)+AA92</f>
        <v/>
      </c>
      <c r="AC92" s="32">
        <f>IF(AA92=1,AB92,"")</f>
        <v/>
      </c>
      <c r="AD92" s="32">
        <f>IF(D92="","",IF(LEN(D92)=10,"+1"&amp;D92,IF(AND(LEN(D92)=11,LEFT(D92,1)="1"),"+"&amp;D92,IF(LEFT(C92,1)="+","+"&amp;D92,D92))))</f>
        <v/>
      </c>
      <c r="AE92" s="32">
        <f>IF(B92="","",PROPER(IFERROR(LEFT(B92,FIND(" ",B92)-1),B92)))</f>
        <v/>
      </c>
      <c r="AF92" s="32">
        <f>SUBSTITUTE(SUBSTITUTE(SUBSTITUTE(SUBSTITUTE(SUBSTITUTE(SUBSTITUTE(SUBSTITUTE(SUBSTITUTE(SUBSTITUTE(SUBSTITUTE(AE92,"%","%25"),"&amp;","%26"),"#","%23"),"+","%2B"),"=","%3D"),"?","%3F"),CHAR(34),"%22"),CHAR(10),"%0A"),CHAR(13),"")," ","+")</f>
        <v/>
      </c>
      <c r="AG92" s="32">
        <f>IF(OR(AD92="",AE92=""),"",'Start Here'!$B$20&amp;"#p="&amp;SUBSTITUTE(AD92,"+","%2B")&amp;"&amp;n="&amp;AF92&amp;"&amp;m="&amp;SUBSTITUTE('Start Here'!$B$24,"{name}",AF92))</f>
        <v/>
      </c>
      <c r="AH92" s="32">
        <f>N(AH91)+W92</f>
        <v/>
      </c>
      <c r="AI92" s="32">
        <f>IF(W92=1,AH92,"")</f>
        <v/>
      </c>
    </row>
    <row r="93">
      <c r="A93" s="32">
        <f>IF(INDEX('Form Responses'!$A:$A,ROW())="","",INDEX('Form Responses'!$A:$A,ROW()))</f>
        <v/>
      </c>
      <c r="B93" s="32">
        <f>TRIM(INDEX('Form Responses'!$B:$B,ROW())&amp;"")</f>
        <v/>
      </c>
      <c r="C93" s="32">
        <f>IF(B93="","",TRIM(INDEX('Form Responses'!$C:$C,ROW())&amp;""))</f>
        <v/>
      </c>
      <c r="D93" s="32">
        <f>SUBSTITUTE(SUBSTITUTE(SUBSTITUTE(SUBSTITUTE(SUBSTITUTE(SUBSTITUTE(SUBSTITUTE(SUBSTITUTE(C93," ",""),"-",""),"(",""),")",""),".",""),"+",""),"/",""),CHAR(160),"")</f>
        <v/>
      </c>
      <c r="E93" s="32">
        <f>IF(LEN(D93)&gt;=10,RIGHT(D93,10),D93)</f>
        <v/>
      </c>
      <c r="F93" s="32">
        <f>IF(B93="","",TRIM(INDEX('Form Responses'!$D:$D,ROW())&amp;""))</f>
        <v/>
      </c>
      <c r="G93" s="32">
        <f>IF(B93="","",IF(LEFT(TRIM(INDEX('Form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3" s="32">
        <f>IF(B93="","",MAX(0,IFERROR(INT(--(INDEX('Form Responses'!$F:$F,ROW())&amp;"")),1)))</f>
        <v/>
      </c>
      <c r="I93" s="32">
        <f>IF(B93="","",MAX(0,IFERROR(INT(--(INDEX('Form Responses'!$G:$G,ROW())&amp;"")),0)))</f>
        <v/>
      </c>
      <c r="J93" s="32">
        <f>IF(B93="","",TRIM(INDEX('Form Responses'!$H:$H,ROW())&amp;""))</f>
        <v/>
      </c>
      <c r="K93" s="32">
        <f>IF(B93="","",TRIM(INDEX('Form Responses'!$I:$I,ROW())&amp;""))</f>
        <v/>
      </c>
      <c r="L93" s="32">
        <f>IF(B93="","",TRIM(INDEX('Form Responses'!$J:$J,ROW())&amp;""))</f>
        <v/>
      </c>
      <c r="M93" s="32">
        <f>IF(B93="","",TRIM(INDEX('Form Responses'!$K:$K,ROW())&amp;""))</f>
        <v/>
      </c>
      <c r="N93" s="32">
        <f>IF(B93="","",IF(E93&lt;&gt;"","P"&amp;E93,"N"&amp;B93))</f>
        <v/>
      </c>
      <c r="O93" s="32">
        <f>IF(N93="",0,IF(COUNTIF(N94:N$602,N93)=0,1,0))</f>
        <v/>
      </c>
      <c r="P93" s="32">
        <f>IF(AND(O93=1,E93&lt;&gt;""),E93,"")</f>
        <v/>
      </c>
      <c r="Q93" s="32">
        <f>IF(O93=1,B93,"")</f>
        <v/>
      </c>
      <c r="R93" s="32">
        <f>IF(O93&lt;&gt;1,"",IF(E93&lt;&gt;"",IFERROR(MATCH(E93,Guests!$S$6:$S$505,0)+5,IFERROR(MATCH(B93,Guests!$A$6:$A$505,0)+5,"")),IFERROR(MATCH(B93,Guests!$A$6:$A$505,0)+5,"")))</f>
        <v/>
      </c>
      <c r="S93" s="32">
        <f>IF(R93="","",TRIM(INDEX(Guests!$E$1:$E$505,R93)&amp;""))</f>
        <v/>
      </c>
      <c r="T93" s="32">
        <f>IF(R93="","",IF(S93="",1,COUNTIF(Guests!$E$6:$E$505,S93)))</f>
        <v/>
      </c>
      <c r="U93" s="32">
        <f>IF(R93="","",IF(S93="",1,IF(COUNTIF(S$1:S92,S93)=0,1,0)))</f>
        <v/>
      </c>
      <c r="V93" s="32">
        <f>IF(AND(R93&lt;&gt;"",G93="Attending",U93=1),MAX(0,H93+I93-T93),0)</f>
        <v/>
      </c>
      <c r="W93" s="32">
        <f>IF(AND(O93=1,R93=""),1,0)</f>
        <v/>
      </c>
      <c r="X93" s="32">
        <f>IF(B93="",0,H93+I93)</f>
        <v/>
      </c>
      <c r="Y93" s="32">
        <f>N(Y92)+O93</f>
        <v/>
      </c>
      <c r="Z93" s="32">
        <f>IF(O93=1,Y93,"")</f>
        <v/>
      </c>
      <c r="AA93" s="32">
        <f>IF(AND(W93=1,G93="Not sure yet"),1,0)</f>
        <v/>
      </c>
      <c r="AB93" s="32">
        <f>N(AB92)+AA93</f>
        <v/>
      </c>
      <c r="AC93" s="32">
        <f>IF(AA93=1,AB93,"")</f>
        <v/>
      </c>
      <c r="AD93" s="32">
        <f>IF(D93="","",IF(LEN(D93)=10,"+1"&amp;D93,IF(AND(LEN(D93)=11,LEFT(D93,1)="1"),"+"&amp;D93,IF(LEFT(C93,1)="+","+"&amp;D93,D93))))</f>
        <v/>
      </c>
      <c r="AE93" s="32">
        <f>IF(B93="","",PROPER(IFERROR(LEFT(B93,FIND(" ",B93)-1),B93)))</f>
        <v/>
      </c>
      <c r="AF93" s="32">
        <f>SUBSTITUTE(SUBSTITUTE(SUBSTITUTE(SUBSTITUTE(SUBSTITUTE(SUBSTITUTE(SUBSTITUTE(SUBSTITUTE(SUBSTITUTE(SUBSTITUTE(AE93,"%","%25"),"&amp;","%26"),"#","%23"),"+","%2B"),"=","%3D"),"?","%3F"),CHAR(34),"%22"),CHAR(10),"%0A"),CHAR(13),"")," ","+")</f>
        <v/>
      </c>
      <c r="AG93" s="32">
        <f>IF(OR(AD93="",AE93=""),"",'Start Here'!$B$20&amp;"#p="&amp;SUBSTITUTE(AD93,"+","%2B")&amp;"&amp;n="&amp;AF93&amp;"&amp;m="&amp;SUBSTITUTE('Start Here'!$B$24,"{name}",AF93))</f>
        <v/>
      </c>
      <c r="AH93" s="32">
        <f>N(AH92)+W93</f>
        <v/>
      </c>
      <c r="AI93" s="32">
        <f>IF(W93=1,AH93,"")</f>
        <v/>
      </c>
    </row>
    <row r="94">
      <c r="A94" s="32">
        <f>IF(INDEX('Form Responses'!$A:$A,ROW())="","",INDEX('Form Responses'!$A:$A,ROW()))</f>
        <v/>
      </c>
      <c r="B94" s="32">
        <f>TRIM(INDEX('Form Responses'!$B:$B,ROW())&amp;"")</f>
        <v/>
      </c>
      <c r="C94" s="32">
        <f>IF(B94="","",TRIM(INDEX('Form Responses'!$C:$C,ROW())&amp;""))</f>
        <v/>
      </c>
      <c r="D94" s="32">
        <f>SUBSTITUTE(SUBSTITUTE(SUBSTITUTE(SUBSTITUTE(SUBSTITUTE(SUBSTITUTE(SUBSTITUTE(SUBSTITUTE(C94," ",""),"-",""),"(",""),")",""),".",""),"+",""),"/",""),CHAR(160),"")</f>
        <v/>
      </c>
      <c r="E94" s="32">
        <f>IF(LEN(D94)&gt;=10,RIGHT(D94,10),D94)</f>
        <v/>
      </c>
      <c r="F94" s="32">
        <f>IF(B94="","",TRIM(INDEX('Form Responses'!$D:$D,ROW())&amp;""))</f>
        <v/>
      </c>
      <c r="G94" s="32">
        <f>IF(B94="","",IF(LEFT(TRIM(INDEX('Form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4" s="32">
        <f>IF(B94="","",MAX(0,IFERROR(INT(--(INDEX('Form Responses'!$F:$F,ROW())&amp;"")),1)))</f>
        <v/>
      </c>
      <c r="I94" s="32">
        <f>IF(B94="","",MAX(0,IFERROR(INT(--(INDEX('Form Responses'!$G:$G,ROW())&amp;"")),0)))</f>
        <v/>
      </c>
      <c r="J94" s="32">
        <f>IF(B94="","",TRIM(INDEX('Form Responses'!$H:$H,ROW())&amp;""))</f>
        <v/>
      </c>
      <c r="K94" s="32">
        <f>IF(B94="","",TRIM(INDEX('Form Responses'!$I:$I,ROW())&amp;""))</f>
        <v/>
      </c>
      <c r="L94" s="32">
        <f>IF(B94="","",TRIM(INDEX('Form Responses'!$J:$J,ROW())&amp;""))</f>
        <v/>
      </c>
      <c r="M94" s="32">
        <f>IF(B94="","",TRIM(INDEX('Form Responses'!$K:$K,ROW())&amp;""))</f>
        <v/>
      </c>
      <c r="N94" s="32">
        <f>IF(B94="","",IF(E94&lt;&gt;"","P"&amp;E94,"N"&amp;B94))</f>
        <v/>
      </c>
      <c r="O94" s="32">
        <f>IF(N94="",0,IF(COUNTIF(N95:N$602,N94)=0,1,0))</f>
        <v/>
      </c>
      <c r="P94" s="32">
        <f>IF(AND(O94=1,E94&lt;&gt;""),E94,"")</f>
        <v/>
      </c>
      <c r="Q94" s="32">
        <f>IF(O94=1,B94,"")</f>
        <v/>
      </c>
      <c r="R94" s="32">
        <f>IF(O94&lt;&gt;1,"",IF(E94&lt;&gt;"",IFERROR(MATCH(E94,Guests!$S$6:$S$505,0)+5,IFERROR(MATCH(B94,Guests!$A$6:$A$505,0)+5,"")),IFERROR(MATCH(B94,Guests!$A$6:$A$505,0)+5,"")))</f>
        <v/>
      </c>
      <c r="S94" s="32">
        <f>IF(R94="","",TRIM(INDEX(Guests!$E$1:$E$505,R94)&amp;""))</f>
        <v/>
      </c>
      <c r="T94" s="32">
        <f>IF(R94="","",IF(S94="",1,COUNTIF(Guests!$E$6:$E$505,S94)))</f>
        <v/>
      </c>
      <c r="U94" s="32">
        <f>IF(R94="","",IF(S94="",1,IF(COUNTIF(S$1:S93,S94)=0,1,0)))</f>
        <v/>
      </c>
      <c r="V94" s="32">
        <f>IF(AND(R94&lt;&gt;"",G94="Attending",U94=1),MAX(0,H94+I94-T94),0)</f>
        <v/>
      </c>
      <c r="W94" s="32">
        <f>IF(AND(O94=1,R94=""),1,0)</f>
        <v/>
      </c>
      <c r="X94" s="32">
        <f>IF(B94="",0,H94+I94)</f>
        <v/>
      </c>
      <c r="Y94" s="32">
        <f>N(Y93)+O94</f>
        <v/>
      </c>
      <c r="Z94" s="32">
        <f>IF(O94=1,Y94,"")</f>
        <v/>
      </c>
      <c r="AA94" s="32">
        <f>IF(AND(W94=1,G94="Not sure yet"),1,0)</f>
        <v/>
      </c>
      <c r="AB94" s="32">
        <f>N(AB93)+AA94</f>
        <v/>
      </c>
      <c r="AC94" s="32">
        <f>IF(AA94=1,AB94,"")</f>
        <v/>
      </c>
      <c r="AD94" s="32">
        <f>IF(D94="","",IF(LEN(D94)=10,"+1"&amp;D94,IF(AND(LEN(D94)=11,LEFT(D94,1)="1"),"+"&amp;D94,IF(LEFT(C94,1)="+","+"&amp;D94,D94))))</f>
        <v/>
      </c>
      <c r="AE94" s="32">
        <f>IF(B94="","",PROPER(IFERROR(LEFT(B94,FIND(" ",B94)-1),B94)))</f>
        <v/>
      </c>
      <c r="AF94" s="32">
        <f>SUBSTITUTE(SUBSTITUTE(SUBSTITUTE(SUBSTITUTE(SUBSTITUTE(SUBSTITUTE(SUBSTITUTE(SUBSTITUTE(SUBSTITUTE(SUBSTITUTE(AE94,"%","%25"),"&amp;","%26"),"#","%23"),"+","%2B"),"=","%3D"),"?","%3F"),CHAR(34),"%22"),CHAR(10),"%0A"),CHAR(13),"")," ","+")</f>
        <v/>
      </c>
      <c r="AG94" s="32">
        <f>IF(OR(AD94="",AE94=""),"",'Start Here'!$B$20&amp;"#p="&amp;SUBSTITUTE(AD94,"+","%2B")&amp;"&amp;n="&amp;AF94&amp;"&amp;m="&amp;SUBSTITUTE('Start Here'!$B$24,"{name}",AF94))</f>
        <v/>
      </c>
      <c r="AH94" s="32">
        <f>N(AH93)+W94</f>
        <v/>
      </c>
      <c r="AI94" s="32">
        <f>IF(W94=1,AH94,"")</f>
        <v/>
      </c>
    </row>
    <row r="95">
      <c r="A95" s="32">
        <f>IF(INDEX('Form Responses'!$A:$A,ROW())="","",INDEX('Form Responses'!$A:$A,ROW()))</f>
        <v/>
      </c>
      <c r="B95" s="32">
        <f>TRIM(INDEX('Form Responses'!$B:$B,ROW())&amp;"")</f>
        <v/>
      </c>
      <c r="C95" s="32">
        <f>IF(B95="","",TRIM(INDEX('Form Responses'!$C:$C,ROW())&amp;""))</f>
        <v/>
      </c>
      <c r="D95" s="32">
        <f>SUBSTITUTE(SUBSTITUTE(SUBSTITUTE(SUBSTITUTE(SUBSTITUTE(SUBSTITUTE(SUBSTITUTE(SUBSTITUTE(C95," ",""),"-",""),"(",""),")",""),".",""),"+",""),"/",""),CHAR(160),"")</f>
        <v/>
      </c>
      <c r="E95" s="32">
        <f>IF(LEN(D95)&gt;=10,RIGHT(D95,10),D95)</f>
        <v/>
      </c>
      <c r="F95" s="32">
        <f>IF(B95="","",TRIM(INDEX('Form Responses'!$D:$D,ROW())&amp;""))</f>
        <v/>
      </c>
      <c r="G95" s="32">
        <f>IF(B95="","",IF(LEFT(TRIM(INDEX('Form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5" s="32">
        <f>IF(B95="","",MAX(0,IFERROR(INT(--(INDEX('Form Responses'!$F:$F,ROW())&amp;"")),1)))</f>
        <v/>
      </c>
      <c r="I95" s="32">
        <f>IF(B95="","",MAX(0,IFERROR(INT(--(INDEX('Form Responses'!$G:$G,ROW())&amp;"")),0)))</f>
        <v/>
      </c>
      <c r="J95" s="32">
        <f>IF(B95="","",TRIM(INDEX('Form Responses'!$H:$H,ROW())&amp;""))</f>
        <v/>
      </c>
      <c r="K95" s="32">
        <f>IF(B95="","",TRIM(INDEX('Form Responses'!$I:$I,ROW())&amp;""))</f>
        <v/>
      </c>
      <c r="L95" s="32">
        <f>IF(B95="","",TRIM(INDEX('Form Responses'!$J:$J,ROW())&amp;""))</f>
        <v/>
      </c>
      <c r="M95" s="32">
        <f>IF(B95="","",TRIM(INDEX('Form Responses'!$K:$K,ROW())&amp;""))</f>
        <v/>
      </c>
      <c r="N95" s="32">
        <f>IF(B95="","",IF(E95&lt;&gt;"","P"&amp;E95,"N"&amp;B95))</f>
        <v/>
      </c>
      <c r="O95" s="32">
        <f>IF(N95="",0,IF(COUNTIF(N96:N$602,N95)=0,1,0))</f>
        <v/>
      </c>
      <c r="P95" s="32">
        <f>IF(AND(O95=1,E95&lt;&gt;""),E95,"")</f>
        <v/>
      </c>
      <c r="Q95" s="32">
        <f>IF(O95=1,B95,"")</f>
        <v/>
      </c>
      <c r="R95" s="32">
        <f>IF(O95&lt;&gt;1,"",IF(E95&lt;&gt;"",IFERROR(MATCH(E95,Guests!$S$6:$S$505,0)+5,IFERROR(MATCH(B95,Guests!$A$6:$A$505,0)+5,"")),IFERROR(MATCH(B95,Guests!$A$6:$A$505,0)+5,"")))</f>
        <v/>
      </c>
      <c r="S95" s="32">
        <f>IF(R95="","",TRIM(INDEX(Guests!$E$1:$E$505,R95)&amp;""))</f>
        <v/>
      </c>
      <c r="T95" s="32">
        <f>IF(R95="","",IF(S95="",1,COUNTIF(Guests!$E$6:$E$505,S95)))</f>
        <v/>
      </c>
      <c r="U95" s="32">
        <f>IF(R95="","",IF(S95="",1,IF(COUNTIF(S$1:S94,S95)=0,1,0)))</f>
        <v/>
      </c>
      <c r="V95" s="32">
        <f>IF(AND(R95&lt;&gt;"",G95="Attending",U95=1),MAX(0,H95+I95-T95),0)</f>
        <v/>
      </c>
      <c r="W95" s="32">
        <f>IF(AND(O95=1,R95=""),1,0)</f>
        <v/>
      </c>
      <c r="X95" s="32">
        <f>IF(B95="",0,H95+I95)</f>
        <v/>
      </c>
      <c r="Y95" s="32">
        <f>N(Y94)+O95</f>
        <v/>
      </c>
      <c r="Z95" s="32">
        <f>IF(O95=1,Y95,"")</f>
        <v/>
      </c>
      <c r="AA95" s="32">
        <f>IF(AND(W95=1,G95="Not sure yet"),1,0)</f>
        <v/>
      </c>
      <c r="AB95" s="32">
        <f>N(AB94)+AA95</f>
        <v/>
      </c>
      <c r="AC95" s="32">
        <f>IF(AA95=1,AB95,"")</f>
        <v/>
      </c>
      <c r="AD95" s="32">
        <f>IF(D95="","",IF(LEN(D95)=10,"+1"&amp;D95,IF(AND(LEN(D95)=11,LEFT(D95,1)="1"),"+"&amp;D95,IF(LEFT(C95,1)="+","+"&amp;D95,D95))))</f>
        <v/>
      </c>
      <c r="AE95" s="32">
        <f>IF(B95="","",PROPER(IFERROR(LEFT(B95,FIND(" ",B95)-1),B95)))</f>
        <v/>
      </c>
      <c r="AF95" s="32">
        <f>SUBSTITUTE(SUBSTITUTE(SUBSTITUTE(SUBSTITUTE(SUBSTITUTE(SUBSTITUTE(SUBSTITUTE(SUBSTITUTE(SUBSTITUTE(SUBSTITUTE(AE95,"%","%25"),"&amp;","%26"),"#","%23"),"+","%2B"),"=","%3D"),"?","%3F"),CHAR(34),"%22"),CHAR(10),"%0A"),CHAR(13),"")," ","+")</f>
        <v/>
      </c>
      <c r="AG95" s="32">
        <f>IF(OR(AD95="",AE95=""),"",'Start Here'!$B$20&amp;"#p="&amp;SUBSTITUTE(AD95,"+","%2B")&amp;"&amp;n="&amp;AF95&amp;"&amp;m="&amp;SUBSTITUTE('Start Here'!$B$24,"{name}",AF95))</f>
        <v/>
      </c>
      <c r="AH95" s="32">
        <f>N(AH94)+W95</f>
        <v/>
      </c>
      <c r="AI95" s="32">
        <f>IF(W95=1,AH95,"")</f>
        <v/>
      </c>
    </row>
    <row r="96">
      <c r="A96" s="32">
        <f>IF(INDEX('Form Responses'!$A:$A,ROW())="","",INDEX('Form Responses'!$A:$A,ROW()))</f>
        <v/>
      </c>
      <c r="B96" s="32">
        <f>TRIM(INDEX('Form Responses'!$B:$B,ROW())&amp;"")</f>
        <v/>
      </c>
      <c r="C96" s="32">
        <f>IF(B96="","",TRIM(INDEX('Form Responses'!$C:$C,ROW())&amp;""))</f>
        <v/>
      </c>
      <c r="D96" s="32">
        <f>SUBSTITUTE(SUBSTITUTE(SUBSTITUTE(SUBSTITUTE(SUBSTITUTE(SUBSTITUTE(SUBSTITUTE(SUBSTITUTE(C96," ",""),"-",""),"(",""),")",""),".",""),"+",""),"/",""),CHAR(160),"")</f>
        <v/>
      </c>
      <c r="E96" s="32">
        <f>IF(LEN(D96)&gt;=10,RIGHT(D96,10),D96)</f>
        <v/>
      </c>
      <c r="F96" s="32">
        <f>IF(B96="","",TRIM(INDEX('Form Responses'!$D:$D,ROW())&amp;""))</f>
        <v/>
      </c>
      <c r="G96" s="32">
        <f>IF(B96="","",IF(LEFT(TRIM(INDEX('Form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6" s="32">
        <f>IF(B96="","",MAX(0,IFERROR(INT(--(INDEX('Form Responses'!$F:$F,ROW())&amp;"")),1)))</f>
        <v/>
      </c>
      <c r="I96" s="32">
        <f>IF(B96="","",MAX(0,IFERROR(INT(--(INDEX('Form Responses'!$G:$G,ROW())&amp;"")),0)))</f>
        <v/>
      </c>
      <c r="J96" s="32">
        <f>IF(B96="","",TRIM(INDEX('Form Responses'!$H:$H,ROW())&amp;""))</f>
        <v/>
      </c>
      <c r="K96" s="32">
        <f>IF(B96="","",TRIM(INDEX('Form Responses'!$I:$I,ROW())&amp;""))</f>
        <v/>
      </c>
      <c r="L96" s="32">
        <f>IF(B96="","",TRIM(INDEX('Form Responses'!$J:$J,ROW())&amp;""))</f>
        <v/>
      </c>
      <c r="M96" s="32">
        <f>IF(B96="","",TRIM(INDEX('Form Responses'!$K:$K,ROW())&amp;""))</f>
        <v/>
      </c>
      <c r="N96" s="32">
        <f>IF(B96="","",IF(E96&lt;&gt;"","P"&amp;E96,"N"&amp;B96))</f>
        <v/>
      </c>
      <c r="O96" s="32">
        <f>IF(N96="",0,IF(COUNTIF(N97:N$602,N96)=0,1,0))</f>
        <v/>
      </c>
      <c r="P96" s="32">
        <f>IF(AND(O96=1,E96&lt;&gt;""),E96,"")</f>
        <v/>
      </c>
      <c r="Q96" s="32">
        <f>IF(O96=1,B96,"")</f>
        <v/>
      </c>
      <c r="R96" s="32">
        <f>IF(O96&lt;&gt;1,"",IF(E96&lt;&gt;"",IFERROR(MATCH(E96,Guests!$S$6:$S$505,0)+5,IFERROR(MATCH(B96,Guests!$A$6:$A$505,0)+5,"")),IFERROR(MATCH(B96,Guests!$A$6:$A$505,0)+5,"")))</f>
        <v/>
      </c>
      <c r="S96" s="32">
        <f>IF(R96="","",TRIM(INDEX(Guests!$E$1:$E$505,R96)&amp;""))</f>
        <v/>
      </c>
      <c r="T96" s="32">
        <f>IF(R96="","",IF(S96="",1,COUNTIF(Guests!$E$6:$E$505,S96)))</f>
        <v/>
      </c>
      <c r="U96" s="32">
        <f>IF(R96="","",IF(S96="",1,IF(COUNTIF(S$1:S95,S96)=0,1,0)))</f>
        <v/>
      </c>
      <c r="V96" s="32">
        <f>IF(AND(R96&lt;&gt;"",G96="Attending",U96=1),MAX(0,H96+I96-T96),0)</f>
        <v/>
      </c>
      <c r="W96" s="32">
        <f>IF(AND(O96=1,R96=""),1,0)</f>
        <v/>
      </c>
      <c r="X96" s="32">
        <f>IF(B96="",0,H96+I96)</f>
        <v/>
      </c>
      <c r="Y96" s="32">
        <f>N(Y95)+O96</f>
        <v/>
      </c>
      <c r="Z96" s="32">
        <f>IF(O96=1,Y96,"")</f>
        <v/>
      </c>
      <c r="AA96" s="32">
        <f>IF(AND(W96=1,G96="Not sure yet"),1,0)</f>
        <v/>
      </c>
      <c r="AB96" s="32">
        <f>N(AB95)+AA96</f>
        <v/>
      </c>
      <c r="AC96" s="32">
        <f>IF(AA96=1,AB96,"")</f>
        <v/>
      </c>
      <c r="AD96" s="32">
        <f>IF(D96="","",IF(LEN(D96)=10,"+1"&amp;D96,IF(AND(LEN(D96)=11,LEFT(D96,1)="1"),"+"&amp;D96,IF(LEFT(C96,1)="+","+"&amp;D96,D96))))</f>
        <v/>
      </c>
      <c r="AE96" s="32">
        <f>IF(B96="","",PROPER(IFERROR(LEFT(B96,FIND(" ",B96)-1),B96)))</f>
        <v/>
      </c>
      <c r="AF96" s="32">
        <f>SUBSTITUTE(SUBSTITUTE(SUBSTITUTE(SUBSTITUTE(SUBSTITUTE(SUBSTITUTE(SUBSTITUTE(SUBSTITUTE(SUBSTITUTE(SUBSTITUTE(AE96,"%","%25"),"&amp;","%26"),"#","%23"),"+","%2B"),"=","%3D"),"?","%3F"),CHAR(34),"%22"),CHAR(10),"%0A"),CHAR(13),"")," ","+")</f>
        <v/>
      </c>
      <c r="AG96" s="32">
        <f>IF(OR(AD96="",AE96=""),"",'Start Here'!$B$20&amp;"#p="&amp;SUBSTITUTE(AD96,"+","%2B")&amp;"&amp;n="&amp;AF96&amp;"&amp;m="&amp;SUBSTITUTE('Start Here'!$B$24,"{name}",AF96))</f>
        <v/>
      </c>
      <c r="AH96" s="32">
        <f>N(AH95)+W96</f>
        <v/>
      </c>
      <c r="AI96" s="32">
        <f>IF(W96=1,AH96,"")</f>
        <v/>
      </c>
    </row>
    <row r="97">
      <c r="A97" s="32">
        <f>IF(INDEX('Form Responses'!$A:$A,ROW())="","",INDEX('Form Responses'!$A:$A,ROW()))</f>
        <v/>
      </c>
      <c r="B97" s="32">
        <f>TRIM(INDEX('Form Responses'!$B:$B,ROW())&amp;"")</f>
        <v/>
      </c>
      <c r="C97" s="32">
        <f>IF(B97="","",TRIM(INDEX('Form Responses'!$C:$C,ROW())&amp;""))</f>
        <v/>
      </c>
      <c r="D97" s="32">
        <f>SUBSTITUTE(SUBSTITUTE(SUBSTITUTE(SUBSTITUTE(SUBSTITUTE(SUBSTITUTE(SUBSTITUTE(SUBSTITUTE(C97," ",""),"-",""),"(",""),")",""),".",""),"+",""),"/",""),CHAR(160),"")</f>
        <v/>
      </c>
      <c r="E97" s="32">
        <f>IF(LEN(D97)&gt;=10,RIGHT(D97,10),D97)</f>
        <v/>
      </c>
      <c r="F97" s="32">
        <f>IF(B97="","",TRIM(INDEX('Form Responses'!$D:$D,ROW())&amp;""))</f>
        <v/>
      </c>
      <c r="G97" s="32">
        <f>IF(B97="","",IF(LEFT(TRIM(INDEX('Form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7" s="32">
        <f>IF(B97="","",MAX(0,IFERROR(INT(--(INDEX('Form Responses'!$F:$F,ROW())&amp;"")),1)))</f>
        <v/>
      </c>
      <c r="I97" s="32">
        <f>IF(B97="","",MAX(0,IFERROR(INT(--(INDEX('Form Responses'!$G:$G,ROW())&amp;"")),0)))</f>
        <v/>
      </c>
      <c r="J97" s="32">
        <f>IF(B97="","",TRIM(INDEX('Form Responses'!$H:$H,ROW())&amp;""))</f>
        <v/>
      </c>
      <c r="K97" s="32">
        <f>IF(B97="","",TRIM(INDEX('Form Responses'!$I:$I,ROW())&amp;""))</f>
        <v/>
      </c>
      <c r="L97" s="32">
        <f>IF(B97="","",TRIM(INDEX('Form Responses'!$J:$J,ROW())&amp;""))</f>
        <v/>
      </c>
      <c r="M97" s="32">
        <f>IF(B97="","",TRIM(INDEX('Form Responses'!$K:$K,ROW())&amp;""))</f>
        <v/>
      </c>
      <c r="N97" s="32">
        <f>IF(B97="","",IF(E97&lt;&gt;"","P"&amp;E97,"N"&amp;B97))</f>
        <v/>
      </c>
      <c r="O97" s="32">
        <f>IF(N97="",0,IF(COUNTIF(N98:N$602,N97)=0,1,0))</f>
        <v/>
      </c>
      <c r="P97" s="32">
        <f>IF(AND(O97=1,E97&lt;&gt;""),E97,"")</f>
        <v/>
      </c>
      <c r="Q97" s="32">
        <f>IF(O97=1,B97,"")</f>
        <v/>
      </c>
      <c r="R97" s="32">
        <f>IF(O97&lt;&gt;1,"",IF(E97&lt;&gt;"",IFERROR(MATCH(E97,Guests!$S$6:$S$505,0)+5,IFERROR(MATCH(B97,Guests!$A$6:$A$505,0)+5,"")),IFERROR(MATCH(B97,Guests!$A$6:$A$505,0)+5,"")))</f>
        <v/>
      </c>
      <c r="S97" s="32">
        <f>IF(R97="","",TRIM(INDEX(Guests!$E$1:$E$505,R97)&amp;""))</f>
        <v/>
      </c>
      <c r="T97" s="32">
        <f>IF(R97="","",IF(S97="",1,COUNTIF(Guests!$E$6:$E$505,S97)))</f>
        <v/>
      </c>
      <c r="U97" s="32">
        <f>IF(R97="","",IF(S97="",1,IF(COUNTIF(S$1:S96,S97)=0,1,0)))</f>
        <v/>
      </c>
      <c r="V97" s="32">
        <f>IF(AND(R97&lt;&gt;"",G97="Attending",U97=1),MAX(0,H97+I97-T97),0)</f>
        <v/>
      </c>
      <c r="W97" s="32">
        <f>IF(AND(O97=1,R97=""),1,0)</f>
        <v/>
      </c>
      <c r="X97" s="32">
        <f>IF(B97="",0,H97+I97)</f>
        <v/>
      </c>
      <c r="Y97" s="32">
        <f>N(Y96)+O97</f>
        <v/>
      </c>
      <c r="Z97" s="32">
        <f>IF(O97=1,Y97,"")</f>
        <v/>
      </c>
      <c r="AA97" s="32">
        <f>IF(AND(W97=1,G97="Not sure yet"),1,0)</f>
        <v/>
      </c>
      <c r="AB97" s="32">
        <f>N(AB96)+AA97</f>
        <v/>
      </c>
      <c r="AC97" s="32">
        <f>IF(AA97=1,AB97,"")</f>
        <v/>
      </c>
      <c r="AD97" s="32">
        <f>IF(D97="","",IF(LEN(D97)=10,"+1"&amp;D97,IF(AND(LEN(D97)=11,LEFT(D97,1)="1"),"+"&amp;D97,IF(LEFT(C97,1)="+","+"&amp;D97,D97))))</f>
        <v/>
      </c>
      <c r="AE97" s="32">
        <f>IF(B97="","",PROPER(IFERROR(LEFT(B97,FIND(" ",B97)-1),B97)))</f>
        <v/>
      </c>
      <c r="AF97" s="32">
        <f>SUBSTITUTE(SUBSTITUTE(SUBSTITUTE(SUBSTITUTE(SUBSTITUTE(SUBSTITUTE(SUBSTITUTE(SUBSTITUTE(SUBSTITUTE(SUBSTITUTE(AE97,"%","%25"),"&amp;","%26"),"#","%23"),"+","%2B"),"=","%3D"),"?","%3F"),CHAR(34),"%22"),CHAR(10),"%0A"),CHAR(13),"")," ","+")</f>
        <v/>
      </c>
      <c r="AG97" s="32">
        <f>IF(OR(AD97="",AE97=""),"",'Start Here'!$B$20&amp;"#p="&amp;SUBSTITUTE(AD97,"+","%2B")&amp;"&amp;n="&amp;AF97&amp;"&amp;m="&amp;SUBSTITUTE('Start Here'!$B$24,"{name}",AF97))</f>
        <v/>
      </c>
      <c r="AH97" s="32">
        <f>N(AH96)+W97</f>
        <v/>
      </c>
      <c r="AI97" s="32">
        <f>IF(W97=1,AH97,"")</f>
        <v/>
      </c>
    </row>
    <row r="98">
      <c r="A98" s="32">
        <f>IF(INDEX('Form Responses'!$A:$A,ROW())="","",INDEX('Form Responses'!$A:$A,ROW()))</f>
        <v/>
      </c>
      <c r="B98" s="32">
        <f>TRIM(INDEX('Form Responses'!$B:$B,ROW())&amp;"")</f>
        <v/>
      </c>
      <c r="C98" s="32">
        <f>IF(B98="","",TRIM(INDEX('Form Responses'!$C:$C,ROW())&amp;""))</f>
        <v/>
      </c>
      <c r="D98" s="32">
        <f>SUBSTITUTE(SUBSTITUTE(SUBSTITUTE(SUBSTITUTE(SUBSTITUTE(SUBSTITUTE(SUBSTITUTE(SUBSTITUTE(C98," ",""),"-",""),"(",""),")",""),".",""),"+",""),"/",""),CHAR(160),"")</f>
        <v/>
      </c>
      <c r="E98" s="32">
        <f>IF(LEN(D98)&gt;=10,RIGHT(D98,10),D98)</f>
        <v/>
      </c>
      <c r="F98" s="32">
        <f>IF(B98="","",TRIM(INDEX('Form Responses'!$D:$D,ROW())&amp;""))</f>
        <v/>
      </c>
      <c r="G98" s="32">
        <f>IF(B98="","",IF(LEFT(TRIM(INDEX('Form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8" s="32">
        <f>IF(B98="","",MAX(0,IFERROR(INT(--(INDEX('Form Responses'!$F:$F,ROW())&amp;"")),1)))</f>
        <v/>
      </c>
      <c r="I98" s="32">
        <f>IF(B98="","",MAX(0,IFERROR(INT(--(INDEX('Form Responses'!$G:$G,ROW())&amp;"")),0)))</f>
        <v/>
      </c>
      <c r="J98" s="32">
        <f>IF(B98="","",TRIM(INDEX('Form Responses'!$H:$H,ROW())&amp;""))</f>
        <v/>
      </c>
      <c r="K98" s="32">
        <f>IF(B98="","",TRIM(INDEX('Form Responses'!$I:$I,ROW())&amp;""))</f>
        <v/>
      </c>
      <c r="L98" s="32">
        <f>IF(B98="","",TRIM(INDEX('Form Responses'!$J:$J,ROW())&amp;""))</f>
        <v/>
      </c>
      <c r="M98" s="32">
        <f>IF(B98="","",TRIM(INDEX('Form Responses'!$K:$K,ROW())&amp;""))</f>
        <v/>
      </c>
      <c r="N98" s="32">
        <f>IF(B98="","",IF(E98&lt;&gt;"","P"&amp;E98,"N"&amp;B98))</f>
        <v/>
      </c>
      <c r="O98" s="32">
        <f>IF(N98="",0,IF(COUNTIF(N99:N$602,N98)=0,1,0))</f>
        <v/>
      </c>
      <c r="P98" s="32">
        <f>IF(AND(O98=1,E98&lt;&gt;""),E98,"")</f>
        <v/>
      </c>
      <c r="Q98" s="32">
        <f>IF(O98=1,B98,"")</f>
        <v/>
      </c>
      <c r="R98" s="32">
        <f>IF(O98&lt;&gt;1,"",IF(E98&lt;&gt;"",IFERROR(MATCH(E98,Guests!$S$6:$S$505,0)+5,IFERROR(MATCH(B98,Guests!$A$6:$A$505,0)+5,"")),IFERROR(MATCH(B98,Guests!$A$6:$A$505,0)+5,"")))</f>
        <v/>
      </c>
      <c r="S98" s="32">
        <f>IF(R98="","",TRIM(INDEX(Guests!$E$1:$E$505,R98)&amp;""))</f>
        <v/>
      </c>
      <c r="T98" s="32">
        <f>IF(R98="","",IF(S98="",1,COUNTIF(Guests!$E$6:$E$505,S98)))</f>
        <v/>
      </c>
      <c r="U98" s="32">
        <f>IF(R98="","",IF(S98="",1,IF(COUNTIF(S$1:S97,S98)=0,1,0)))</f>
        <v/>
      </c>
      <c r="V98" s="32">
        <f>IF(AND(R98&lt;&gt;"",G98="Attending",U98=1),MAX(0,H98+I98-T98),0)</f>
        <v/>
      </c>
      <c r="W98" s="32">
        <f>IF(AND(O98=1,R98=""),1,0)</f>
        <v/>
      </c>
      <c r="X98" s="32">
        <f>IF(B98="",0,H98+I98)</f>
        <v/>
      </c>
      <c r="Y98" s="32">
        <f>N(Y97)+O98</f>
        <v/>
      </c>
      <c r="Z98" s="32">
        <f>IF(O98=1,Y98,"")</f>
        <v/>
      </c>
      <c r="AA98" s="32">
        <f>IF(AND(W98=1,G98="Not sure yet"),1,0)</f>
        <v/>
      </c>
      <c r="AB98" s="32">
        <f>N(AB97)+AA98</f>
        <v/>
      </c>
      <c r="AC98" s="32">
        <f>IF(AA98=1,AB98,"")</f>
        <v/>
      </c>
      <c r="AD98" s="32">
        <f>IF(D98="","",IF(LEN(D98)=10,"+1"&amp;D98,IF(AND(LEN(D98)=11,LEFT(D98,1)="1"),"+"&amp;D98,IF(LEFT(C98,1)="+","+"&amp;D98,D98))))</f>
        <v/>
      </c>
      <c r="AE98" s="32">
        <f>IF(B98="","",PROPER(IFERROR(LEFT(B98,FIND(" ",B98)-1),B98)))</f>
        <v/>
      </c>
      <c r="AF98" s="32">
        <f>SUBSTITUTE(SUBSTITUTE(SUBSTITUTE(SUBSTITUTE(SUBSTITUTE(SUBSTITUTE(SUBSTITUTE(SUBSTITUTE(SUBSTITUTE(SUBSTITUTE(AE98,"%","%25"),"&amp;","%26"),"#","%23"),"+","%2B"),"=","%3D"),"?","%3F"),CHAR(34),"%22"),CHAR(10),"%0A"),CHAR(13),"")," ","+")</f>
        <v/>
      </c>
      <c r="AG98" s="32">
        <f>IF(OR(AD98="",AE98=""),"",'Start Here'!$B$20&amp;"#p="&amp;SUBSTITUTE(AD98,"+","%2B")&amp;"&amp;n="&amp;AF98&amp;"&amp;m="&amp;SUBSTITUTE('Start Here'!$B$24,"{name}",AF98))</f>
        <v/>
      </c>
      <c r="AH98" s="32">
        <f>N(AH97)+W98</f>
        <v/>
      </c>
      <c r="AI98" s="32">
        <f>IF(W98=1,AH98,"")</f>
        <v/>
      </c>
    </row>
    <row r="99">
      <c r="A99" s="32">
        <f>IF(INDEX('Form Responses'!$A:$A,ROW())="","",INDEX('Form Responses'!$A:$A,ROW()))</f>
        <v/>
      </c>
      <c r="B99" s="32">
        <f>TRIM(INDEX('Form Responses'!$B:$B,ROW())&amp;"")</f>
        <v/>
      </c>
      <c r="C99" s="32">
        <f>IF(B99="","",TRIM(INDEX('Form Responses'!$C:$C,ROW())&amp;""))</f>
        <v/>
      </c>
      <c r="D99" s="32">
        <f>SUBSTITUTE(SUBSTITUTE(SUBSTITUTE(SUBSTITUTE(SUBSTITUTE(SUBSTITUTE(SUBSTITUTE(SUBSTITUTE(C99," ",""),"-",""),"(",""),")",""),".",""),"+",""),"/",""),CHAR(160),"")</f>
        <v/>
      </c>
      <c r="E99" s="32">
        <f>IF(LEN(D99)&gt;=10,RIGHT(D99,10),D99)</f>
        <v/>
      </c>
      <c r="F99" s="32">
        <f>IF(B99="","",TRIM(INDEX('Form Responses'!$D:$D,ROW())&amp;""))</f>
        <v/>
      </c>
      <c r="G99" s="32">
        <f>IF(B99="","",IF(LEFT(TRIM(INDEX('Form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99" s="32">
        <f>IF(B99="","",MAX(0,IFERROR(INT(--(INDEX('Form Responses'!$F:$F,ROW())&amp;"")),1)))</f>
        <v/>
      </c>
      <c r="I99" s="32">
        <f>IF(B99="","",MAX(0,IFERROR(INT(--(INDEX('Form Responses'!$G:$G,ROW())&amp;"")),0)))</f>
        <v/>
      </c>
      <c r="J99" s="32">
        <f>IF(B99="","",TRIM(INDEX('Form Responses'!$H:$H,ROW())&amp;""))</f>
        <v/>
      </c>
      <c r="K99" s="32">
        <f>IF(B99="","",TRIM(INDEX('Form Responses'!$I:$I,ROW())&amp;""))</f>
        <v/>
      </c>
      <c r="L99" s="32">
        <f>IF(B99="","",TRIM(INDEX('Form Responses'!$J:$J,ROW())&amp;""))</f>
        <v/>
      </c>
      <c r="M99" s="32">
        <f>IF(B99="","",TRIM(INDEX('Form Responses'!$K:$K,ROW())&amp;""))</f>
        <v/>
      </c>
      <c r="N99" s="32">
        <f>IF(B99="","",IF(E99&lt;&gt;"","P"&amp;E99,"N"&amp;B99))</f>
        <v/>
      </c>
      <c r="O99" s="32">
        <f>IF(N99="",0,IF(COUNTIF(N100:N$602,N99)=0,1,0))</f>
        <v/>
      </c>
      <c r="P99" s="32">
        <f>IF(AND(O99=1,E99&lt;&gt;""),E99,"")</f>
        <v/>
      </c>
      <c r="Q99" s="32">
        <f>IF(O99=1,B99,"")</f>
        <v/>
      </c>
      <c r="R99" s="32">
        <f>IF(O99&lt;&gt;1,"",IF(E99&lt;&gt;"",IFERROR(MATCH(E99,Guests!$S$6:$S$505,0)+5,IFERROR(MATCH(B99,Guests!$A$6:$A$505,0)+5,"")),IFERROR(MATCH(B99,Guests!$A$6:$A$505,0)+5,"")))</f>
        <v/>
      </c>
      <c r="S99" s="32">
        <f>IF(R99="","",TRIM(INDEX(Guests!$E$1:$E$505,R99)&amp;""))</f>
        <v/>
      </c>
      <c r="T99" s="32">
        <f>IF(R99="","",IF(S99="",1,COUNTIF(Guests!$E$6:$E$505,S99)))</f>
        <v/>
      </c>
      <c r="U99" s="32">
        <f>IF(R99="","",IF(S99="",1,IF(COUNTIF(S$1:S98,S99)=0,1,0)))</f>
        <v/>
      </c>
      <c r="V99" s="32">
        <f>IF(AND(R99&lt;&gt;"",G99="Attending",U99=1),MAX(0,H99+I99-T99),0)</f>
        <v/>
      </c>
      <c r="W99" s="32">
        <f>IF(AND(O99=1,R99=""),1,0)</f>
        <v/>
      </c>
      <c r="X99" s="32">
        <f>IF(B99="",0,H99+I99)</f>
        <v/>
      </c>
      <c r="Y99" s="32">
        <f>N(Y98)+O99</f>
        <v/>
      </c>
      <c r="Z99" s="32">
        <f>IF(O99=1,Y99,"")</f>
        <v/>
      </c>
      <c r="AA99" s="32">
        <f>IF(AND(W99=1,G99="Not sure yet"),1,0)</f>
        <v/>
      </c>
      <c r="AB99" s="32">
        <f>N(AB98)+AA99</f>
        <v/>
      </c>
      <c r="AC99" s="32">
        <f>IF(AA99=1,AB99,"")</f>
        <v/>
      </c>
      <c r="AD99" s="32">
        <f>IF(D99="","",IF(LEN(D99)=10,"+1"&amp;D99,IF(AND(LEN(D99)=11,LEFT(D99,1)="1"),"+"&amp;D99,IF(LEFT(C99,1)="+","+"&amp;D99,D99))))</f>
        <v/>
      </c>
      <c r="AE99" s="32">
        <f>IF(B99="","",PROPER(IFERROR(LEFT(B99,FIND(" ",B99)-1),B99)))</f>
        <v/>
      </c>
      <c r="AF99" s="32">
        <f>SUBSTITUTE(SUBSTITUTE(SUBSTITUTE(SUBSTITUTE(SUBSTITUTE(SUBSTITUTE(SUBSTITUTE(SUBSTITUTE(SUBSTITUTE(SUBSTITUTE(AE99,"%","%25"),"&amp;","%26"),"#","%23"),"+","%2B"),"=","%3D"),"?","%3F"),CHAR(34),"%22"),CHAR(10),"%0A"),CHAR(13),"")," ","+")</f>
        <v/>
      </c>
      <c r="AG99" s="32">
        <f>IF(OR(AD99="",AE99=""),"",'Start Here'!$B$20&amp;"#p="&amp;SUBSTITUTE(AD99,"+","%2B")&amp;"&amp;n="&amp;AF99&amp;"&amp;m="&amp;SUBSTITUTE('Start Here'!$B$24,"{name}",AF99))</f>
        <v/>
      </c>
      <c r="AH99" s="32">
        <f>N(AH98)+W99</f>
        <v/>
      </c>
      <c r="AI99" s="32">
        <f>IF(W99=1,AH99,"")</f>
        <v/>
      </c>
    </row>
    <row r="100">
      <c r="A100" s="32">
        <f>IF(INDEX('Form Responses'!$A:$A,ROW())="","",INDEX('Form Responses'!$A:$A,ROW()))</f>
        <v/>
      </c>
      <c r="B100" s="32">
        <f>TRIM(INDEX('Form Responses'!$B:$B,ROW())&amp;"")</f>
        <v/>
      </c>
      <c r="C100" s="32">
        <f>IF(B100="","",TRIM(INDEX('Form Responses'!$C:$C,ROW())&amp;""))</f>
        <v/>
      </c>
      <c r="D100" s="32">
        <f>SUBSTITUTE(SUBSTITUTE(SUBSTITUTE(SUBSTITUTE(SUBSTITUTE(SUBSTITUTE(SUBSTITUTE(SUBSTITUTE(C100," ",""),"-",""),"(",""),")",""),".",""),"+",""),"/",""),CHAR(160),"")</f>
        <v/>
      </c>
      <c r="E100" s="32">
        <f>IF(LEN(D100)&gt;=10,RIGHT(D100,10),D100)</f>
        <v/>
      </c>
      <c r="F100" s="32">
        <f>IF(B100="","",TRIM(INDEX('Form Responses'!$D:$D,ROW())&amp;""))</f>
        <v/>
      </c>
      <c r="G100" s="32">
        <f>IF(B100="","",IF(LEFT(TRIM(INDEX('Form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0" s="32">
        <f>IF(B100="","",MAX(0,IFERROR(INT(--(INDEX('Form Responses'!$F:$F,ROW())&amp;"")),1)))</f>
        <v/>
      </c>
      <c r="I100" s="32">
        <f>IF(B100="","",MAX(0,IFERROR(INT(--(INDEX('Form Responses'!$G:$G,ROW())&amp;"")),0)))</f>
        <v/>
      </c>
      <c r="J100" s="32">
        <f>IF(B100="","",TRIM(INDEX('Form Responses'!$H:$H,ROW())&amp;""))</f>
        <v/>
      </c>
      <c r="K100" s="32">
        <f>IF(B100="","",TRIM(INDEX('Form Responses'!$I:$I,ROW())&amp;""))</f>
        <v/>
      </c>
      <c r="L100" s="32">
        <f>IF(B100="","",TRIM(INDEX('Form Responses'!$J:$J,ROW())&amp;""))</f>
        <v/>
      </c>
      <c r="M100" s="32">
        <f>IF(B100="","",TRIM(INDEX('Form Responses'!$K:$K,ROW())&amp;""))</f>
        <v/>
      </c>
      <c r="N100" s="32">
        <f>IF(B100="","",IF(E100&lt;&gt;"","P"&amp;E100,"N"&amp;B100))</f>
        <v/>
      </c>
      <c r="O100" s="32">
        <f>IF(N100="",0,IF(COUNTIF(N101:N$602,N100)=0,1,0))</f>
        <v/>
      </c>
      <c r="P100" s="32">
        <f>IF(AND(O100=1,E100&lt;&gt;""),E100,"")</f>
        <v/>
      </c>
      <c r="Q100" s="32">
        <f>IF(O100=1,B100,"")</f>
        <v/>
      </c>
      <c r="R100" s="32">
        <f>IF(O100&lt;&gt;1,"",IF(E100&lt;&gt;"",IFERROR(MATCH(E100,Guests!$S$6:$S$505,0)+5,IFERROR(MATCH(B100,Guests!$A$6:$A$505,0)+5,"")),IFERROR(MATCH(B100,Guests!$A$6:$A$505,0)+5,"")))</f>
        <v/>
      </c>
      <c r="S100" s="32">
        <f>IF(R100="","",TRIM(INDEX(Guests!$E$1:$E$505,R100)&amp;""))</f>
        <v/>
      </c>
      <c r="T100" s="32">
        <f>IF(R100="","",IF(S100="",1,COUNTIF(Guests!$E$6:$E$505,S100)))</f>
        <v/>
      </c>
      <c r="U100" s="32">
        <f>IF(R100="","",IF(S100="",1,IF(COUNTIF(S$1:S99,S100)=0,1,0)))</f>
        <v/>
      </c>
      <c r="V100" s="32">
        <f>IF(AND(R100&lt;&gt;"",G100="Attending",U100=1),MAX(0,H100+I100-T100),0)</f>
        <v/>
      </c>
      <c r="W100" s="32">
        <f>IF(AND(O100=1,R100=""),1,0)</f>
        <v/>
      </c>
      <c r="X100" s="32">
        <f>IF(B100="",0,H100+I100)</f>
        <v/>
      </c>
      <c r="Y100" s="32">
        <f>N(Y99)+O100</f>
        <v/>
      </c>
      <c r="Z100" s="32">
        <f>IF(O100=1,Y100,"")</f>
        <v/>
      </c>
      <c r="AA100" s="32">
        <f>IF(AND(W100=1,G100="Not sure yet"),1,0)</f>
        <v/>
      </c>
      <c r="AB100" s="32">
        <f>N(AB99)+AA100</f>
        <v/>
      </c>
      <c r="AC100" s="32">
        <f>IF(AA100=1,AB100,"")</f>
        <v/>
      </c>
      <c r="AD100" s="32">
        <f>IF(D100="","",IF(LEN(D100)=10,"+1"&amp;D100,IF(AND(LEN(D100)=11,LEFT(D100,1)="1"),"+"&amp;D100,IF(LEFT(C100,1)="+","+"&amp;D100,D100))))</f>
        <v/>
      </c>
      <c r="AE100" s="32">
        <f>IF(B100="","",PROPER(IFERROR(LEFT(B100,FIND(" ",B100)-1),B100)))</f>
        <v/>
      </c>
      <c r="AF100" s="32">
        <f>SUBSTITUTE(SUBSTITUTE(SUBSTITUTE(SUBSTITUTE(SUBSTITUTE(SUBSTITUTE(SUBSTITUTE(SUBSTITUTE(SUBSTITUTE(SUBSTITUTE(AE100,"%","%25"),"&amp;","%26"),"#","%23"),"+","%2B"),"=","%3D"),"?","%3F"),CHAR(34),"%22"),CHAR(10),"%0A"),CHAR(13),"")," ","+")</f>
        <v/>
      </c>
      <c r="AG100" s="32">
        <f>IF(OR(AD100="",AE100=""),"",'Start Here'!$B$20&amp;"#p="&amp;SUBSTITUTE(AD100,"+","%2B")&amp;"&amp;n="&amp;AF100&amp;"&amp;m="&amp;SUBSTITUTE('Start Here'!$B$24,"{name}",AF100))</f>
        <v/>
      </c>
      <c r="AH100" s="32">
        <f>N(AH99)+W100</f>
        <v/>
      </c>
      <c r="AI100" s="32">
        <f>IF(W100=1,AH100,"")</f>
        <v/>
      </c>
    </row>
    <row r="101">
      <c r="A101" s="32">
        <f>IF(INDEX('Form Responses'!$A:$A,ROW())="","",INDEX('Form Responses'!$A:$A,ROW()))</f>
        <v/>
      </c>
      <c r="B101" s="32">
        <f>TRIM(INDEX('Form Responses'!$B:$B,ROW())&amp;"")</f>
        <v/>
      </c>
      <c r="C101" s="32">
        <f>IF(B101="","",TRIM(INDEX('Form Responses'!$C:$C,ROW())&amp;""))</f>
        <v/>
      </c>
      <c r="D101" s="32">
        <f>SUBSTITUTE(SUBSTITUTE(SUBSTITUTE(SUBSTITUTE(SUBSTITUTE(SUBSTITUTE(SUBSTITUTE(SUBSTITUTE(C101," ",""),"-",""),"(",""),")",""),".",""),"+",""),"/",""),CHAR(160),"")</f>
        <v/>
      </c>
      <c r="E101" s="32">
        <f>IF(LEN(D101)&gt;=10,RIGHT(D101,10),D101)</f>
        <v/>
      </c>
      <c r="F101" s="32">
        <f>IF(B101="","",TRIM(INDEX('Form Responses'!$D:$D,ROW())&amp;""))</f>
        <v/>
      </c>
      <c r="G101" s="32">
        <f>IF(B101="","",IF(LEFT(TRIM(INDEX('Form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1" s="32">
        <f>IF(B101="","",MAX(0,IFERROR(INT(--(INDEX('Form Responses'!$F:$F,ROW())&amp;"")),1)))</f>
        <v/>
      </c>
      <c r="I101" s="32">
        <f>IF(B101="","",MAX(0,IFERROR(INT(--(INDEX('Form Responses'!$G:$G,ROW())&amp;"")),0)))</f>
        <v/>
      </c>
      <c r="J101" s="32">
        <f>IF(B101="","",TRIM(INDEX('Form Responses'!$H:$H,ROW())&amp;""))</f>
        <v/>
      </c>
      <c r="K101" s="32">
        <f>IF(B101="","",TRIM(INDEX('Form Responses'!$I:$I,ROW())&amp;""))</f>
        <v/>
      </c>
      <c r="L101" s="32">
        <f>IF(B101="","",TRIM(INDEX('Form Responses'!$J:$J,ROW())&amp;""))</f>
        <v/>
      </c>
      <c r="M101" s="32">
        <f>IF(B101="","",TRIM(INDEX('Form Responses'!$K:$K,ROW())&amp;""))</f>
        <v/>
      </c>
      <c r="N101" s="32">
        <f>IF(B101="","",IF(E101&lt;&gt;"","P"&amp;E101,"N"&amp;B101))</f>
        <v/>
      </c>
      <c r="O101" s="32">
        <f>IF(N101="",0,IF(COUNTIF(N102:N$602,N101)=0,1,0))</f>
        <v/>
      </c>
      <c r="P101" s="32">
        <f>IF(AND(O101=1,E101&lt;&gt;""),E101,"")</f>
        <v/>
      </c>
      <c r="Q101" s="32">
        <f>IF(O101=1,B101,"")</f>
        <v/>
      </c>
      <c r="R101" s="32">
        <f>IF(O101&lt;&gt;1,"",IF(E101&lt;&gt;"",IFERROR(MATCH(E101,Guests!$S$6:$S$505,0)+5,IFERROR(MATCH(B101,Guests!$A$6:$A$505,0)+5,"")),IFERROR(MATCH(B101,Guests!$A$6:$A$505,0)+5,"")))</f>
        <v/>
      </c>
      <c r="S101" s="32">
        <f>IF(R101="","",TRIM(INDEX(Guests!$E$1:$E$505,R101)&amp;""))</f>
        <v/>
      </c>
      <c r="T101" s="32">
        <f>IF(R101="","",IF(S101="",1,COUNTIF(Guests!$E$6:$E$505,S101)))</f>
        <v/>
      </c>
      <c r="U101" s="32">
        <f>IF(R101="","",IF(S101="",1,IF(COUNTIF(S$1:S100,S101)=0,1,0)))</f>
        <v/>
      </c>
      <c r="V101" s="32">
        <f>IF(AND(R101&lt;&gt;"",G101="Attending",U101=1),MAX(0,H101+I101-T101),0)</f>
        <v/>
      </c>
      <c r="W101" s="32">
        <f>IF(AND(O101=1,R101=""),1,0)</f>
        <v/>
      </c>
      <c r="X101" s="32">
        <f>IF(B101="",0,H101+I101)</f>
        <v/>
      </c>
      <c r="Y101" s="32">
        <f>N(Y100)+O101</f>
        <v/>
      </c>
      <c r="Z101" s="32">
        <f>IF(O101=1,Y101,"")</f>
        <v/>
      </c>
      <c r="AA101" s="32">
        <f>IF(AND(W101=1,G101="Not sure yet"),1,0)</f>
        <v/>
      </c>
      <c r="AB101" s="32">
        <f>N(AB100)+AA101</f>
        <v/>
      </c>
      <c r="AC101" s="32">
        <f>IF(AA101=1,AB101,"")</f>
        <v/>
      </c>
      <c r="AD101" s="32">
        <f>IF(D101="","",IF(LEN(D101)=10,"+1"&amp;D101,IF(AND(LEN(D101)=11,LEFT(D101,1)="1"),"+"&amp;D101,IF(LEFT(C101,1)="+","+"&amp;D101,D101))))</f>
        <v/>
      </c>
      <c r="AE101" s="32">
        <f>IF(B101="","",PROPER(IFERROR(LEFT(B101,FIND(" ",B101)-1),B101)))</f>
        <v/>
      </c>
      <c r="AF101" s="32">
        <f>SUBSTITUTE(SUBSTITUTE(SUBSTITUTE(SUBSTITUTE(SUBSTITUTE(SUBSTITUTE(SUBSTITUTE(SUBSTITUTE(SUBSTITUTE(SUBSTITUTE(AE101,"%","%25"),"&amp;","%26"),"#","%23"),"+","%2B"),"=","%3D"),"?","%3F"),CHAR(34),"%22"),CHAR(10),"%0A"),CHAR(13),"")," ","+")</f>
        <v/>
      </c>
      <c r="AG101" s="32">
        <f>IF(OR(AD101="",AE101=""),"",'Start Here'!$B$20&amp;"#p="&amp;SUBSTITUTE(AD101,"+","%2B")&amp;"&amp;n="&amp;AF101&amp;"&amp;m="&amp;SUBSTITUTE('Start Here'!$B$24,"{name}",AF101))</f>
        <v/>
      </c>
      <c r="AH101" s="32">
        <f>N(AH100)+W101</f>
        <v/>
      </c>
      <c r="AI101" s="32">
        <f>IF(W101=1,AH101,"")</f>
        <v/>
      </c>
    </row>
    <row r="102">
      <c r="A102" s="32">
        <f>IF(INDEX('Form Responses'!$A:$A,ROW())="","",INDEX('Form Responses'!$A:$A,ROW()))</f>
        <v/>
      </c>
      <c r="B102" s="32">
        <f>TRIM(INDEX('Form Responses'!$B:$B,ROW())&amp;"")</f>
        <v/>
      </c>
      <c r="C102" s="32">
        <f>IF(B102="","",TRIM(INDEX('Form Responses'!$C:$C,ROW())&amp;""))</f>
        <v/>
      </c>
      <c r="D102" s="32">
        <f>SUBSTITUTE(SUBSTITUTE(SUBSTITUTE(SUBSTITUTE(SUBSTITUTE(SUBSTITUTE(SUBSTITUTE(SUBSTITUTE(C102," ",""),"-",""),"(",""),")",""),".",""),"+",""),"/",""),CHAR(160),"")</f>
        <v/>
      </c>
      <c r="E102" s="32">
        <f>IF(LEN(D102)&gt;=10,RIGHT(D102,10),D102)</f>
        <v/>
      </c>
      <c r="F102" s="32">
        <f>IF(B102="","",TRIM(INDEX('Form Responses'!$D:$D,ROW())&amp;""))</f>
        <v/>
      </c>
      <c r="G102" s="32">
        <f>IF(B102="","",IF(LEFT(TRIM(INDEX('Form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2" s="32">
        <f>IF(B102="","",MAX(0,IFERROR(INT(--(INDEX('Form Responses'!$F:$F,ROW())&amp;"")),1)))</f>
        <v/>
      </c>
      <c r="I102" s="32">
        <f>IF(B102="","",MAX(0,IFERROR(INT(--(INDEX('Form Responses'!$G:$G,ROW())&amp;"")),0)))</f>
        <v/>
      </c>
      <c r="J102" s="32">
        <f>IF(B102="","",TRIM(INDEX('Form Responses'!$H:$H,ROW())&amp;""))</f>
        <v/>
      </c>
      <c r="K102" s="32">
        <f>IF(B102="","",TRIM(INDEX('Form Responses'!$I:$I,ROW())&amp;""))</f>
        <v/>
      </c>
      <c r="L102" s="32">
        <f>IF(B102="","",TRIM(INDEX('Form Responses'!$J:$J,ROW())&amp;""))</f>
        <v/>
      </c>
      <c r="M102" s="32">
        <f>IF(B102="","",TRIM(INDEX('Form Responses'!$K:$K,ROW())&amp;""))</f>
        <v/>
      </c>
      <c r="N102" s="32">
        <f>IF(B102="","",IF(E102&lt;&gt;"","P"&amp;E102,"N"&amp;B102))</f>
        <v/>
      </c>
      <c r="O102" s="32">
        <f>IF(N102="",0,IF(COUNTIF(N103:N$602,N102)=0,1,0))</f>
        <v/>
      </c>
      <c r="P102" s="32">
        <f>IF(AND(O102=1,E102&lt;&gt;""),E102,"")</f>
        <v/>
      </c>
      <c r="Q102" s="32">
        <f>IF(O102=1,B102,"")</f>
        <v/>
      </c>
      <c r="R102" s="32">
        <f>IF(O102&lt;&gt;1,"",IF(E102&lt;&gt;"",IFERROR(MATCH(E102,Guests!$S$6:$S$505,0)+5,IFERROR(MATCH(B102,Guests!$A$6:$A$505,0)+5,"")),IFERROR(MATCH(B102,Guests!$A$6:$A$505,0)+5,"")))</f>
        <v/>
      </c>
      <c r="S102" s="32">
        <f>IF(R102="","",TRIM(INDEX(Guests!$E$1:$E$505,R102)&amp;""))</f>
        <v/>
      </c>
      <c r="T102" s="32">
        <f>IF(R102="","",IF(S102="",1,COUNTIF(Guests!$E$6:$E$505,S102)))</f>
        <v/>
      </c>
      <c r="U102" s="32">
        <f>IF(R102="","",IF(S102="",1,IF(COUNTIF(S$1:S101,S102)=0,1,0)))</f>
        <v/>
      </c>
      <c r="V102" s="32">
        <f>IF(AND(R102&lt;&gt;"",G102="Attending",U102=1),MAX(0,H102+I102-T102),0)</f>
        <v/>
      </c>
      <c r="W102" s="32">
        <f>IF(AND(O102=1,R102=""),1,0)</f>
        <v/>
      </c>
      <c r="X102" s="32">
        <f>IF(B102="",0,H102+I102)</f>
        <v/>
      </c>
      <c r="Y102" s="32">
        <f>N(Y101)+O102</f>
        <v/>
      </c>
      <c r="Z102" s="32">
        <f>IF(O102=1,Y102,"")</f>
        <v/>
      </c>
      <c r="AA102" s="32">
        <f>IF(AND(W102=1,G102="Not sure yet"),1,0)</f>
        <v/>
      </c>
      <c r="AB102" s="32">
        <f>N(AB101)+AA102</f>
        <v/>
      </c>
      <c r="AC102" s="32">
        <f>IF(AA102=1,AB102,"")</f>
        <v/>
      </c>
      <c r="AD102" s="32">
        <f>IF(D102="","",IF(LEN(D102)=10,"+1"&amp;D102,IF(AND(LEN(D102)=11,LEFT(D102,1)="1"),"+"&amp;D102,IF(LEFT(C102,1)="+","+"&amp;D102,D102))))</f>
        <v/>
      </c>
      <c r="AE102" s="32">
        <f>IF(B102="","",PROPER(IFERROR(LEFT(B102,FIND(" ",B102)-1),B102)))</f>
        <v/>
      </c>
      <c r="AF102" s="32">
        <f>SUBSTITUTE(SUBSTITUTE(SUBSTITUTE(SUBSTITUTE(SUBSTITUTE(SUBSTITUTE(SUBSTITUTE(SUBSTITUTE(SUBSTITUTE(SUBSTITUTE(AE102,"%","%25"),"&amp;","%26"),"#","%23"),"+","%2B"),"=","%3D"),"?","%3F"),CHAR(34),"%22"),CHAR(10),"%0A"),CHAR(13),"")," ","+")</f>
        <v/>
      </c>
      <c r="AG102" s="32">
        <f>IF(OR(AD102="",AE102=""),"",'Start Here'!$B$20&amp;"#p="&amp;SUBSTITUTE(AD102,"+","%2B")&amp;"&amp;n="&amp;AF102&amp;"&amp;m="&amp;SUBSTITUTE('Start Here'!$B$24,"{name}",AF102))</f>
        <v/>
      </c>
      <c r="AH102" s="32">
        <f>N(AH101)+W102</f>
        <v/>
      </c>
      <c r="AI102" s="32">
        <f>IF(W102=1,AH102,"")</f>
        <v/>
      </c>
    </row>
    <row r="103">
      <c r="A103" s="32">
        <f>IF(INDEX('Form Responses'!$A:$A,ROW())="","",INDEX('Form Responses'!$A:$A,ROW()))</f>
        <v/>
      </c>
      <c r="B103" s="32">
        <f>TRIM(INDEX('Form Responses'!$B:$B,ROW())&amp;"")</f>
        <v/>
      </c>
      <c r="C103" s="32">
        <f>IF(B103="","",TRIM(INDEX('Form Responses'!$C:$C,ROW())&amp;""))</f>
        <v/>
      </c>
      <c r="D103" s="32">
        <f>SUBSTITUTE(SUBSTITUTE(SUBSTITUTE(SUBSTITUTE(SUBSTITUTE(SUBSTITUTE(SUBSTITUTE(SUBSTITUTE(C103," ",""),"-",""),"(",""),")",""),".",""),"+",""),"/",""),CHAR(160),"")</f>
        <v/>
      </c>
      <c r="E103" s="32">
        <f>IF(LEN(D103)&gt;=10,RIGHT(D103,10),D103)</f>
        <v/>
      </c>
      <c r="F103" s="32">
        <f>IF(B103="","",TRIM(INDEX('Form Responses'!$D:$D,ROW())&amp;""))</f>
        <v/>
      </c>
      <c r="G103" s="32">
        <f>IF(B103="","",IF(LEFT(TRIM(INDEX('Form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3" s="32">
        <f>IF(B103="","",MAX(0,IFERROR(INT(--(INDEX('Form Responses'!$F:$F,ROW())&amp;"")),1)))</f>
        <v/>
      </c>
      <c r="I103" s="32">
        <f>IF(B103="","",MAX(0,IFERROR(INT(--(INDEX('Form Responses'!$G:$G,ROW())&amp;"")),0)))</f>
        <v/>
      </c>
      <c r="J103" s="32">
        <f>IF(B103="","",TRIM(INDEX('Form Responses'!$H:$H,ROW())&amp;""))</f>
        <v/>
      </c>
      <c r="K103" s="32">
        <f>IF(B103="","",TRIM(INDEX('Form Responses'!$I:$I,ROW())&amp;""))</f>
        <v/>
      </c>
      <c r="L103" s="32">
        <f>IF(B103="","",TRIM(INDEX('Form Responses'!$J:$J,ROW())&amp;""))</f>
        <v/>
      </c>
      <c r="M103" s="32">
        <f>IF(B103="","",TRIM(INDEX('Form Responses'!$K:$K,ROW())&amp;""))</f>
        <v/>
      </c>
      <c r="N103" s="32">
        <f>IF(B103="","",IF(E103&lt;&gt;"","P"&amp;E103,"N"&amp;B103))</f>
        <v/>
      </c>
      <c r="O103" s="32">
        <f>IF(N103="",0,IF(COUNTIF(N104:N$602,N103)=0,1,0))</f>
        <v/>
      </c>
      <c r="P103" s="32">
        <f>IF(AND(O103=1,E103&lt;&gt;""),E103,"")</f>
        <v/>
      </c>
      <c r="Q103" s="32">
        <f>IF(O103=1,B103,"")</f>
        <v/>
      </c>
      <c r="R103" s="32">
        <f>IF(O103&lt;&gt;1,"",IF(E103&lt;&gt;"",IFERROR(MATCH(E103,Guests!$S$6:$S$505,0)+5,IFERROR(MATCH(B103,Guests!$A$6:$A$505,0)+5,"")),IFERROR(MATCH(B103,Guests!$A$6:$A$505,0)+5,"")))</f>
        <v/>
      </c>
      <c r="S103" s="32">
        <f>IF(R103="","",TRIM(INDEX(Guests!$E$1:$E$505,R103)&amp;""))</f>
        <v/>
      </c>
      <c r="T103" s="32">
        <f>IF(R103="","",IF(S103="",1,COUNTIF(Guests!$E$6:$E$505,S103)))</f>
        <v/>
      </c>
      <c r="U103" s="32">
        <f>IF(R103="","",IF(S103="",1,IF(COUNTIF(S$1:S102,S103)=0,1,0)))</f>
        <v/>
      </c>
      <c r="V103" s="32">
        <f>IF(AND(R103&lt;&gt;"",G103="Attending",U103=1),MAX(0,H103+I103-T103),0)</f>
        <v/>
      </c>
      <c r="W103" s="32">
        <f>IF(AND(O103=1,R103=""),1,0)</f>
        <v/>
      </c>
      <c r="X103" s="32">
        <f>IF(B103="",0,H103+I103)</f>
        <v/>
      </c>
      <c r="Y103" s="32">
        <f>N(Y102)+O103</f>
        <v/>
      </c>
      <c r="Z103" s="32">
        <f>IF(O103=1,Y103,"")</f>
        <v/>
      </c>
      <c r="AA103" s="32">
        <f>IF(AND(W103=1,G103="Not sure yet"),1,0)</f>
        <v/>
      </c>
      <c r="AB103" s="32">
        <f>N(AB102)+AA103</f>
        <v/>
      </c>
      <c r="AC103" s="32">
        <f>IF(AA103=1,AB103,"")</f>
        <v/>
      </c>
      <c r="AD103" s="32">
        <f>IF(D103="","",IF(LEN(D103)=10,"+1"&amp;D103,IF(AND(LEN(D103)=11,LEFT(D103,1)="1"),"+"&amp;D103,IF(LEFT(C103,1)="+","+"&amp;D103,D103))))</f>
        <v/>
      </c>
      <c r="AE103" s="32">
        <f>IF(B103="","",PROPER(IFERROR(LEFT(B103,FIND(" ",B103)-1),B103)))</f>
        <v/>
      </c>
      <c r="AF103" s="32">
        <f>SUBSTITUTE(SUBSTITUTE(SUBSTITUTE(SUBSTITUTE(SUBSTITUTE(SUBSTITUTE(SUBSTITUTE(SUBSTITUTE(SUBSTITUTE(SUBSTITUTE(AE103,"%","%25"),"&amp;","%26"),"#","%23"),"+","%2B"),"=","%3D"),"?","%3F"),CHAR(34),"%22"),CHAR(10),"%0A"),CHAR(13),"")," ","+")</f>
        <v/>
      </c>
      <c r="AG103" s="32">
        <f>IF(OR(AD103="",AE103=""),"",'Start Here'!$B$20&amp;"#p="&amp;SUBSTITUTE(AD103,"+","%2B")&amp;"&amp;n="&amp;AF103&amp;"&amp;m="&amp;SUBSTITUTE('Start Here'!$B$24,"{name}",AF103))</f>
        <v/>
      </c>
      <c r="AH103" s="32">
        <f>N(AH102)+W103</f>
        <v/>
      </c>
      <c r="AI103" s="32">
        <f>IF(W103=1,AH103,"")</f>
        <v/>
      </c>
    </row>
    <row r="104">
      <c r="A104" s="32">
        <f>IF(INDEX('Form Responses'!$A:$A,ROW())="","",INDEX('Form Responses'!$A:$A,ROW()))</f>
        <v/>
      </c>
      <c r="B104" s="32">
        <f>TRIM(INDEX('Form Responses'!$B:$B,ROW())&amp;"")</f>
        <v/>
      </c>
      <c r="C104" s="32">
        <f>IF(B104="","",TRIM(INDEX('Form Responses'!$C:$C,ROW())&amp;""))</f>
        <v/>
      </c>
      <c r="D104" s="32">
        <f>SUBSTITUTE(SUBSTITUTE(SUBSTITUTE(SUBSTITUTE(SUBSTITUTE(SUBSTITUTE(SUBSTITUTE(SUBSTITUTE(C104," ",""),"-",""),"(",""),")",""),".",""),"+",""),"/",""),CHAR(160),"")</f>
        <v/>
      </c>
      <c r="E104" s="32">
        <f>IF(LEN(D104)&gt;=10,RIGHT(D104,10),D104)</f>
        <v/>
      </c>
      <c r="F104" s="32">
        <f>IF(B104="","",TRIM(INDEX('Form Responses'!$D:$D,ROW())&amp;""))</f>
        <v/>
      </c>
      <c r="G104" s="32">
        <f>IF(B104="","",IF(LEFT(TRIM(INDEX('Form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4" s="32">
        <f>IF(B104="","",MAX(0,IFERROR(INT(--(INDEX('Form Responses'!$F:$F,ROW())&amp;"")),1)))</f>
        <v/>
      </c>
      <c r="I104" s="32">
        <f>IF(B104="","",MAX(0,IFERROR(INT(--(INDEX('Form Responses'!$G:$G,ROW())&amp;"")),0)))</f>
        <v/>
      </c>
      <c r="J104" s="32">
        <f>IF(B104="","",TRIM(INDEX('Form Responses'!$H:$H,ROW())&amp;""))</f>
        <v/>
      </c>
      <c r="K104" s="32">
        <f>IF(B104="","",TRIM(INDEX('Form Responses'!$I:$I,ROW())&amp;""))</f>
        <v/>
      </c>
      <c r="L104" s="32">
        <f>IF(B104="","",TRIM(INDEX('Form Responses'!$J:$J,ROW())&amp;""))</f>
        <v/>
      </c>
      <c r="M104" s="32">
        <f>IF(B104="","",TRIM(INDEX('Form Responses'!$K:$K,ROW())&amp;""))</f>
        <v/>
      </c>
      <c r="N104" s="32">
        <f>IF(B104="","",IF(E104&lt;&gt;"","P"&amp;E104,"N"&amp;B104))</f>
        <v/>
      </c>
      <c r="O104" s="32">
        <f>IF(N104="",0,IF(COUNTIF(N105:N$602,N104)=0,1,0))</f>
        <v/>
      </c>
      <c r="P104" s="32">
        <f>IF(AND(O104=1,E104&lt;&gt;""),E104,"")</f>
        <v/>
      </c>
      <c r="Q104" s="32">
        <f>IF(O104=1,B104,"")</f>
        <v/>
      </c>
      <c r="R104" s="32">
        <f>IF(O104&lt;&gt;1,"",IF(E104&lt;&gt;"",IFERROR(MATCH(E104,Guests!$S$6:$S$505,0)+5,IFERROR(MATCH(B104,Guests!$A$6:$A$505,0)+5,"")),IFERROR(MATCH(B104,Guests!$A$6:$A$505,0)+5,"")))</f>
        <v/>
      </c>
      <c r="S104" s="32">
        <f>IF(R104="","",TRIM(INDEX(Guests!$E$1:$E$505,R104)&amp;""))</f>
        <v/>
      </c>
      <c r="T104" s="32">
        <f>IF(R104="","",IF(S104="",1,COUNTIF(Guests!$E$6:$E$505,S104)))</f>
        <v/>
      </c>
      <c r="U104" s="32">
        <f>IF(R104="","",IF(S104="",1,IF(COUNTIF(S$1:S103,S104)=0,1,0)))</f>
        <v/>
      </c>
      <c r="V104" s="32">
        <f>IF(AND(R104&lt;&gt;"",G104="Attending",U104=1),MAX(0,H104+I104-T104),0)</f>
        <v/>
      </c>
      <c r="W104" s="32">
        <f>IF(AND(O104=1,R104=""),1,0)</f>
        <v/>
      </c>
      <c r="X104" s="32">
        <f>IF(B104="",0,H104+I104)</f>
        <v/>
      </c>
      <c r="Y104" s="32">
        <f>N(Y103)+O104</f>
        <v/>
      </c>
      <c r="Z104" s="32">
        <f>IF(O104=1,Y104,"")</f>
        <v/>
      </c>
      <c r="AA104" s="32">
        <f>IF(AND(W104=1,G104="Not sure yet"),1,0)</f>
        <v/>
      </c>
      <c r="AB104" s="32">
        <f>N(AB103)+AA104</f>
        <v/>
      </c>
      <c r="AC104" s="32">
        <f>IF(AA104=1,AB104,"")</f>
        <v/>
      </c>
      <c r="AD104" s="32">
        <f>IF(D104="","",IF(LEN(D104)=10,"+1"&amp;D104,IF(AND(LEN(D104)=11,LEFT(D104,1)="1"),"+"&amp;D104,IF(LEFT(C104,1)="+","+"&amp;D104,D104))))</f>
        <v/>
      </c>
      <c r="AE104" s="32">
        <f>IF(B104="","",PROPER(IFERROR(LEFT(B104,FIND(" ",B104)-1),B104)))</f>
        <v/>
      </c>
      <c r="AF104" s="32">
        <f>SUBSTITUTE(SUBSTITUTE(SUBSTITUTE(SUBSTITUTE(SUBSTITUTE(SUBSTITUTE(SUBSTITUTE(SUBSTITUTE(SUBSTITUTE(SUBSTITUTE(AE104,"%","%25"),"&amp;","%26"),"#","%23"),"+","%2B"),"=","%3D"),"?","%3F"),CHAR(34),"%22"),CHAR(10),"%0A"),CHAR(13),"")," ","+")</f>
        <v/>
      </c>
      <c r="AG104" s="32">
        <f>IF(OR(AD104="",AE104=""),"",'Start Here'!$B$20&amp;"#p="&amp;SUBSTITUTE(AD104,"+","%2B")&amp;"&amp;n="&amp;AF104&amp;"&amp;m="&amp;SUBSTITUTE('Start Here'!$B$24,"{name}",AF104))</f>
        <v/>
      </c>
      <c r="AH104" s="32">
        <f>N(AH103)+W104</f>
        <v/>
      </c>
      <c r="AI104" s="32">
        <f>IF(W104=1,AH104,"")</f>
        <v/>
      </c>
    </row>
    <row r="105">
      <c r="A105" s="32">
        <f>IF(INDEX('Form Responses'!$A:$A,ROW())="","",INDEX('Form Responses'!$A:$A,ROW()))</f>
        <v/>
      </c>
      <c r="B105" s="32">
        <f>TRIM(INDEX('Form Responses'!$B:$B,ROW())&amp;"")</f>
        <v/>
      </c>
      <c r="C105" s="32">
        <f>IF(B105="","",TRIM(INDEX('Form Responses'!$C:$C,ROW())&amp;""))</f>
        <v/>
      </c>
      <c r="D105" s="32">
        <f>SUBSTITUTE(SUBSTITUTE(SUBSTITUTE(SUBSTITUTE(SUBSTITUTE(SUBSTITUTE(SUBSTITUTE(SUBSTITUTE(C105," ",""),"-",""),"(",""),")",""),".",""),"+",""),"/",""),CHAR(160),"")</f>
        <v/>
      </c>
      <c r="E105" s="32">
        <f>IF(LEN(D105)&gt;=10,RIGHT(D105,10),D105)</f>
        <v/>
      </c>
      <c r="F105" s="32">
        <f>IF(B105="","",TRIM(INDEX('Form Responses'!$D:$D,ROW())&amp;""))</f>
        <v/>
      </c>
      <c r="G105" s="32">
        <f>IF(B105="","",IF(LEFT(TRIM(INDEX('Form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5" s="32">
        <f>IF(B105="","",MAX(0,IFERROR(INT(--(INDEX('Form Responses'!$F:$F,ROW())&amp;"")),1)))</f>
        <v/>
      </c>
      <c r="I105" s="32">
        <f>IF(B105="","",MAX(0,IFERROR(INT(--(INDEX('Form Responses'!$G:$G,ROW())&amp;"")),0)))</f>
        <v/>
      </c>
      <c r="J105" s="32">
        <f>IF(B105="","",TRIM(INDEX('Form Responses'!$H:$H,ROW())&amp;""))</f>
        <v/>
      </c>
      <c r="K105" s="32">
        <f>IF(B105="","",TRIM(INDEX('Form Responses'!$I:$I,ROW())&amp;""))</f>
        <v/>
      </c>
      <c r="L105" s="32">
        <f>IF(B105="","",TRIM(INDEX('Form Responses'!$J:$J,ROW())&amp;""))</f>
        <v/>
      </c>
      <c r="M105" s="32">
        <f>IF(B105="","",TRIM(INDEX('Form Responses'!$K:$K,ROW())&amp;""))</f>
        <v/>
      </c>
      <c r="N105" s="32">
        <f>IF(B105="","",IF(E105&lt;&gt;"","P"&amp;E105,"N"&amp;B105))</f>
        <v/>
      </c>
      <c r="O105" s="32">
        <f>IF(N105="",0,IF(COUNTIF(N106:N$602,N105)=0,1,0))</f>
        <v/>
      </c>
      <c r="P105" s="32">
        <f>IF(AND(O105=1,E105&lt;&gt;""),E105,"")</f>
        <v/>
      </c>
      <c r="Q105" s="32">
        <f>IF(O105=1,B105,"")</f>
        <v/>
      </c>
      <c r="R105" s="32">
        <f>IF(O105&lt;&gt;1,"",IF(E105&lt;&gt;"",IFERROR(MATCH(E105,Guests!$S$6:$S$505,0)+5,IFERROR(MATCH(B105,Guests!$A$6:$A$505,0)+5,"")),IFERROR(MATCH(B105,Guests!$A$6:$A$505,0)+5,"")))</f>
        <v/>
      </c>
      <c r="S105" s="32">
        <f>IF(R105="","",TRIM(INDEX(Guests!$E$1:$E$505,R105)&amp;""))</f>
        <v/>
      </c>
      <c r="T105" s="32">
        <f>IF(R105="","",IF(S105="",1,COUNTIF(Guests!$E$6:$E$505,S105)))</f>
        <v/>
      </c>
      <c r="U105" s="32">
        <f>IF(R105="","",IF(S105="",1,IF(COUNTIF(S$1:S104,S105)=0,1,0)))</f>
        <v/>
      </c>
      <c r="V105" s="32">
        <f>IF(AND(R105&lt;&gt;"",G105="Attending",U105=1),MAX(0,H105+I105-T105),0)</f>
        <v/>
      </c>
      <c r="W105" s="32">
        <f>IF(AND(O105=1,R105=""),1,0)</f>
        <v/>
      </c>
      <c r="X105" s="32">
        <f>IF(B105="",0,H105+I105)</f>
        <v/>
      </c>
      <c r="Y105" s="32">
        <f>N(Y104)+O105</f>
        <v/>
      </c>
      <c r="Z105" s="32">
        <f>IF(O105=1,Y105,"")</f>
        <v/>
      </c>
      <c r="AA105" s="32">
        <f>IF(AND(W105=1,G105="Not sure yet"),1,0)</f>
        <v/>
      </c>
      <c r="AB105" s="32">
        <f>N(AB104)+AA105</f>
        <v/>
      </c>
      <c r="AC105" s="32">
        <f>IF(AA105=1,AB105,"")</f>
        <v/>
      </c>
      <c r="AD105" s="32">
        <f>IF(D105="","",IF(LEN(D105)=10,"+1"&amp;D105,IF(AND(LEN(D105)=11,LEFT(D105,1)="1"),"+"&amp;D105,IF(LEFT(C105,1)="+","+"&amp;D105,D105))))</f>
        <v/>
      </c>
      <c r="AE105" s="32">
        <f>IF(B105="","",PROPER(IFERROR(LEFT(B105,FIND(" ",B105)-1),B105)))</f>
        <v/>
      </c>
      <c r="AF105" s="32">
        <f>SUBSTITUTE(SUBSTITUTE(SUBSTITUTE(SUBSTITUTE(SUBSTITUTE(SUBSTITUTE(SUBSTITUTE(SUBSTITUTE(SUBSTITUTE(SUBSTITUTE(AE105,"%","%25"),"&amp;","%26"),"#","%23"),"+","%2B"),"=","%3D"),"?","%3F"),CHAR(34),"%22"),CHAR(10),"%0A"),CHAR(13),"")," ","+")</f>
        <v/>
      </c>
      <c r="AG105" s="32">
        <f>IF(OR(AD105="",AE105=""),"",'Start Here'!$B$20&amp;"#p="&amp;SUBSTITUTE(AD105,"+","%2B")&amp;"&amp;n="&amp;AF105&amp;"&amp;m="&amp;SUBSTITUTE('Start Here'!$B$24,"{name}",AF105))</f>
        <v/>
      </c>
      <c r="AH105" s="32">
        <f>N(AH104)+W105</f>
        <v/>
      </c>
      <c r="AI105" s="32">
        <f>IF(W105=1,AH105,"")</f>
        <v/>
      </c>
    </row>
    <row r="106">
      <c r="A106" s="32">
        <f>IF(INDEX('Form Responses'!$A:$A,ROW())="","",INDEX('Form Responses'!$A:$A,ROW()))</f>
        <v/>
      </c>
      <c r="B106" s="32">
        <f>TRIM(INDEX('Form Responses'!$B:$B,ROW())&amp;"")</f>
        <v/>
      </c>
      <c r="C106" s="32">
        <f>IF(B106="","",TRIM(INDEX('Form Responses'!$C:$C,ROW())&amp;""))</f>
        <v/>
      </c>
      <c r="D106" s="32">
        <f>SUBSTITUTE(SUBSTITUTE(SUBSTITUTE(SUBSTITUTE(SUBSTITUTE(SUBSTITUTE(SUBSTITUTE(SUBSTITUTE(C106," ",""),"-",""),"(",""),")",""),".",""),"+",""),"/",""),CHAR(160),"")</f>
        <v/>
      </c>
      <c r="E106" s="32">
        <f>IF(LEN(D106)&gt;=10,RIGHT(D106,10),D106)</f>
        <v/>
      </c>
      <c r="F106" s="32">
        <f>IF(B106="","",TRIM(INDEX('Form Responses'!$D:$D,ROW())&amp;""))</f>
        <v/>
      </c>
      <c r="G106" s="32">
        <f>IF(B106="","",IF(LEFT(TRIM(INDEX('Form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6" s="32">
        <f>IF(B106="","",MAX(0,IFERROR(INT(--(INDEX('Form Responses'!$F:$F,ROW())&amp;"")),1)))</f>
        <v/>
      </c>
      <c r="I106" s="32">
        <f>IF(B106="","",MAX(0,IFERROR(INT(--(INDEX('Form Responses'!$G:$G,ROW())&amp;"")),0)))</f>
        <v/>
      </c>
      <c r="J106" s="32">
        <f>IF(B106="","",TRIM(INDEX('Form Responses'!$H:$H,ROW())&amp;""))</f>
        <v/>
      </c>
      <c r="K106" s="32">
        <f>IF(B106="","",TRIM(INDEX('Form Responses'!$I:$I,ROW())&amp;""))</f>
        <v/>
      </c>
      <c r="L106" s="32">
        <f>IF(B106="","",TRIM(INDEX('Form Responses'!$J:$J,ROW())&amp;""))</f>
        <v/>
      </c>
      <c r="M106" s="32">
        <f>IF(B106="","",TRIM(INDEX('Form Responses'!$K:$K,ROW())&amp;""))</f>
        <v/>
      </c>
      <c r="N106" s="32">
        <f>IF(B106="","",IF(E106&lt;&gt;"","P"&amp;E106,"N"&amp;B106))</f>
        <v/>
      </c>
      <c r="O106" s="32">
        <f>IF(N106="",0,IF(COUNTIF(N107:N$602,N106)=0,1,0))</f>
        <v/>
      </c>
      <c r="P106" s="32">
        <f>IF(AND(O106=1,E106&lt;&gt;""),E106,"")</f>
        <v/>
      </c>
      <c r="Q106" s="32">
        <f>IF(O106=1,B106,"")</f>
        <v/>
      </c>
      <c r="R106" s="32">
        <f>IF(O106&lt;&gt;1,"",IF(E106&lt;&gt;"",IFERROR(MATCH(E106,Guests!$S$6:$S$505,0)+5,IFERROR(MATCH(B106,Guests!$A$6:$A$505,0)+5,"")),IFERROR(MATCH(B106,Guests!$A$6:$A$505,0)+5,"")))</f>
        <v/>
      </c>
      <c r="S106" s="32">
        <f>IF(R106="","",TRIM(INDEX(Guests!$E$1:$E$505,R106)&amp;""))</f>
        <v/>
      </c>
      <c r="T106" s="32">
        <f>IF(R106="","",IF(S106="",1,COUNTIF(Guests!$E$6:$E$505,S106)))</f>
        <v/>
      </c>
      <c r="U106" s="32">
        <f>IF(R106="","",IF(S106="",1,IF(COUNTIF(S$1:S105,S106)=0,1,0)))</f>
        <v/>
      </c>
      <c r="V106" s="32">
        <f>IF(AND(R106&lt;&gt;"",G106="Attending",U106=1),MAX(0,H106+I106-T106),0)</f>
        <v/>
      </c>
      <c r="W106" s="32">
        <f>IF(AND(O106=1,R106=""),1,0)</f>
        <v/>
      </c>
      <c r="X106" s="32">
        <f>IF(B106="",0,H106+I106)</f>
        <v/>
      </c>
      <c r="Y106" s="32">
        <f>N(Y105)+O106</f>
        <v/>
      </c>
      <c r="Z106" s="32">
        <f>IF(O106=1,Y106,"")</f>
        <v/>
      </c>
      <c r="AA106" s="32">
        <f>IF(AND(W106=1,G106="Not sure yet"),1,0)</f>
        <v/>
      </c>
      <c r="AB106" s="32">
        <f>N(AB105)+AA106</f>
        <v/>
      </c>
      <c r="AC106" s="32">
        <f>IF(AA106=1,AB106,"")</f>
        <v/>
      </c>
      <c r="AD106" s="32">
        <f>IF(D106="","",IF(LEN(D106)=10,"+1"&amp;D106,IF(AND(LEN(D106)=11,LEFT(D106,1)="1"),"+"&amp;D106,IF(LEFT(C106,1)="+","+"&amp;D106,D106))))</f>
        <v/>
      </c>
      <c r="AE106" s="32">
        <f>IF(B106="","",PROPER(IFERROR(LEFT(B106,FIND(" ",B106)-1),B106)))</f>
        <v/>
      </c>
      <c r="AF106" s="32">
        <f>SUBSTITUTE(SUBSTITUTE(SUBSTITUTE(SUBSTITUTE(SUBSTITUTE(SUBSTITUTE(SUBSTITUTE(SUBSTITUTE(SUBSTITUTE(SUBSTITUTE(AE106,"%","%25"),"&amp;","%26"),"#","%23"),"+","%2B"),"=","%3D"),"?","%3F"),CHAR(34),"%22"),CHAR(10),"%0A"),CHAR(13),"")," ","+")</f>
        <v/>
      </c>
      <c r="AG106" s="32">
        <f>IF(OR(AD106="",AE106=""),"",'Start Here'!$B$20&amp;"#p="&amp;SUBSTITUTE(AD106,"+","%2B")&amp;"&amp;n="&amp;AF106&amp;"&amp;m="&amp;SUBSTITUTE('Start Here'!$B$24,"{name}",AF106))</f>
        <v/>
      </c>
      <c r="AH106" s="32">
        <f>N(AH105)+W106</f>
        <v/>
      </c>
      <c r="AI106" s="32">
        <f>IF(W106=1,AH106,"")</f>
        <v/>
      </c>
    </row>
    <row r="107">
      <c r="A107" s="32">
        <f>IF(INDEX('Form Responses'!$A:$A,ROW())="","",INDEX('Form Responses'!$A:$A,ROW()))</f>
        <v/>
      </c>
      <c r="B107" s="32">
        <f>TRIM(INDEX('Form Responses'!$B:$B,ROW())&amp;"")</f>
        <v/>
      </c>
      <c r="C107" s="32">
        <f>IF(B107="","",TRIM(INDEX('Form Responses'!$C:$C,ROW())&amp;""))</f>
        <v/>
      </c>
      <c r="D107" s="32">
        <f>SUBSTITUTE(SUBSTITUTE(SUBSTITUTE(SUBSTITUTE(SUBSTITUTE(SUBSTITUTE(SUBSTITUTE(SUBSTITUTE(C107," ",""),"-",""),"(",""),")",""),".",""),"+",""),"/",""),CHAR(160),"")</f>
        <v/>
      </c>
      <c r="E107" s="32">
        <f>IF(LEN(D107)&gt;=10,RIGHT(D107,10),D107)</f>
        <v/>
      </c>
      <c r="F107" s="32">
        <f>IF(B107="","",TRIM(INDEX('Form Responses'!$D:$D,ROW())&amp;""))</f>
        <v/>
      </c>
      <c r="G107" s="32">
        <f>IF(B107="","",IF(LEFT(TRIM(INDEX('Form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7" s="32">
        <f>IF(B107="","",MAX(0,IFERROR(INT(--(INDEX('Form Responses'!$F:$F,ROW())&amp;"")),1)))</f>
        <v/>
      </c>
      <c r="I107" s="32">
        <f>IF(B107="","",MAX(0,IFERROR(INT(--(INDEX('Form Responses'!$G:$G,ROW())&amp;"")),0)))</f>
        <v/>
      </c>
      <c r="J107" s="32">
        <f>IF(B107="","",TRIM(INDEX('Form Responses'!$H:$H,ROW())&amp;""))</f>
        <v/>
      </c>
      <c r="K107" s="32">
        <f>IF(B107="","",TRIM(INDEX('Form Responses'!$I:$I,ROW())&amp;""))</f>
        <v/>
      </c>
      <c r="L107" s="32">
        <f>IF(B107="","",TRIM(INDEX('Form Responses'!$J:$J,ROW())&amp;""))</f>
        <v/>
      </c>
      <c r="M107" s="32">
        <f>IF(B107="","",TRIM(INDEX('Form Responses'!$K:$K,ROW())&amp;""))</f>
        <v/>
      </c>
      <c r="N107" s="32">
        <f>IF(B107="","",IF(E107&lt;&gt;"","P"&amp;E107,"N"&amp;B107))</f>
        <v/>
      </c>
      <c r="O107" s="32">
        <f>IF(N107="",0,IF(COUNTIF(N108:N$602,N107)=0,1,0))</f>
        <v/>
      </c>
      <c r="P107" s="32">
        <f>IF(AND(O107=1,E107&lt;&gt;""),E107,"")</f>
        <v/>
      </c>
      <c r="Q107" s="32">
        <f>IF(O107=1,B107,"")</f>
        <v/>
      </c>
      <c r="R107" s="32">
        <f>IF(O107&lt;&gt;1,"",IF(E107&lt;&gt;"",IFERROR(MATCH(E107,Guests!$S$6:$S$505,0)+5,IFERROR(MATCH(B107,Guests!$A$6:$A$505,0)+5,"")),IFERROR(MATCH(B107,Guests!$A$6:$A$505,0)+5,"")))</f>
        <v/>
      </c>
      <c r="S107" s="32">
        <f>IF(R107="","",TRIM(INDEX(Guests!$E$1:$E$505,R107)&amp;""))</f>
        <v/>
      </c>
      <c r="T107" s="32">
        <f>IF(R107="","",IF(S107="",1,COUNTIF(Guests!$E$6:$E$505,S107)))</f>
        <v/>
      </c>
      <c r="U107" s="32">
        <f>IF(R107="","",IF(S107="",1,IF(COUNTIF(S$1:S106,S107)=0,1,0)))</f>
        <v/>
      </c>
      <c r="V107" s="32">
        <f>IF(AND(R107&lt;&gt;"",G107="Attending",U107=1),MAX(0,H107+I107-T107),0)</f>
        <v/>
      </c>
      <c r="W107" s="32">
        <f>IF(AND(O107=1,R107=""),1,0)</f>
        <v/>
      </c>
      <c r="X107" s="32">
        <f>IF(B107="",0,H107+I107)</f>
        <v/>
      </c>
      <c r="Y107" s="32">
        <f>N(Y106)+O107</f>
        <v/>
      </c>
      <c r="Z107" s="32">
        <f>IF(O107=1,Y107,"")</f>
        <v/>
      </c>
      <c r="AA107" s="32">
        <f>IF(AND(W107=1,G107="Not sure yet"),1,0)</f>
        <v/>
      </c>
      <c r="AB107" s="32">
        <f>N(AB106)+AA107</f>
        <v/>
      </c>
      <c r="AC107" s="32">
        <f>IF(AA107=1,AB107,"")</f>
        <v/>
      </c>
      <c r="AD107" s="32">
        <f>IF(D107="","",IF(LEN(D107)=10,"+1"&amp;D107,IF(AND(LEN(D107)=11,LEFT(D107,1)="1"),"+"&amp;D107,IF(LEFT(C107,1)="+","+"&amp;D107,D107))))</f>
        <v/>
      </c>
      <c r="AE107" s="32">
        <f>IF(B107="","",PROPER(IFERROR(LEFT(B107,FIND(" ",B107)-1),B107)))</f>
        <v/>
      </c>
      <c r="AF107" s="32">
        <f>SUBSTITUTE(SUBSTITUTE(SUBSTITUTE(SUBSTITUTE(SUBSTITUTE(SUBSTITUTE(SUBSTITUTE(SUBSTITUTE(SUBSTITUTE(SUBSTITUTE(AE107,"%","%25"),"&amp;","%26"),"#","%23"),"+","%2B"),"=","%3D"),"?","%3F"),CHAR(34),"%22"),CHAR(10),"%0A"),CHAR(13),"")," ","+")</f>
        <v/>
      </c>
      <c r="AG107" s="32">
        <f>IF(OR(AD107="",AE107=""),"",'Start Here'!$B$20&amp;"#p="&amp;SUBSTITUTE(AD107,"+","%2B")&amp;"&amp;n="&amp;AF107&amp;"&amp;m="&amp;SUBSTITUTE('Start Here'!$B$24,"{name}",AF107))</f>
        <v/>
      </c>
      <c r="AH107" s="32">
        <f>N(AH106)+W107</f>
        <v/>
      </c>
      <c r="AI107" s="32">
        <f>IF(W107=1,AH107,"")</f>
        <v/>
      </c>
    </row>
    <row r="108">
      <c r="A108" s="32">
        <f>IF(INDEX('Form Responses'!$A:$A,ROW())="","",INDEX('Form Responses'!$A:$A,ROW()))</f>
        <v/>
      </c>
      <c r="B108" s="32">
        <f>TRIM(INDEX('Form Responses'!$B:$B,ROW())&amp;"")</f>
        <v/>
      </c>
      <c r="C108" s="32">
        <f>IF(B108="","",TRIM(INDEX('Form Responses'!$C:$C,ROW())&amp;""))</f>
        <v/>
      </c>
      <c r="D108" s="32">
        <f>SUBSTITUTE(SUBSTITUTE(SUBSTITUTE(SUBSTITUTE(SUBSTITUTE(SUBSTITUTE(SUBSTITUTE(SUBSTITUTE(C108," ",""),"-",""),"(",""),")",""),".",""),"+",""),"/",""),CHAR(160),"")</f>
        <v/>
      </c>
      <c r="E108" s="32">
        <f>IF(LEN(D108)&gt;=10,RIGHT(D108,10),D108)</f>
        <v/>
      </c>
      <c r="F108" s="32">
        <f>IF(B108="","",TRIM(INDEX('Form Responses'!$D:$D,ROW())&amp;""))</f>
        <v/>
      </c>
      <c r="G108" s="32">
        <f>IF(B108="","",IF(LEFT(TRIM(INDEX('Form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8" s="32">
        <f>IF(B108="","",MAX(0,IFERROR(INT(--(INDEX('Form Responses'!$F:$F,ROW())&amp;"")),1)))</f>
        <v/>
      </c>
      <c r="I108" s="32">
        <f>IF(B108="","",MAX(0,IFERROR(INT(--(INDEX('Form Responses'!$G:$G,ROW())&amp;"")),0)))</f>
        <v/>
      </c>
      <c r="J108" s="32">
        <f>IF(B108="","",TRIM(INDEX('Form Responses'!$H:$H,ROW())&amp;""))</f>
        <v/>
      </c>
      <c r="K108" s="32">
        <f>IF(B108="","",TRIM(INDEX('Form Responses'!$I:$I,ROW())&amp;""))</f>
        <v/>
      </c>
      <c r="L108" s="32">
        <f>IF(B108="","",TRIM(INDEX('Form Responses'!$J:$J,ROW())&amp;""))</f>
        <v/>
      </c>
      <c r="M108" s="32">
        <f>IF(B108="","",TRIM(INDEX('Form Responses'!$K:$K,ROW())&amp;""))</f>
        <v/>
      </c>
      <c r="N108" s="32">
        <f>IF(B108="","",IF(E108&lt;&gt;"","P"&amp;E108,"N"&amp;B108))</f>
        <v/>
      </c>
      <c r="O108" s="32">
        <f>IF(N108="",0,IF(COUNTIF(N109:N$602,N108)=0,1,0))</f>
        <v/>
      </c>
      <c r="P108" s="32">
        <f>IF(AND(O108=1,E108&lt;&gt;""),E108,"")</f>
        <v/>
      </c>
      <c r="Q108" s="32">
        <f>IF(O108=1,B108,"")</f>
        <v/>
      </c>
      <c r="R108" s="32">
        <f>IF(O108&lt;&gt;1,"",IF(E108&lt;&gt;"",IFERROR(MATCH(E108,Guests!$S$6:$S$505,0)+5,IFERROR(MATCH(B108,Guests!$A$6:$A$505,0)+5,"")),IFERROR(MATCH(B108,Guests!$A$6:$A$505,0)+5,"")))</f>
        <v/>
      </c>
      <c r="S108" s="32">
        <f>IF(R108="","",TRIM(INDEX(Guests!$E$1:$E$505,R108)&amp;""))</f>
        <v/>
      </c>
      <c r="T108" s="32">
        <f>IF(R108="","",IF(S108="",1,COUNTIF(Guests!$E$6:$E$505,S108)))</f>
        <v/>
      </c>
      <c r="U108" s="32">
        <f>IF(R108="","",IF(S108="",1,IF(COUNTIF(S$1:S107,S108)=0,1,0)))</f>
        <v/>
      </c>
      <c r="V108" s="32">
        <f>IF(AND(R108&lt;&gt;"",G108="Attending",U108=1),MAX(0,H108+I108-T108),0)</f>
        <v/>
      </c>
      <c r="W108" s="32">
        <f>IF(AND(O108=1,R108=""),1,0)</f>
        <v/>
      </c>
      <c r="X108" s="32">
        <f>IF(B108="",0,H108+I108)</f>
        <v/>
      </c>
      <c r="Y108" s="32">
        <f>N(Y107)+O108</f>
        <v/>
      </c>
      <c r="Z108" s="32">
        <f>IF(O108=1,Y108,"")</f>
        <v/>
      </c>
      <c r="AA108" s="32">
        <f>IF(AND(W108=1,G108="Not sure yet"),1,0)</f>
        <v/>
      </c>
      <c r="AB108" s="32">
        <f>N(AB107)+AA108</f>
        <v/>
      </c>
      <c r="AC108" s="32">
        <f>IF(AA108=1,AB108,"")</f>
        <v/>
      </c>
      <c r="AD108" s="32">
        <f>IF(D108="","",IF(LEN(D108)=10,"+1"&amp;D108,IF(AND(LEN(D108)=11,LEFT(D108,1)="1"),"+"&amp;D108,IF(LEFT(C108,1)="+","+"&amp;D108,D108))))</f>
        <v/>
      </c>
      <c r="AE108" s="32">
        <f>IF(B108="","",PROPER(IFERROR(LEFT(B108,FIND(" ",B108)-1),B108)))</f>
        <v/>
      </c>
      <c r="AF108" s="32">
        <f>SUBSTITUTE(SUBSTITUTE(SUBSTITUTE(SUBSTITUTE(SUBSTITUTE(SUBSTITUTE(SUBSTITUTE(SUBSTITUTE(SUBSTITUTE(SUBSTITUTE(AE108,"%","%25"),"&amp;","%26"),"#","%23"),"+","%2B"),"=","%3D"),"?","%3F"),CHAR(34),"%22"),CHAR(10),"%0A"),CHAR(13),"")," ","+")</f>
        <v/>
      </c>
      <c r="AG108" s="32">
        <f>IF(OR(AD108="",AE108=""),"",'Start Here'!$B$20&amp;"#p="&amp;SUBSTITUTE(AD108,"+","%2B")&amp;"&amp;n="&amp;AF108&amp;"&amp;m="&amp;SUBSTITUTE('Start Here'!$B$24,"{name}",AF108))</f>
        <v/>
      </c>
      <c r="AH108" s="32">
        <f>N(AH107)+W108</f>
        <v/>
      </c>
      <c r="AI108" s="32">
        <f>IF(W108=1,AH108,"")</f>
        <v/>
      </c>
    </row>
    <row r="109">
      <c r="A109" s="32">
        <f>IF(INDEX('Form Responses'!$A:$A,ROW())="","",INDEX('Form Responses'!$A:$A,ROW()))</f>
        <v/>
      </c>
      <c r="B109" s="32">
        <f>TRIM(INDEX('Form Responses'!$B:$B,ROW())&amp;"")</f>
        <v/>
      </c>
      <c r="C109" s="32">
        <f>IF(B109="","",TRIM(INDEX('Form Responses'!$C:$C,ROW())&amp;""))</f>
        <v/>
      </c>
      <c r="D109" s="32">
        <f>SUBSTITUTE(SUBSTITUTE(SUBSTITUTE(SUBSTITUTE(SUBSTITUTE(SUBSTITUTE(SUBSTITUTE(SUBSTITUTE(C109," ",""),"-",""),"(",""),")",""),".",""),"+",""),"/",""),CHAR(160),"")</f>
        <v/>
      </c>
      <c r="E109" s="32">
        <f>IF(LEN(D109)&gt;=10,RIGHT(D109,10),D109)</f>
        <v/>
      </c>
      <c r="F109" s="32">
        <f>IF(B109="","",TRIM(INDEX('Form Responses'!$D:$D,ROW())&amp;""))</f>
        <v/>
      </c>
      <c r="G109" s="32">
        <f>IF(B109="","",IF(LEFT(TRIM(INDEX('Form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09" s="32">
        <f>IF(B109="","",MAX(0,IFERROR(INT(--(INDEX('Form Responses'!$F:$F,ROW())&amp;"")),1)))</f>
        <v/>
      </c>
      <c r="I109" s="32">
        <f>IF(B109="","",MAX(0,IFERROR(INT(--(INDEX('Form Responses'!$G:$G,ROW())&amp;"")),0)))</f>
        <v/>
      </c>
      <c r="J109" s="32">
        <f>IF(B109="","",TRIM(INDEX('Form Responses'!$H:$H,ROW())&amp;""))</f>
        <v/>
      </c>
      <c r="K109" s="32">
        <f>IF(B109="","",TRIM(INDEX('Form Responses'!$I:$I,ROW())&amp;""))</f>
        <v/>
      </c>
      <c r="L109" s="32">
        <f>IF(B109="","",TRIM(INDEX('Form Responses'!$J:$J,ROW())&amp;""))</f>
        <v/>
      </c>
      <c r="M109" s="32">
        <f>IF(B109="","",TRIM(INDEX('Form Responses'!$K:$K,ROW())&amp;""))</f>
        <v/>
      </c>
      <c r="N109" s="32">
        <f>IF(B109="","",IF(E109&lt;&gt;"","P"&amp;E109,"N"&amp;B109))</f>
        <v/>
      </c>
      <c r="O109" s="32">
        <f>IF(N109="",0,IF(COUNTIF(N110:N$602,N109)=0,1,0))</f>
        <v/>
      </c>
      <c r="P109" s="32">
        <f>IF(AND(O109=1,E109&lt;&gt;""),E109,"")</f>
        <v/>
      </c>
      <c r="Q109" s="32">
        <f>IF(O109=1,B109,"")</f>
        <v/>
      </c>
      <c r="R109" s="32">
        <f>IF(O109&lt;&gt;1,"",IF(E109&lt;&gt;"",IFERROR(MATCH(E109,Guests!$S$6:$S$505,0)+5,IFERROR(MATCH(B109,Guests!$A$6:$A$505,0)+5,"")),IFERROR(MATCH(B109,Guests!$A$6:$A$505,0)+5,"")))</f>
        <v/>
      </c>
      <c r="S109" s="32">
        <f>IF(R109="","",TRIM(INDEX(Guests!$E$1:$E$505,R109)&amp;""))</f>
        <v/>
      </c>
      <c r="T109" s="32">
        <f>IF(R109="","",IF(S109="",1,COUNTIF(Guests!$E$6:$E$505,S109)))</f>
        <v/>
      </c>
      <c r="U109" s="32">
        <f>IF(R109="","",IF(S109="",1,IF(COUNTIF(S$1:S108,S109)=0,1,0)))</f>
        <v/>
      </c>
      <c r="V109" s="32">
        <f>IF(AND(R109&lt;&gt;"",G109="Attending",U109=1),MAX(0,H109+I109-T109),0)</f>
        <v/>
      </c>
      <c r="W109" s="32">
        <f>IF(AND(O109=1,R109=""),1,0)</f>
        <v/>
      </c>
      <c r="X109" s="32">
        <f>IF(B109="",0,H109+I109)</f>
        <v/>
      </c>
      <c r="Y109" s="32">
        <f>N(Y108)+O109</f>
        <v/>
      </c>
      <c r="Z109" s="32">
        <f>IF(O109=1,Y109,"")</f>
        <v/>
      </c>
      <c r="AA109" s="32">
        <f>IF(AND(W109=1,G109="Not sure yet"),1,0)</f>
        <v/>
      </c>
      <c r="AB109" s="32">
        <f>N(AB108)+AA109</f>
        <v/>
      </c>
      <c r="AC109" s="32">
        <f>IF(AA109=1,AB109,"")</f>
        <v/>
      </c>
      <c r="AD109" s="32">
        <f>IF(D109="","",IF(LEN(D109)=10,"+1"&amp;D109,IF(AND(LEN(D109)=11,LEFT(D109,1)="1"),"+"&amp;D109,IF(LEFT(C109,1)="+","+"&amp;D109,D109))))</f>
        <v/>
      </c>
      <c r="AE109" s="32">
        <f>IF(B109="","",PROPER(IFERROR(LEFT(B109,FIND(" ",B109)-1),B109)))</f>
        <v/>
      </c>
      <c r="AF109" s="32">
        <f>SUBSTITUTE(SUBSTITUTE(SUBSTITUTE(SUBSTITUTE(SUBSTITUTE(SUBSTITUTE(SUBSTITUTE(SUBSTITUTE(SUBSTITUTE(SUBSTITUTE(AE109,"%","%25"),"&amp;","%26"),"#","%23"),"+","%2B"),"=","%3D"),"?","%3F"),CHAR(34),"%22"),CHAR(10),"%0A"),CHAR(13),"")," ","+")</f>
        <v/>
      </c>
      <c r="AG109" s="32">
        <f>IF(OR(AD109="",AE109=""),"",'Start Here'!$B$20&amp;"#p="&amp;SUBSTITUTE(AD109,"+","%2B")&amp;"&amp;n="&amp;AF109&amp;"&amp;m="&amp;SUBSTITUTE('Start Here'!$B$24,"{name}",AF109))</f>
        <v/>
      </c>
      <c r="AH109" s="32">
        <f>N(AH108)+W109</f>
        <v/>
      </c>
      <c r="AI109" s="32">
        <f>IF(W109=1,AH109,"")</f>
        <v/>
      </c>
    </row>
    <row r="110">
      <c r="A110" s="32">
        <f>IF(INDEX('Form Responses'!$A:$A,ROW())="","",INDEX('Form Responses'!$A:$A,ROW()))</f>
        <v/>
      </c>
      <c r="B110" s="32">
        <f>TRIM(INDEX('Form Responses'!$B:$B,ROW())&amp;"")</f>
        <v/>
      </c>
      <c r="C110" s="32">
        <f>IF(B110="","",TRIM(INDEX('Form Responses'!$C:$C,ROW())&amp;""))</f>
        <v/>
      </c>
      <c r="D110" s="32">
        <f>SUBSTITUTE(SUBSTITUTE(SUBSTITUTE(SUBSTITUTE(SUBSTITUTE(SUBSTITUTE(SUBSTITUTE(SUBSTITUTE(C110," ",""),"-",""),"(",""),")",""),".",""),"+",""),"/",""),CHAR(160),"")</f>
        <v/>
      </c>
      <c r="E110" s="32">
        <f>IF(LEN(D110)&gt;=10,RIGHT(D110,10),D110)</f>
        <v/>
      </c>
      <c r="F110" s="32">
        <f>IF(B110="","",TRIM(INDEX('Form Responses'!$D:$D,ROW())&amp;""))</f>
        <v/>
      </c>
      <c r="G110" s="32">
        <f>IF(B110="","",IF(LEFT(TRIM(INDEX('Form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0" s="32">
        <f>IF(B110="","",MAX(0,IFERROR(INT(--(INDEX('Form Responses'!$F:$F,ROW())&amp;"")),1)))</f>
        <v/>
      </c>
      <c r="I110" s="32">
        <f>IF(B110="","",MAX(0,IFERROR(INT(--(INDEX('Form Responses'!$G:$G,ROW())&amp;"")),0)))</f>
        <v/>
      </c>
      <c r="J110" s="32">
        <f>IF(B110="","",TRIM(INDEX('Form Responses'!$H:$H,ROW())&amp;""))</f>
        <v/>
      </c>
      <c r="K110" s="32">
        <f>IF(B110="","",TRIM(INDEX('Form Responses'!$I:$I,ROW())&amp;""))</f>
        <v/>
      </c>
      <c r="L110" s="32">
        <f>IF(B110="","",TRIM(INDEX('Form Responses'!$J:$J,ROW())&amp;""))</f>
        <v/>
      </c>
      <c r="M110" s="32">
        <f>IF(B110="","",TRIM(INDEX('Form Responses'!$K:$K,ROW())&amp;""))</f>
        <v/>
      </c>
      <c r="N110" s="32">
        <f>IF(B110="","",IF(E110&lt;&gt;"","P"&amp;E110,"N"&amp;B110))</f>
        <v/>
      </c>
      <c r="O110" s="32">
        <f>IF(N110="",0,IF(COUNTIF(N111:N$602,N110)=0,1,0))</f>
        <v/>
      </c>
      <c r="P110" s="32">
        <f>IF(AND(O110=1,E110&lt;&gt;""),E110,"")</f>
        <v/>
      </c>
      <c r="Q110" s="32">
        <f>IF(O110=1,B110,"")</f>
        <v/>
      </c>
      <c r="R110" s="32">
        <f>IF(O110&lt;&gt;1,"",IF(E110&lt;&gt;"",IFERROR(MATCH(E110,Guests!$S$6:$S$505,0)+5,IFERROR(MATCH(B110,Guests!$A$6:$A$505,0)+5,"")),IFERROR(MATCH(B110,Guests!$A$6:$A$505,0)+5,"")))</f>
        <v/>
      </c>
      <c r="S110" s="32">
        <f>IF(R110="","",TRIM(INDEX(Guests!$E$1:$E$505,R110)&amp;""))</f>
        <v/>
      </c>
      <c r="T110" s="32">
        <f>IF(R110="","",IF(S110="",1,COUNTIF(Guests!$E$6:$E$505,S110)))</f>
        <v/>
      </c>
      <c r="U110" s="32">
        <f>IF(R110="","",IF(S110="",1,IF(COUNTIF(S$1:S109,S110)=0,1,0)))</f>
        <v/>
      </c>
      <c r="V110" s="32">
        <f>IF(AND(R110&lt;&gt;"",G110="Attending",U110=1),MAX(0,H110+I110-T110),0)</f>
        <v/>
      </c>
      <c r="W110" s="32">
        <f>IF(AND(O110=1,R110=""),1,0)</f>
        <v/>
      </c>
      <c r="X110" s="32">
        <f>IF(B110="",0,H110+I110)</f>
        <v/>
      </c>
      <c r="Y110" s="32">
        <f>N(Y109)+O110</f>
        <v/>
      </c>
      <c r="Z110" s="32">
        <f>IF(O110=1,Y110,"")</f>
        <v/>
      </c>
      <c r="AA110" s="32">
        <f>IF(AND(W110=1,G110="Not sure yet"),1,0)</f>
        <v/>
      </c>
      <c r="AB110" s="32">
        <f>N(AB109)+AA110</f>
        <v/>
      </c>
      <c r="AC110" s="32">
        <f>IF(AA110=1,AB110,"")</f>
        <v/>
      </c>
      <c r="AD110" s="32">
        <f>IF(D110="","",IF(LEN(D110)=10,"+1"&amp;D110,IF(AND(LEN(D110)=11,LEFT(D110,1)="1"),"+"&amp;D110,IF(LEFT(C110,1)="+","+"&amp;D110,D110))))</f>
        <v/>
      </c>
      <c r="AE110" s="32">
        <f>IF(B110="","",PROPER(IFERROR(LEFT(B110,FIND(" ",B110)-1),B110)))</f>
        <v/>
      </c>
      <c r="AF110" s="32">
        <f>SUBSTITUTE(SUBSTITUTE(SUBSTITUTE(SUBSTITUTE(SUBSTITUTE(SUBSTITUTE(SUBSTITUTE(SUBSTITUTE(SUBSTITUTE(SUBSTITUTE(AE110,"%","%25"),"&amp;","%26"),"#","%23"),"+","%2B"),"=","%3D"),"?","%3F"),CHAR(34),"%22"),CHAR(10),"%0A"),CHAR(13),"")," ","+")</f>
        <v/>
      </c>
      <c r="AG110" s="32">
        <f>IF(OR(AD110="",AE110=""),"",'Start Here'!$B$20&amp;"#p="&amp;SUBSTITUTE(AD110,"+","%2B")&amp;"&amp;n="&amp;AF110&amp;"&amp;m="&amp;SUBSTITUTE('Start Here'!$B$24,"{name}",AF110))</f>
        <v/>
      </c>
      <c r="AH110" s="32">
        <f>N(AH109)+W110</f>
        <v/>
      </c>
      <c r="AI110" s="32">
        <f>IF(W110=1,AH110,"")</f>
        <v/>
      </c>
    </row>
    <row r="111">
      <c r="A111" s="32">
        <f>IF(INDEX('Form Responses'!$A:$A,ROW())="","",INDEX('Form Responses'!$A:$A,ROW()))</f>
        <v/>
      </c>
      <c r="B111" s="32">
        <f>TRIM(INDEX('Form Responses'!$B:$B,ROW())&amp;"")</f>
        <v/>
      </c>
      <c r="C111" s="32">
        <f>IF(B111="","",TRIM(INDEX('Form Responses'!$C:$C,ROW())&amp;""))</f>
        <v/>
      </c>
      <c r="D111" s="32">
        <f>SUBSTITUTE(SUBSTITUTE(SUBSTITUTE(SUBSTITUTE(SUBSTITUTE(SUBSTITUTE(SUBSTITUTE(SUBSTITUTE(C111," ",""),"-",""),"(",""),")",""),".",""),"+",""),"/",""),CHAR(160),"")</f>
        <v/>
      </c>
      <c r="E111" s="32">
        <f>IF(LEN(D111)&gt;=10,RIGHT(D111,10),D111)</f>
        <v/>
      </c>
      <c r="F111" s="32">
        <f>IF(B111="","",TRIM(INDEX('Form Responses'!$D:$D,ROW())&amp;""))</f>
        <v/>
      </c>
      <c r="G111" s="32">
        <f>IF(B111="","",IF(LEFT(TRIM(INDEX('Form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1" s="32">
        <f>IF(B111="","",MAX(0,IFERROR(INT(--(INDEX('Form Responses'!$F:$F,ROW())&amp;"")),1)))</f>
        <v/>
      </c>
      <c r="I111" s="32">
        <f>IF(B111="","",MAX(0,IFERROR(INT(--(INDEX('Form Responses'!$G:$G,ROW())&amp;"")),0)))</f>
        <v/>
      </c>
      <c r="J111" s="32">
        <f>IF(B111="","",TRIM(INDEX('Form Responses'!$H:$H,ROW())&amp;""))</f>
        <v/>
      </c>
      <c r="K111" s="32">
        <f>IF(B111="","",TRIM(INDEX('Form Responses'!$I:$I,ROW())&amp;""))</f>
        <v/>
      </c>
      <c r="L111" s="32">
        <f>IF(B111="","",TRIM(INDEX('Form Responses'!$J:$J,ROW())&amp;""))</f>
        <v/>
      </c>
      <c r="M111" s="32">
        <f>IF(B111="","",TRIM(INDEX('Form Responses'!$K:$K,ROW())&amp;""))</f>
        <v/>
      </c>
      <c r="N111" s="32">
        <f>IF(B111="","",IF(E111&lt;&gt;"","P"&amp;E111,"N"&amp;B111))</f>
        <v/>
      </c>
      <c r="O111" s="32">
        <f>IF(N111="",0,IF(COUNTIF(N112:N$602,N111)=0,1,0))</f>
        <v/>
      </c>
      <c r="P111" s="32">
        <f>IF(AND(O111=1,E111&lt;&gt;""),E111,"")</f>
        <v/>
      </c>
      <c r="Q111" s="32">
        <f>IF(O111=1,B111,"")</f>
        <v/>
      </c>
      <c r="R111" s="32">
        <f>IF(O111&lt;&gt;1,"",IF(E111&lt;&gt;"",IFERROR(MATCH(E111,Guests!$S$6:$S$505,0)+5,IFERROR(MATCH(B111,Guests!$A$6:$A$505,0)+5,"")),IFERROR(MATCH(B111,Guests!$A$6:$A$505,0)+5,"")))</f>
        <v/>
      </c>
      <c r="S111" s="32">
        <f>IF(R111="","",TRIM(INDEX(Guests!$E$1:$E$505,R111)&amp;""))</f>
        <v/>
      </c>
      <c r="T111" s="32">
        <f>IF(R111="","",IF(S111="",1,COUNTIF(Guests!$E$6:$E$505,S111)))</f>
        <v/>
      </c>
      <c r="U111" s="32">
        <f>IF(R111="","",IF(S111="",1,IF(COUNTIF(S$1:S110,S111)=0,1,0)))</f>
        <v/>
      </c>
      <c r="V111" s="32">
        <f>IF(AND(R111&lt;&gt;"",G111="Attending",U111=1),MAX(0,H111+I111-T111),0)</f>
        <v/>
      </c>
      <c r="W111" s="32">
        <f>IF(AND(O111=1,R111=""),1,0)</f>
        <v/>
      </c>
      <c r="X111" s="32">
        <f>IF(B111="",0,H111+I111)</f>
        <v/>
      </c>
      <c r="Y111" s="32">
        <f>N(Y110)+O111</f>
        <v/>
      </c>
      <c r="Z111" s="32">
        <f>IF(O111=1,Y111,"")</f>
        <v/>
      </c>
      <c r="AA111" s="32">
        <f>IF(AND(W111=1,G111="Not sure yet"),1,0)</f>
        <v/>
      </c>
      <c r="AB111" s="32">
        <f>N(AB110)+AA111</f>
        <v/>
      </c>
      <c r="AC111" s="32">
        <f>IF(AA111=1,AB111,"")</f>
        <v/>
      </c>
      <c r="AD111" s="32">
        <f>IF(D111="","",IF(LEN(D111)=10,"+1"&amp;D111,IF(AND(LEN(D111)=11,LEFT(D111,1)="1"),"+"&amp;D111,IF(LEFT(C111,1)="+","+"&amp;D111,D111))))</f>
        <v/>
      </c>
      <c r="AE111" s="32">
        <f>IF(B111="","",PROPER(IFERROR(LEFT(B111,FIND(" ",B111)-1),B111)))</f>
        <v/>
      </c>
      <c r="AF111" s="32">
        <f>SUBSTITUTE(SUBSTITUTE(SUBSTITUTE(SUBSTITUTE(SUBSTITUTE(SUBSTITUTE(SUBSTITUTE(SUBSTITUTE(SUBSTITUTE(SUBSTITUTE(AE111,"%","%25"),"&amp;","%26"),"#","%23"),"+","%2B"),"=","%3D"),"?","%3F"),CHAR(34),"%22"),CHAR(10),"%0A"),CHAR(13),"")," ","+")</f>
        <v/>
      </c>
      <c r="AG111" s="32">
        <f>IF(OR(AD111="",AE111=""),"",'Start Here'!$B$20&amp;"#p="&amp;SUBSTITUTE(AD111,"+","%2B")&amp;"&amp;n="&amp;AF111&amp;"&amp;m="&amp;SUBSTITUTE('Start Here'!$B$24,"{name}",AF111))</f>
        <v/>
      </c>
      <c r="AH111" s="32">
        <f>N(AH110)+W111</f>
        <v/>
      </c>
      <c r="AI111" s="32">
        <f>IF(W111=1,AH111,"")</f>
        <v/>
      </c>
    </row>
    <row r="112">
      <c r="A112" s="32">
        <f>IF(INDEX('Form Responses'!$A:$A,ROW())="","",INDEX('Form Responses'!$A:$A,ROW()))</f>
        <v/>
      </c>
      <c r="B112" s="32">
        <f>TRIM(INDEX('Form Responses'!$B:$B,ROW())&amp;"")</f>
        <v/>
      </c>
      <c r="C112" s="32">
        <f>IF(B112="","",TRIM(INDEX('Form Responses'!$C:$C,ROW())&amp;""))</f>
        <v/>
      </c>
      <c r="D112" s="32">
        <f>SUBSTITUTE(SUBSTITUTE(SUBSTITUTE(SUBSTITUTE(SUBSTITUTE(SUBSTITUTE(SUBSTITUTE(SUBSTITUTE(C112," ",""),"-",""),"(",""),")",""),".",""),"+",""),"/",""),CHAR(160),"")</f>
        <v/>
      </c>
      <c r="E112" s="32">
        <f>IF(LEN(D112)&gt;=10,RIGHT(D112,10),D112)</f>
        <v/>
      </c>
      <c r="F112" s="32">
        <f>IF(B112="","",TRIM(INDEX('Form Responses'!$D:$D,ROW())&amp;""))</f>
        <v/>
      </c>
      <c r="G112" s="32">
        <f>IF(B112="","",IF(LEFT(TRIM(INDEX('Form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2" s="32">
        <f>IF(B112="","",MAX(0,IFERROR(INT(--(INDEX('Form Responses'!$F:$F,ROW())&amp;"")),1)))</f>
        <v/>
      </c>
      <c r="I112" s="32">
        <f>IF(B112="","",MAX(0,IFERROR(INT(--(INDEX('Form Responses'!$G:$G,ROW())&amp;"")),0)))</f>
        <v/>
      </c>
      <c r="J112" s="32">
        <f>IF(B112="","",TRIM(INDEX('Form Responses'!$H:$H,ROW())&amp;""))</f>
        <v/>
      </c>
      <c r="K112" s="32">
        <f>IF(B112="","",TRIM(INDEX('Form Responses'!$I:$I,ROW())&amp;""))</f>
        <v/>
      </c>
      <c r="L112" s="32">
        <f>IF(B112="","",TRIM(INDEX('Form Responses'!$J:$J,ROW())&amp;""))</f>
        <v/>
      </c>
      <c r="M112" s="32">
        <f>IF(B112="","",TRIM(INDEX('Form Responses'!$K:$K,ROW())&amp;""))</f>
        <v/>
      </c>
      <c r="N112" s="32">
        <f>IF(B112="","",IF(E112&lt;&gt;"","P"&amp;E112,"N"&amp;B112))</f>
        <v/>
      </c>
      <c r="O112" s="32">
        <f>IF(N112="",0,IF(COUNTIF(N113:N$602,N112)=0,1,0))</f>
        <v/>
      </c>
      <c r="P112" s="32">
        <f>IF(AND(O112=1,E112&lt;&gt;""),E112,"")</f>
        <v/>
      </c>
      <c r="Q112" s="32">
        <f>IF(O112=1,B112,"")</f>
        <v/>
      </c>
      <c r="R112" s="32">
        <f>IF(O112&lt;&gt;1,"",IF(E112&lt;&gt;"",IFERROR(MATCH(E112,Guests!$S$6:$S$505,0)+5,IFERROR(MATCH(B112,Guests!$A$6:$A$505,0)+5,"")),IFERROR(MATCH(B112,Guests!$A$6:$A$505,0)+5,"")))</f>
        <v/>
      </c>
      <c r="S112" s="32">
        <f>IF(R112="","",TRIM(INDEX(Guests!$E$1:$E$505,R112)&amp;""))</f>
        <v/>
      </c>
      <c r="T112" s="32">
        <f>IF(R112="","",IF(S112="",1,COUNTIF(Guests!$E$6:$E$505,S112)))</f>
        <v/>
      </c>
      <c r="U112" s="32">
        <f>IF(R112="","",IF(S112="",1,IF(COUNTIF(S$1:S111,S112)=0,1,0)))</f>
        <v/>
      </c>
      <c r="V112" s="32">
        <f>IF(AND(R112&lt;&gt;"",G112="Attending",U112=1),MAX(0,H112+I112-T112),0)</f>
        <v/>
      </c>
      <c r="W112" s="32">
        <f>IF(AND(O112=1,R112=""),1,0)</f>
        <v/>
      </c>
      <c r="X112" s="32">
        <f>IF(B112="",0,H112+I112)</f>
        <v/>
      </c>
      <c r="Y112" s="32">
        <f>N(Y111)+O112</f>
        <v/>
      </c>
      <c r="Z112" s="32">
        <f>IF(O112=1,Y112,"")</f>
        <v/>
      </c>
      <c r="AA112" s="32">
        <f>IF(AND(W112=1,G112="Not sure yet"),1,0)</f>
        <v/>
      </c>
      <c r="AB112" s="32">
        <f>N(AB111)+AA112</f>
        <v/>
      </c>
      <c r="AC112" s="32">
        <f>IF(AA112=1,AB112,"")</f>
        <v/>
      </c>
      <c r="AD112" s="32">
        <f>IF(D112="","",IF(LEN(D112)=10,"+1"&amp;D112,IF(AND(LEN(D112)=11,LEFT(D112,1)="1"),"+"&amp;D112,IF(LEFT(C112,1)="+","+"&amp;D112,D112))))</f>
        <v/>
      </c>
      <c r="AE112" s="32">
        <f>IF(B112="","",PROPER(IFERROR(LEFT(B112,FIND(" ",B112)-1),B112)))</f>
        <v/>
      </c>
      <c r="AF112" s="32">
        <f>SUBSTITUTE(SUBSTITUTE(SUBSTITUTE(SUBSTITUTE(SUBSTITUTE(SUBSTITUTE(SUBSTITUTE(SUBSTITUTE(SUBSTITUTE(SUBSTITUTE(AE112,"%","%25"),"&amp;","%26"),"#","%23"),"+","%2B"),"=","%3D"),"?","%3F"),CHAR(34),"%22"),CHAR(10),"%0A"),CHAR(13),"")," ","+")</f>
        <v/>
      </c>
      <c r="AG112" s="32">
        <f>IF(OR(AD112="",AE112=""),"",'Start Here'!$B$20&amp;"#p="&amp;SUBSTITUTE(AD112,"+","%2B")&amp;"&amp;n="&amp;AF112&amp;"&amp;m="&amp;SUBSTITUTE('Start Here'!$B$24,"{name}",AF112))</f>
        <v/>
      </c>
      <c r="AH112" s="32">
        <f>N(AH111)+W112</f>
        <v/>
      </c>
      <c r="AI112" s="32">
        <f>IF(W112=1,AH112,"")</f>
        <v/>
      </c>
    </row>
    <row r="113">
      <c r="A113" s="32">
        <f>IF(INDEX('Form Responses'!$A:$A,ROW())="","",INDEX('Form Responses'!$A:$A,ROW()))</f>
        <v/>
      </c>
      <c r="B113" s="32">
        <f>TRIM(INDEX('Form Responses'!$B:$B,ROW())&amp;"")</f>
        <v/>
      </c>
      <c r="C113" s="32">
        <f>IF(B113="","",TRIM(INDEX('Form Responses'!$C:$C,ROW())&amp;""))</f>
        <v/>
      </c>
      <c r="D113" s="32">
        <f>SUBSTITUTE(SUBSTITUTE(SUBSTITUTE(SUBSTITUTE(SUBSTITUTE(SUBSTITUTE(SUBSTITUTE(SUBSTITUTE(C113," ",""),"-",""),"(",""),")",""),".",""),"+",""),"/",""),CHAR(160),"")</f>
        <v/>
      </c>
      <c r="E113" s="32">
        <f>IF(LEN(D113)&gt;=10,RIGHT(D113,10),D113)</f>
        <v/>
      </c>
      <c r="F113" s="32">
        <f>IF(B113="","",TRIM(INDEX('Form Responses'!$D:$D,ROW())&amp;""))</f>
        <v/>
      </c>
      <c r="G113" s="32">
        <f>IF(B113="","",IF(LEFT(TRIM(INDEX('Form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3" s="32">
        <f>IF(B113="","",MAX(0,IFERROR(INT(--(INDEX('Form Responses'!$F:$F,ROW())&amp;"")),1)))</f>
        <v/>
      </c>
      <c r="I113" s="32">
        <f>IF(B113="","",MAX(0,IFERROR(INT(--(INDEX('Form Responses'!$G:$G,ROW())&amp;"")),0)))</f>
        <v/>
      </c>
      <c r="J113" s="32">
        <f>IF(B113="","",TRIM(INDEX('Form Responses'!$H:$H,ROW())&amp;""))</f>
        <v/>
      </c>
      <c r="K113" s="32">
        <f>IF(B113="","",TRIM(INDEX('Form Responses'!$I:$I,ROW())&amp;""))</f>
        <v/>
      </c>
      <c r="L113" s="32">
        <f>IF(B113="","",TRIM(INDEX('Form Responses'!$J:$J,ROW())&amp;""))</f>
        <v/>
      </c>
      <c r="M113" s="32">
        <f>IF(B113="","",TRIM(INDEX('Form Responses'!$K:$K,ROW())&amp;""))</f>
        <v/>
      </c>
      <c r="N113" s="32">
        <f>IF(B113="","",IF(E113&lt;&gt;"","P"&amp;E113,"N"&amp;B113))</f>
        <v/>
      </c>
      <c r="O113" s="32">
        <f>IF(N113="",0,IF(COUNTIF(N114:N$602,N113)=0,1,0))</f>
        <v/>
      </c>
      <c r="P113" s="32">
        <f>IF(AND(O113=1,E113&lt;&gt;""),E113,"")</f>
        <v/>
      </c>
      <c r="Q113" s="32">
        <f>IF(O113=1,B113,"")</f>
        <v/>
      </c>
      <c r="R113" s="32">
        <f>IF(O113&lt;&gt;1,"",IF(E113&lt;&gt;"",IFERROR(MATCH(E113,Guests!$S$6:$S$505,0)+5,IFERROR(MATCH(B113,Guests!$A$6:$A$505,0)+5,"")),IFERROR(MATCH(B113,Guests!$A$6:$A$505,0)+5,"")))</f>
        <v/>
      </c>
      <c r="S113" s="32">
        <f>IF(R113="","",TRIM(INDEX(Guests!$E$1:$E$505,R113)&amp;""))</f>
        <v/>
      </c>
      <c r="T113" s="32">
        <f>IF(R113="","",IF(S113="",1,COUNTIF(Guests!$E$6:$E$505,S113)))</f>
        <v/>
      </c>
      <c r="U113" s="32">
        <f>IF(R113="","",IF(S113="",1,IF(COUNTIF(S$1:S112,S113)=0,1,0)))</f>
        <v/>
      </c>
      <c r="V113" s="32">
        <f>IF(AND(R113&lt;&gt;"",G113="Attending",U113=1),MAX(0,H113+I113-T113),0)</f>
        <v/>
      </c>
      <c r="W113" s="32">
        <f>IF(AND(O113=1,R113=""),1,0)</f>
        <v/>
      </c>
      <c r="X113" s="32">
        <f>IF(B113="",0,H113+I113)</f>
        <v/>
      </c>
      <c r="Y113" s="32">
        <f>N(Y112)+O113</f>
        <v/>
      </c>
      <c r="Z113" s="32">
        <f>IF(O113=1,Y113,"")</f>
        <v/>
      </c>
      <c r="AA113" s="32">
        <f>IF(AND(W113=1,G113="Not sure yet"),1,0)</f>
        <v/>
      </c>
      <c r="AB113" s="32">
        <f>N(AB112)+AA113</f>
        <v/>
      </c>
      <c r="AC113" s="32">
        <f>IF(AA113=1,AB113,"")</f>
        <v/>
      </c>
      <c r="AD113" s="32">
        <f>IF(D113="","",IF(LEN(D113)=10,"+1"&amp;D113,IF(AND(LEN(D113)=11,LEFT(D113,1)="1"),"+"&amp;D113,IF(LEFT(C113,1)="+","+"&amp;D113,D113))))</f>
        <v/>
      </c>
      <c r="AE113" s="32">
        <f>IF(B113="","",PROPER(IFERROR(LEFT(B113,FIND(" ",B113)-1),B113)))</f>
        <v/>
      </c>
      <c r="AF113" s="32">
        <f>SUBSTITUTE(SUBSTITUTE(SUBSTITUTE(SUBSTITUTE(SUBSTITUTE(SUBSTITUTE(SUBSTITUTE(SUBSTITUTE(SUBSTITUTE(SUBSTITUTE(AE113,"%","%25"),"&amp;","%26"),"#","%23"),"+","%2B"),"=","%3D"),"?","%3F"),CHAR(34),"%22"),CHAR(10),"%0A"),CHAR(13),"")," ","+")</f>
        <v/>
      </c>
      <c r="AG113" s="32">
        <f>IF(OR(AD113="",AE113=""),"",'Start Here'!$B$20&amp;"#p="&amp;SUBSTITUTE(AD113,"+","%2B")&amp;"&amp;n="&amp;AF113&amp;"&amp;m="&amp;SUBSTITUTE('Start Here'!$B$24,"{name}",AF113))</f>
        <v/>
      </c>
      <c r="AH113" s="32">
        <f>N(AH112)+W113</f>
        <v/>
      </c>
      <c r="AI113" s="32">
        <f>IF(W113=1,AH113,"")</f>
        <v/>
      </c>
    </row>
    <row r="114">
      <c r="A114" s="32">
        <f>IF(INDEX('Form Responses'!$A:$A,ROW())="","",INDEX('Form Responses'!$A:$A,ROW()))</f>
        <v/>
      </c>
      <c r="B114" s="32">
        <f>TRIM(INDEX('Form Responses'!$B:$B,ROW())&amp;"")</f>
        <v/>
      </c>
      <c r="C114" s="32">
        <f>IF(B114="","",TRIM(INDEX('Form Responses'!$C:$C,ROW())&amp;""))</f>
        <v/>
      </c>
      <c r="D114" s="32">
        <f>SUBSTITUTE(SUBSTITUTE(SUBSTITUTE(SUBSTITUTE(SUBSTITUTE(SUBSTITUTE(SUBSTITUTE(SUBSTITUTE(C114," ",""),"-",""),"(",""),")",""),".",""),"+",""),"/",""),CHAR(160),"")</f>
        <v/>
      </c>
      <c r="E114" s="32">
        <f>IF(LEN(D114)&gt;=10,RIGHT(D114,10),D114)</f>
        <v/>
      </c>
      <c r="F114" s="32">
        <f>IF(B114="","",TRIM(INDEX('Form Responses'!$D:$D,ROW())&amp;""))</f>
        <v/>
      </c>
      <c r="G114" s="32">
        <f>IF(B114="","",IF(LEFT(TRIM(INDEX('Form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4" s="32">
        <f>IF(B114="","",MAX(0,IFERROR(INT(--(INDEX('Form Responses'!$F:$F,ROW())&amp;"")),1)))</f>
        <v/>
      </c>
      <c r="I114" s="32">
        <f>IF(B114="","",MAX(0,IFERROR(INT(--(INDEX('Form Responses'!$G:$G,ROW())&amp;"")),0)))</f>
        <v/>
      </c>
      <c r="J114" s="32">
        <f>IF(B114="","",TRIM(INDEX('Form Responses'!$H:$H,ROW())&amp;""))</f>
        <v/>
      </c>
      <c r="K114" s="32">
        <f>IF(B114="","",TRIM(INDEX('Form Responses'!$I:$I,ROW())&amp;""))</f>
        <v/>
      </c>
      <c r="L114" s="32">
        <f>IF(B114="","",TRIM(INDEX('Form Responses'!$J:$J,ROW())&amp;""))</f>
        <v/>
      </c>
      <c r="M114" s="32">
        <f>IF(B114="","",TRIM(INDEX('Form Responses'!$K:$K,ROW())&amp;""))</f>
        <v/>
      </c>
      <c r="N114" s="32">
        <f>IF(B114="","",IF(E114&lt;&gt;"","P"&amp;E114,"N"&amp;B114))</f>
        <v/>
      </c>
      <c r="O114" s="32">
        <f>IF(N114="",0,IF(COUNTIF(N115:N$602,N114)=0,1,0))</f>
        <v/>
      </c>
      <c r="P114" s="32">
        <f>IF(AND(O114=1,E114&lt;&gt;""),E114,"")</f>
        <v/>
      </c>
      <c r="Q114" s="32">
        <f>IF(O114=1,B114,"")</f>
        <v/>
      </c>
      <c r="R114" s="32">
        <f>IF(O114&lt;&gt;1,"",IF(E114&lt;&gt;"",IFERROR(MATCH(E114,Guests!$S$6:$S$505,0)+5,IFERROR(MATCH(B114,Guests!$A$6:$A$505,0)+5,"")),IFERROR(MATCH(B114,Guests!$A$6:$A$505,0)+5,"")))</f>
        <v/>
      </c>
      <c r="S114" s="32">
        <f>IF(R114="","",TRIM(INDEX(Guests!$E$1:$E$505,R114)&amp;""))</f>
        <v/>
      </c>
      <c r="T114" s="32">
        <f>IF(R114="","",IF(S114="",1,COUNTIF(Guests!$E$6:$E$505,S114)))</f>
        <v/>
      </c>
      <c r="U114" s="32">
        <f>IF(R114="","",IF(S114="",1,IF(COUNTIF(S$1:S113,S114)=0,1,0)))</f>
        <v/>
      </c>
      <c r="V114" s="32">
        <f>IF(AND(R114&lt;&gt;"",G114="Attending",U114=1),MAX(0,H114+I114-T114),0)</f>
        <v/>
      </c>
      <c r="W114" s="32">
        <f>IF(AND(O114=1,R114=""),1,0)</f>
        <v/>
      </c>
      <c r="X114" s="32">
        <f>IF(B114="",0,H114+I114)</f>
        <v/>
      </c>
      <c r="Y114" s="32">
        <f>N(Y113)+O114</f>
        <v/>
      </c>
      <c r="Z114" s="32">
        <f>IF(O114=1,Y114,"")</f>
        <v/>
      </c>
      <c r="AA114" s="32">
        <f>IF(AND(W114=1,G114="Not sure yet"),1,0)</f>
        <v/>
      </c>
      <c r="AB114" s="32">
        <f>N(AB113)+AA114</f>
        <v/>
      </c>
      <c r="AC114" s="32">
        <f>IF(AA114=1,AB114,"")</f>
        <v/>
      </c>
      <c r="AD114" s="32">
        <f>IF(D114="","",IF(LEN(D114)=10,"+1"&amp;D114,IF(AND(LEN(D114)=11,LEFT(D114,1)="1"),"+"&amp;D114,IF(LEFT(C114,1)="+","+"&amp;D114,D114))))</f>
        <v/>
      </c>
      <c r="AE114" s="32">
        <f>IF(B114="","",PROPER(IFERROR(LEFT(B114,FIND(" ",B114)-1),B114)))</f>
        <v/>
      </c>
      <c r="AF114" s="32">
        <f>SUBSTITUTE(SUBSTITUTE(SUBSTITUTE(SUBSTITUTE(SUBSTITUTE(SUBSTITUTE(SUBSTITUTE(SUBSTITUTE(SUBSTITUTE(SUBSTITUTE(AE114,"%","%25"),"&amp;","%26"),"#","%23"),"+","%2B"),"=","%3D"),"?","%3F"),CHAR(34),"%22"),CHAR(10),"%0A"),CHAR(13),"")," ","+")</f>
        <v/>
      </c>
      <c r="AG114" s="32">
        <f>IF(OR(AD114="",AE114=""),"",'Start Here'!$B$20&amp;"#p="&amp;SUBSTITUTE(AD114,"+","%2B")&amp;"&amp;n="&amp;AF114&amp;"&amp;m="&amp;SUBSTITUTE('Start Here'!$B$24,"{name}",AF114))</f>
        <v/>
      </c>
      <c r="AH114" s="32">
        <f>N(AH113)+W114</f>
        <v/>
      </c>
      <c r="AI114" s="32">
        <f>IF(W114=1,AH114,"")</f>
        <v/>
      </c>
    </row>
    <row r="115">
      <c r="A115" s="32">
        <f>IF(INDEX('Form Responses'!$A:$A,ROW())="","",INDEX('Form Responses'!$A:$A,ROW()))</f>
        <v/>
      </c>
      <c r="B115" s="32">
        <f>TRIM(INDEX('Form Responses'!$B:$B,ROW())&amp;"")</f>
        <v/>
      </c>
      <c r="C115" s="32">
        <f>IF(B115="","",TRIM(INDEX('Form Responses'!$C:$C,ROW())&amp;""))</f>
        <v/>
      </c>
      <c r="D115" s="32">
        <f>SUBSTITUTE(SUBSTITUTE(SUBSTITUTE(SUBSTITUTE(SUBSTITUTE(SUBSTITUTE(SUBSTITUTE(SUBSTITUTE(C115," ",""),"-",""),"(",""),")",""),".",""),"+",""),"/",""),CHAR(160),"")</f>
        <v/>
      </c>
      <c r="E115" s="32">
        <f>IF(LEN(D115)&gt;=10,RIGHT(D115,10),D115)</f>
        <v/>
      </c>
      <c r="F115" s="32">
        <f>IF(B115="","",TRIM(INDEX('Form Responses'!$D:$D,ROW())&amp;""))</f>
        <v/>
      </c>
      <c r="G115" s="32">
        <f>IF(B115="","",IF(LEFT(TRIM(INDEX('Form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5" s="32">
        <f>IF(B115="","",MAX(0,IFERROR(INT(--(INDEX('Form Responses'!$F:$F,ROW())&amp;"")),1)))</f>
        <v/>
      </c>
      <c r="I115" s="32">
        <f>IF(B115="","",MAX(0,IFERROR(INT(--(INDEX('Form Responses'!$G:$G,ROW())&amp;"")),0)))</f>
        <v/>
      </c>
      <c r="J115" s="32">
        <f>IF(B115="","",TRIM(INDEX('Form Responses'!$H:$H,ROW())&amp;""))</f>
        <v/>
      </c>
      <c r="K115" s="32">
        <f>IF(B115="","",TRIM(INDEX('Form Responses'!$I:$I,ROW())&amp;""))</f>
        <v/>
      </c>
      <c r="L115" s="32">
        <f>IF(B115="","",TRIM(INDEX('Form Responses'!$J:$J,ROW())&amp;""))</f>
        <v/>
      </c>
      <c r="M115" s="32">
        <f>IF(B115="","",TRIM(INDEX('Form Responses'!$K:$K,ROW())&amp;""))</f>
        <v/>
      </c>
      <c r="N115" s="32">
        <f>IF(B115="","",IF(E115&lt;&gt;"","P"&amp;E115,"N"&amp;B115))</f>
        <v/>
      </c>
      <c r="O115" s="32">
        <f>IF(N115="",0,IF(COUNTIF(N116:N$602,N115)=0,1,0))</f>
        <v/>
      </c>
      <c r="P115" s="32">
        <f>IF(AND(O115=1,E115&lt;&gt;""),E115,"")</f>
        <v/>
      </c>
      <c r="Q115" s="32">
        <f>IF(O115=1,B115,"")</f>
        <v/>
      </c>
      <c r="R115" s="32">
        <f>IF(O115&lt;&gt;1,"",IF(E115&lt;&gt;"",IFERROR(MATCH(E115,Guests!$S$6:$S$505,0)+5,IFERROR(MATCH(B115,Guests!$A$6:$A$505,0)+5,"")),IFERROR(MATCH(B115,Guests!$A$6:$A$505,0)+5,"")))</f>
        <v/>
      </c>
      <c r="S115" s="32">
        <f>IF(R115="","",TRIM(INDEX(Guests!$E$1:$E$505,R115)&amp;""))</f>
        <v/>
      </c>
      <c r="T115" s="32">
        <f>IF(R115="","",IF(S115="",1,COUNTIF(Guests!$E$6:$E$505,S115)))</f>
        <v/>
      </c>
      <c r="U115" s="32">
        <f>IF(R115="","",IF(S115="",1,IF(COUNTIF(S$1:S114,S115)=0,1,0)))</f>
        <v/>
      </c>
      <c r="V115" s="32">
        <f>IF(AND(R115&lt;&gt;"",G115="Attending",U115=1),MAX(0,H115+I115-T115),0)</f>
        <v/>
      </c>
      <c r="W115" s="32">
        <f>IF(AND(O115=1,R115=""),1,0)</f>
        <v/>
      </c>
      <c r="X115" s="32">
        <f>IF(B115="",0,H115+I115)</f>
        <v/>
      </c>
      <c r="Y115" s="32">
        <f>N(Y114)+O115</f>
        <v/>
      </c>
      <c r="Z115" s="32">
        <f>IF(O115=1,Y115,"")</f>
        <v/>
      </c>
      <c r="AA115" s="32">
        <f>IF(AND(W115=1,G115="Not sure yet"),1,0)</f>
        <v/>
      </c>
      <c r="AB115" s="32">
        <f>N(AB114)+AA115</f>
        <v/>
      </c>
      <c r="AC115" s="32">
        <f>IF(AA115=1,AB115,"")</f>
        <v/>
      </c>
      <c r="AD115" s="32">
        <f>IF(D115="","",IF(LEN(D115)=10,"+1"&amp;D115,IF(AND(LEN(D115)=11,LEFT(D115,1)="1"),"+"&amp;D115,IF(LEFT(C115,1)="+","+"&amp;D115,D115))))</f>
        <v/>
      </c>
      <c r="AE115" s="32">
        <f>IF(B115="","",PROPER(IFERROR(LEFT(B115,FIND(" ",B115)-1),B115)))</f>
        <v/>
      </c>
      <c r="AF115" s="32">
        <f>SUBSTITUTE(SUBSTITUTE(SUBSTITUTE(SUBSTITUTE(SUBSTITUTE(SUBSTITUTE(SUBSTITUTE(SUBSTITUTE(SUBSTITUTE(SUBSTITUTE(AE115,"%","%25"),"&amp;","%26"),"#","%23"),"+","%2B"),"=","%3D"),"?","%3F"),CHAR(34),"%22"),CHAR(10),"%0A"),CHAR(13),"")," ","+")</f>
        <v/>
      </c>
      <c r="AG115" s="32">
        <f>IF(OR(AD115="",AE115=""),"",'Start Here'!$B$20&amp;"#p="&amp;SUBSTITUTE(AD115,"+","%2B")&amp;"&amp;n="&amp;AF115&amp;"&amp;m="&amp;SUBSTITUTE('Start Here'!$B$24,"{name}",AF115))</f>
        <v/>
      </c>
      <c r="AH115" s="32">
        <f>N(AH114)+W115</f>
        <v/>
      </c>
      <c r="AI115" s="32">
        <f>IF(W115=1,AH115,"")</f>
        <v/>
      </c>
    </row>
    <row r="116">
      <c r="A116" s="32">
        <f>IF(INDEX('Form Responses'!$A:$A,ROW())="","",INDEX('Form Responses'!$A:$A,ROW()))</f>
        <v/>
      </c>
      <c r="B116" s="32">
        <f>TRIM(INDEX('Form Responses'!$B:$B,ROW())&amp;"")</f>
        <v/>
      </c>
      <c r="C116" s="32">
        <f>IF(B116="","",TRIM(INDEX('Form Responses'!$C:$C,ROW())&amp;""))</f>
        <v/>
      </c>
      <c r="D116" s="32">
        <f>SUBSTITUTE(SUBSTITUTE(SUBSTITUTE(SUBSTITUTE(SUBSTITUTE(SUBSTITUTE(SUBSTITUTE(SUBSTITUTE(C116," ",""),"-",""),"(",""),")",""),".",""),"+",""),"/",""),CHAR(160),"")</f>
        <v/>
      </c>
      <c r="E116" s="32">
        <f>IF(LEN(D116)&gt;=10,RIGHT(D116,10),D116)</f>
        <v/>
      </c>
      <c r="F116" s="32">
        <f>IF(B116="","",TRIM(INDEX('Form Responses'!$D:$D,ROW())&amp;""))</f>
        <v/>
      </c>
      <c r="G116" s="32">
        <f>IF(B116="","",IF(LEFT(TRIM(INDEX('Form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6" s="32">
        <f>IF(B116="","",MAX(0,IFERROR(INT(--(INDEX('Form Responses'!$F:$F,ROW())&amp;"")),1)))</f>
        <v/>
      </c>
      <c r="I116" s="32">
        <f>IF(B116="","",MAX(0,IFERROR(INT(--(INDEX('Form Responses'!$G:$G,ROW())&amp;"")),0)))</f>
        <v/>
      </c>
      <c r="J116" s="32">
        <f>IF(B116="","",TRIM(INDEX('Form Responses'!$H:$H,ROW())&amp;""))</f>
        <v/>
      </c>
      <c r="K116" s="32">
        <f>IF(B116="","",TRIM(INDEX('Form Responses'!$I:$I,ROW())&amp;""))</f>
        <v/>
      </c>
      <c r="L116" s="32">
        <f>IF(B116="","",TRIM(INDEX('Form Responses'!$J:$J,ROW())&amp;""))</f>
        <v/>
      </c>
      <c r="M116" s="32">
        <f>IF(B116="","",TRIM(INDEX('Form Responses'!$K:$K,ROW())&amp;""))</f>
        <v/>
      </c>
      <c r="N116" s="32">
        <f>IF(B116="","",IF(E116&lt;&gt;"","P"&amp;E116,"N"&amp;B116))</f>
        <v/>
      </c>
      <c r="O116" s="32">
        <f>IF(N116="",0,IF(COUNTIF(N117:N$602,N116)=0,1,0))</f>
        <v/>
      </c>
      <c r="P116" s="32">
        <f>IF(AND(O116=1,E116&lt;&gt;""),E116,"")</f>
        <v/>
      </c>
      <c r="Q116" s="32">
        <f>IF(O116=1,B116,"")</f>
        <v/>
      </c>
      <c r="R116" s="32">
        <f>IF(O116&lt;&gt;1,"",IF(E116&lt;&gt;"",IFERROR(MATCH(E116,Guests!$S$6:$S$505,0)+5,IFERROR(MATCH(B116,Guests!$A$6:$A$505,0)+5,"")),IFERROR(MATCH(B116,Guests!$A$6:$A$505,0)+5,"")))</f>
        <v/>
      </c>
      <c r="S116" s="32">
        <f>IF(R116="","",TRIM(INDEX(Guests!$E$1:$E$505,R116)&amp;""))</f>
        <v/>
      </c>
      <c r="T116" s="32">
        <f>IF(R116="","",IF(S116="",1,COUNTIF(Guests!$E$6:$E$505,S116)))</f>
        <v/>
      </c>
      <c r="U116" s="32">
        <f>IF(R116="","",IF(S116="",1,IF(COUNTIF(S$1:S115,S116)=0,1,0)))</f>
        <v/>
      </c>
      <c r="V116" s="32">
        <f>IF(AND(R116&lt;&gt;"",G116="Attending",U116=1),MAX(0,H116+I116-T116),0)</f>
        <v/>
      </c>
      <c r="W116" s="32">
        <f>IF(AND(O116=1,R116=""),1,0)</f>
        <v/>
      </c>
      <c r="X116" s="32">
        <f>IF(B116="",0,H116+I116)</f>
        <v/>
      </c>
      <c r="Y116" s="32">
        <f>N(Y115)+O116</f>
        <v/>
      </c>
      <c r="Z116" s="32">
        <f>IF(O116=1,Y116,"")</f>
        <v/>
      </c>
      <c r="AA116" s="32">
        <f>IF(AND(W116=1,G116="Not sure yet"),1,0)</f>
        <v/>
      </c>
      <c r="AB116" s="32">
        <f>N(AB115)+AA116</f>
        <v/>
      </c>
      <c r="AC116" s="32">
        <f>IF(AA116=1,AB116,"")</f>
        <v/>
      </c>
      <c r="AD116" s="32">
        <f>IF(D116="","",IF(LEN(D116)=10,"+1"&amp;D116,IF(AND(LEN(D116)=11,LEFT(D116,1)="1"),"+"&amp;D116,IF(LEFT(C116,1)="+","+"&amp;D116,D116))))</f>
        <v/>
      </c>
      <c r="AE116" s="32">
        <f>IF(B116="","",PROPER(IFERROR(LEFT(B116,FIND(" ",B116)-1),B116)))</f>
        <v/>
      </c>
      <c r="AF116" s="32">
        <f>SUBSTITUTE(SUBSTITUTE(SUBSTITUTE(SUBSTITUTE(SUBSTITUTE(SUBSTITUTE(SUBSTITUTE(SUBSTITUTE(SUBSTITUTE(SUBSTITUTE(AE116,"%","%25"),"&amp;","%26"),"#","%23"),"+","%2B"),"=","%3D"),"?","%3F"),CHAR(34),"%22"),CHAR(10),"%0A"),CHAR(13),"")," ","+")</f>
        <v/>
      </c>
      <c r="AG116" s="32">
        <f>IF(OR(AD116="",AE116=""),"",'Start Here'!$B$20&amp;"#p="&amp;SUBSTITUTE(AD116,"+","%2B")&amp;"&amp;n="&amp;AF116&amp;"&amp;m="&amp;SUBSTITUTE('Start Here'!$B$24,"{name}",AF116))</f>
        <v/>
      </c>
      <c r="AH116" s="32">
        <f>N(AH115)+W116</f>
        <v/>
      </c>
      <c r="AI116" s="32">
        <f>IF(W116=1,AH116,"")</f>
        <v/>
      </c>
    </row>
    <row r="117">
      <c r="A117" s="32">
        <f>IF(INDEX('Form Responses'!$A:$A,ROW())="","",INDEX('Form Responses'!$A:$A,ROW()))</f>
        <v/>
      </c>
      <c r="B117" s="32">
        <f>TRIM(INDEX('Form Responses'!$B:$B,ROW())&amp;"")</f>
        <v/>
      </c>
      <c r="C117" s="32">
        <f>IF(B117="","",TRIM(INDEX('Form Responses'!$C:$C,ROW())&amp;""))</f>
        <v/>
      </c>
      <c r="D117" s="32">
        <f>SUBSTITUTE(SUBSTITUTE(SUBSTITUTE(SUBSTITUTE(SUBSTITUTE(SUBSTITUTE(SUBSTITUTE(SUBSTITUTE(C117," ",""),"-",""),"(",""),")",""),".",""),"+",""),"/",""),CHAR(160),"")</f>
        <v/>
      </c>
      <c r="E117" s="32">
        <f>IF(LEN(D117)&gt;=10,RIGHT(D117,10),D117)</f>
        <v/>
      </c>
      <c r="F117" s="32">
        <f>IF(B117="","",TRIM(INDEX('Form Responses'!$D:$D,ROW())&amp;""))</f>
        <v/>
      </c>
      <c r="G117" s="32">
        <f>IF(B117="","",IF(LEFT(TRIM(INDEX('Form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7" s="32">
        <f>IF(B117="","",MAX(0,IFERROR(INT(--(INDEX('Form Responses'!$F:$F,ROW())&amp;"")),1)))</f>
        <v/>
      </c>
      <c r="I117" s="32">
        <f>IF(B117="","",MAX(0,IFERROR(INT(--(INDEX('Form Responses'!$G:$G,ROW())&amp;"")),0)))</f>
        <v/>
      </c>
      <c r="J117" s="32">
        <f>IF(B117="","",TRIM(INDEX('Form Responses'!$H:$H,ROW())&amp;""))</f>
        <v/>
      </c>
      <c r="K117" s="32">
        <f>IF(B117="","",TRIM(INDEX('Form Responses'!$I:$I,ROW())&amp;""))</f>
        <v/>
      </c>
      <c r="L117" s="32">
        <f>IF(B117="","",TRIM(INDEX('Form Responses'!$J:$J,ROW())&amp;""))</f>
        <v/>
      </c>
      <c r="M117" s="32">
        <f>IF(B117="","",TRIM(INDEX('Form Responses'!$K:$K,ROW())&amp;""))</f>
        <v/>
      </c>
      <c r="N117" s="32">
        <f>IF(B117="","",IF(E117&lt;&gt;"","P"&amp;E117,"N"&amp;B117))</f>
        <v/>
      </c>
      <c r="O117" s="32">
        <f>IF(N117="",0,IF(COUNTIF(N118:N$602,N117)=0,1,0))</f>
        <v/>
      </c>
      <c r="P117" s="32">
        <f>IF(AND(O117=1,E117&lt;&gt;""),E117,"")</f>
        <v/>
      </c>
      <c r="Q117" s="32">
        <f>IF(O117=1,B117,"")</f>
        <v/>
      </c>
      <c r="R117" s="32">
        <f>IF(O117&lt;&gt;1,"",IF(E117&lt;&gt;"",IFERROR(MATCH(E117,Guests!$S$6:$S$505,0)+5,IFERROR(MATCH(B117,Guests!$A$6:$A$505,0)+5,"")),IFERROR(MATCH(B117,Guests!$A$6:$A$505,0)+5,"")))</f>
        <v/>
      </c>
      <c r="S117" s="32">
        <f>IF(R117="","",TRIM(INDEX(Guests!$E$1:$E$505,R117)&amp;""))</f>
        <v/>
      </c>
      <c r="T117" s="32">
        <f>IF(R117="","",IF(S117="",1,COUNTIF(Guests!$E$6:$E$505,S117)))</f>
        <v/>
      </c>
      <c r="U117" s="32">
        <f>IF(R117="","",IF(S117="",1,IF(COUNTIF(S$1:S116,S117)=0,1,0)))</f>
        <v/>
      </c>
      <c r="V117" s="32">
        <f>IF(AND(R117&lt;&gt;"",G117="Attending",U117=1),MAX(0,H117+I117-T117),0)</f>
        <v/>
      </c>
      <c r="W117" s="32">
        <f>IF(AND(O117=1,R117=""),1,0)</f>
        <v/>
      </c>
      <c r="X117" s="32">
        <f>IF(B117="",0,H117+I117)</f>
        <v/>
      </c>
      <c r="Y117" s="32">
        <f>N(Y116)+O117</f>
        <v/>
      </c>
      <c r="Z117" s="32">
        <f>IF(O117=1,Y117,"")</f>
        <v/>
      </c>
      <c r="AA117" s="32">
        <f>IF(AND(W117=1,G117="Not sure yet"),1,0)</f>
        <v/>
      </c>
      <c r="AB117" s="32">
        <f>N(AB116)+AA117</f>
        <v/>
      </c>
      <c r="AC117" s="32">
        <f>IF(AA117=1,AB117,"")</f>
        <v/>
      </c>
      <c r="AD117" s="32">
        <f>IF(D117="","",IF(LEN(D117)=10,"+1"&amp;D117,IF(AND(LEN(D117)=11,LEFT(D117,1)="1"),"+"&amp;D117,IF(LEFT(C117,1)="+","+"&amp;D117,D117))))</f>
        <v/>
      </c>
      <c r="AE117" s="32">
        <f>IF(B117="","",PROPER(IFERROR(LEFT(B117,FIND(" ",B117)-1),B117)))</f>
        <v/>
      </c>
      <c r="AF117" s="32">
        <f>SUBSTITUTE(SUBSTITUTE(SUBSTITUTE(SUBSTITUTE(SUBSTITUTE(SUBSTITUTE(SUBSTITUTE(SUBSTITUTE(SUBSTITUTE(SUBSTITUTE(AE117,"%","%25"),"&amp;","%26"),"#","%23"),"+","%2B"),"=","%3D"),"?","%3F"),CHAR(34),"%22"),CHAR(10),"%0A"),CHAR(13),"")," ","+")</f>
        <v/>
      </c>
      <c r="AG117" s="32">
        <f>IF(OR(AD117="",AE117=""),"",'Start Here'!$B$20&amp;"#p="&amp;SUBSTITUTE(AD117,"+","%2B")&amp;"&amp;n="&amp;AF117&amp;"&amp;m="&amp;SUBSTITUTE('Start Here'!$B$24,"{name}",AF117))</f>
        <v/>
      </c>
      <c r="AH117" s="32">
        <f>N(AH116)+W117</f>
        <v/>
      </c>
      <c r="AI117" s="32">
        <f>IF(W117=1,AH117,"")</f>
        <v/>
      </c>
    </row>
    <row r="118">
      <c r="A118" s="32">
        <f>IF(INDEX('Form Responses'!$A:$A,ROW())="","",INDEX('Form Responses'!$A:$A,ROW()))</f>
        <v/>
      </c>
      <c r="B118" s="32">
        <f>TRIM(INDEX('Form Responses'!$B:$B,ROW())&amp;"")</f>
        <v/>
      </c>
      <c r="C118" s="32">
        <f>IF(B118="","",TRIM(INDEX('Form Responses'!$C:$C,ROW())&amp;""))</f>
        <v/>
      </c>
      <c r="D118" s="32">
        <f>SUBSTITUTE(SUBSTITUTE(SUBSTITUTE(SUBSTITUTE(SUBSTITUTE(SUBSTITUTE(SUBSTITUTE(SUBSTITUTE(C118," ",""),"-",""),"(",""),")",""),".",""),"+",""),"/",""),CHAR(160),"")</f>
        <v/>
      </c>
      <c r="E118" s="32">
        <f>IF(LEN(D118)&gt;=10,RIGHT(D118,10),D118)</f>
        <v/>
      </c>
      <c r="F118" s="32">
        <f>IF(B118="","",TRIM(INDEX('Form Responses'!$D:$D,ROW())&amp;""))</f>
        <v/>
      </c>
      <c r="G118" s="32">
        <f>IF(B118="","",IF(LEFT(TRIM(INDEX('Form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8" s="32">
        <f>IF(B118="","",MAX(0,IFERROR(INT(--(INDEX('Form Responses'!$F:$F,ROW())&amp;"")),1)))</f>
        <v/>
      </c>
      <c r="I118" s="32">
        <f>IF(B118="","",MAX(0,IFERROR(INT(--(INDEX('Form Responses'!$G:$G,ROW())&amp;"")),0)))</f>
        <v/>
      </c>
      <c r="J118" s="32">
        <f>IF(B118="","",TRIM(INDEX('Form Responses'!$H:$H,ROW())&amp;""))</f>
        <v/>
      </c>
      <c r="K118" s="32">
        <f>IF(B118="","",TRIM(INDEX('Form Responses'!$I:$I,ROW())&amp;""))</f>
        <v/>
      </c>
      <c r="L118" s="32">
        <f>IF(B118="","",TRIM(INDEX('Form Responses'!$J:$J,ROW())&amp;""))</f>
        <v/>
      </c>
      <c r="M118" s="32">
        <f>IF(B118="","",TRIM(INDEX('Form Responses'!$K:$K,ROW())&amp;""))</f>
        <v/>
      </c>
      <c r="N118" s="32">
        <f>IF(B118="","",IF(E118&lt;&gt;"","P"&amp;E118,"N"&amp;B118))</f>
        <v/>
      </c>
      <c r="O118" s="32">
        <f>IF(N118="",0,IF(COUNTIF(N119:N$602,N118)=0,1,0))</f>
        <v/>
      </c>
      <c r="P118" s="32">
        <f>IF(AND(O118=1,E118&lt;&gt;""),E118,"")</f>
        <v/>
      </c>
      <c r="Q118" s="32">
        <f>IF(O118=1,B118,"")</f>
        <v/>
      </c>
      <c r="R118" s="32">
        <f>IF(O118&lt;&gt;1,"",IF(E118&lt;&gt;"",IFERROR(MATCH(E118,Guests!$S$6:$S$505,0)+5,IFERROR(MATCH(B118,Guests!$A$6:$A$505,0)+5,"")),IFERROR(MATCH(B118,Guests!$A$6:$A$505,0)+5,"")))</f>
        <v/>
      </c>
      <c r="S118" s="32">
        <f>IF(R118="","",TRIM(INDEX(Guests!$E$1:$E$505,R118)&amp;""))</f>
        <v/>
      </c>
      <c r="T118" s="32">
        <f>IF(R118="","",IF(S118="",1,COUNTIF(Guests!$E$6:$E$505,S118)))</f>
        <v/>
      </c>
      <c r="U118" s="32">
        <f>IF(R118="","",IF(S118="",1,IF(COUNTIF(S$1:S117,S118)=0,1,0)))</f>
        <v/>
      </c>
      <c r="V118" s="32">
        <f>IF(AND(R118&lt;&gt;"",G118="Attending",U118=1),MAX(0,H118+I118-T118),0)</f>
        <v/>
      </c>
      <c r="W118" s="32">
        <f>IF(AND(O118=1,R118=""),1,0)</f>
        <v/>
      </c>
      <c r="X118" s="32">
        <f>IF(B118="",0,H118+I118)</f>
        <v/>
      </c>
      <c r="Y118" s="32">
        <f>N(Y117)+O118</f>
        <v/>
      </c>
      <c r="Z118" s="32">
        <f>IF(O118=1,Y118,"")</f>
        <v/>
      </c>
      <c r="AA118" s="32">
        <f>IF(AND(W118=1,G118="Not sure yet"),1,0)</f>
        <v/>
      </c>
      <c r="AB118" s="32">
        <f>N(AB117)+AA118</f>
        <v/>
      </c>
      <c r="AC118" s="32">
        <f>IF(AA118=1,AB118,"")</f>
        <v/>
      </c>
      <c r="AD118" s="32">
        <f>IF(D118="","",IF(LEN(D118)=10,"+1"&amp;D118,IF(AND(LEN(D118)=11,LEFT(D118,1)="1"),"+"&amp;D118,IF(LEFT(C118,1)="+","+"&amp;D118,D118))))</f>
        <v/>
      </c>
      <c r="AE118" s="32">
        <f>IF(B118="","",PROPER(IFERROR(LEFT(B118,FIND(" ",B118)-1),B118)))</f>
        <v/>
      </c>
      <c r="AF118" s="32">
        <f>SUBSTITUTE(SUBSTITUTE(SUBSTITUTE(SUBSTITUTE(SUBSTITUTE(SUBSTITUTE(SUBSTITUTE(SUBSTITUTE(SUBSTITUTE(SUBSTITUTE(AE118,"%","%25"),"&amp;","%26"),"#","%23"),"+","%2B"),"=","%3D"),"?","%3F"),CHAR(34),"%22"),CHAR(10),"%0A"),CHAR(13),"")," ","+")</f>
        <v/>
      </c>
      <c r="AG118" s="32">
        <f>IF(OR(AD118="",AE118=""),"",'Start Here'!$B$20&amp;"#p="&amp;SUBSTITUTE(AD118,"+","%2B")&amp;"&amp;n="&amp;AF118&amp;"&amp;m="&amp;SUBSTITUTE('Start Here'!$B$24,"{name}",AF118))</f>
        <v/>
      </c>
      <c r="AH118" s="32">
        <f>N(AH117)+W118</f>
        <v/>
      </c>
      <c r="AI118" s="32">
        <f>IF(W118=1,AH118,"")</f>
        <v/>
      </c>
    </row>
    <row r="119">
      <c r="A119" s="32">
        <f>IF(INDEX('Form Responses'!$A:$A,ROW())="","",INDEX('Form Responses'!$A:$A,ROW()))</f>
        <v/>
      </c>
      <c r="B119" s="32">
        <f>TRIM(INDEX('Form Responses'!$B:$B,ROW())&amp;"")</f>
        <v/>
      </c>
      <c r="C119" s="32">
        <f>IF(B119="","",TRIM(INDEX('Form Responses'!$C:$C,ROW())&amp;""))</f>
        <v/>
      </c>
      <c r="D119" s="32">
        <f>SUBSTITUTE(SUBSTITUTE(SUBSTITUTE(SUBSTITUTE(SUBSTITUTE(SUBSTITUTE(SUBSTITUTE(SUBSTITUTE(C119," ",""),"-",""),"(",""),")",""),".",""),"+",""),"/",""),CHAR(160),"")</f>
        <v/>
      </c>
      <c r="E119" s="32">
        <f>IF(LEN(D119)&gt;=10,RIGHT(D119,10),D119)</f>
        <v/>
      </c>
      <c r="F119" s="32">
        <f>IF(B119="","",TRIM(INDEX('Form Responses'!$D:$D,ROW())&amp;""))</f>
        <v/>
      </c>
      <c r="G119" s="32">
        <f>IF(B119="","",IF(LEFT(TRIM(INDEX('Form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19" s="32">
        <f>IF(B119="","",MAX(0,IFERROR(INT(--(INDEX('Form Responses'!$F:$F,ROW())&amp;"")),1)))</f>
        <v/>
      </c>
      <c r="I119" s="32">
        <f>IF(B119="","",MAX(0,IFERROR(INT(--(INDEX('Form Responses'!$G:$G,ROW())&amp;"")),0)))</f>
        <v/>
      </c>
      <c r="J119" s="32">
        <f>IF(B119="","",TRIM(INDEX('Form Responses'!$H:$H,ROW())&amp;""))</f>
        <v/>
      </c>
      <c r="K119" s="32">
        <f>IF(B119="","",TRIM(INDEX('Form Responses'!$I:$I,ROW())&amp;""))</f>
        <v/>
      </c>
      <c r="L119" s="32">
        <f>IF(B119="","",TRIM(INDEX('Form Responses'!$J:$J,ROW())&amp;""))</f>
        <v/>
      </c>
      <c r="M119" s="32">
        <f>IF(B119="","",TRIM(INDEX('Form Responses'!$K:$K,ROW())&amp;""))</f>
        <v/>
      </c>
      <c r="N119" s="32">
        <f>IF(B119="","",IF(E119&lt;&gt;"","P"&amp;E119,"N"&amp;B119))</f>
        <v/>
      </c>
      <c r="O119" s="32">
        <f>IF(N119="",0,IF(COUNTIF(N120:N$602,N119)=0,1,0))</f>
        <v/>
      </c>
      <c r="P119" s="32">
        <f>IF(AND(O119=1,E119&lt;&gt;""),E119,"")</f>
        <v/>
      </c>
      <c r="Q119" s="32">
        <f>IF(O119=1,B119,"")</f>
        <v/>
      </c>
      <c r="R119" s="32">
        <f>IF(O119&lt;&gt;1,"",IF(E119&lt;&gt;"",IFERROR(MATCH(E119,Guests!$S$6:$S$505,0)+5,IFERROR(MATCH(B119,Guests!$A$6:$A$505,0)+5,"")),IFERROR(MATCH(B119,Guests!$A$6:$A$505,0)+5,"")))</f>
        <v/>
      </c>
      <c r="S119" s="32">
        <f>IF(R119="","",TRIM(INDEX(Guests!$E$1:$E$505,R119)&amp;""))</f>
        <v/>
      </c>
      <c r="T119" s="32">
        <f>IF(R119="","",IF(S119="",1,COUNTIF(Guests!$E$6:$E$505,S119)))</f>
        <v/>
      </c>
      <c r="U119" s="32">
        <f>IF(R119="","",IF(S119="",1,IF(COUNTIF(S$1:S118,S119)=0,1,0)))</f>
        <v/>
      </c>
      <c r="V119" s="32">
        <f>IF(AND(R119&lt;&gt;"",G119="Attending",U119=1),MAX(0,H119+I119-T119),0)</f>
        <v/>
      </c>
      <c r="W119" s="32">
        <f>IF(AND(O119=1,R119=""),1,0)</f>
        <v/>
      </c>
      <c r="X119" s="32">
        <f>IF(B119="",0,H119+I119)</f>
        <v/>
      </c>
      <c r="Y119" s="32">
        <f>N(Y118)+O119</f>
        <v/>
      </c>
      <c r="Z119" s="32">
        <f>IF(O119=1,Y119,"")</f>
        <v/>
      </c>
      <c r="AA119" s="32">
        <f>IF(AND(W119=1,G119="Not sure yet"),1,0)</f>
        <v/>
      </c>
      <c r="AB119" s="32">
        <f>N(AB118)+AA119</f>
        <v/>
      </c>
      <c r="AC119" s="32">
        <f>IF(AA119=1,AB119,"")</f>
        <v/>
      </c>
      <c r="AD119" s="32">
        <f>IF(D119="","",IF(LEN(D119)=10,"+1"&amp;D119,IF(AND(LEN(D119)=11,LEFT(D119,1)="1"),"+"&amp;D119,IF(LEFT(C119,1)="+","+"&amp;D119,D119))))</f>
        <v/>
      </c>
      <c r="AE119" s="32">
        <f>IF(B119="","",PROPER(IFERROR(LEFT(B119,FIND(" ",B119)-1),B119)))</f>
        <v/>
      </c>
      <c r="AF119" s="32">
        <f>SUBSTITUTE(SUBSTITUTE(SUBSTITUTE(SUBSTITUTE(SUBSTITUTE(SUBSTITUTE(SUBSTITUTE(SUBSTITUTE(SUBSTITUTE(SUBSTITUTE(AE119,"%","%25"),"&amp;","%26"),"#","%23"),"+","%2B"),"=","%3D"),"?","%3F"),CHAR(34),"%22"),CHAR(10),"%0A"),CHAR(13),"")," ","+")</f>
        <v/>
      </c>
      <c r="AG119" s="32">
        <f>IF(OR(AD119="",AE119=""),"",'Start Here'!$B$20&amp;"#p="&amp;SUBSTITUTE(AD119,"+","%2B")&amp;"&amp;n="&amp;AF119&amp;"&amp;m="&amp;SUBSTITUTE('Start Here'!$B$24,"{name}",AF119))</f>
        <v/>
      </c>
      <c r="AH119" s="32">
        <f>N(AH118)+W119</f>
        <v/>
      </c>
      <c r="AI119" s="32">
        <f>IF(W119=1,AH119,"")</f>
        <v/>
      </c>
    </row>
    <row r="120">
      <c r="A120" s="32">
        <f>IF(INDEX('Form Responses'!$A:$A,ROW())="","",INDEX('Form Responses'!$A:$A,ROW()))</f>
        <v/>
      </c>
      <c r="B120" s="32">
        <f>TRIM(INDEX('Form Responses'!$B:$B,ROW())&amp;"")</f>
        <v/>
      </c>
      <c r="C120" s="32">
        <f>IF(B120="","",TRIM(INDEX('Form Responses'!$C:$C,ROW())&amp;""))</f>
        <v/>
      </c>
      <c r="D120" s="32">
        <f>SUBSTITUTE(SUBSTITUTE(SUBSTITUTE(SUBSTITUTE(SUBSTITUTE(SUBSTITUTE(SUBSTITUTE(SUBSTITUTE(C120," ",""),"-",""),"(",""),")",""),".",""),"+",""),"/",""),CHAR(160),"")</f>
        <v/>
      </c>
      <c r="E120" s="32">
        <f>IF(LEN(D120)&gt;=10,RIGHT(D120,10),D120)</f>
        <v/>
      </c>
      <c r="F120" s="32">
        <f>IF(B120="","",TRIM(INDEX('Form Responses'!$D:$D,ROW())&amp;""))</f>
        <v/>
      </c>
      <c r="G120" s="32">
        <f>IF(B120="","",IF(LEFT(TRIM(INDEX('Form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0" s="32">
        <f>IF(B120="","",MAX(0,IFERROR(INT(--(INDEX('Form Responses'!$F:$F,ROW())&amp;"")),1)))</f>
        <v/>
      </c>
      <c r="I120" s="32">
        <f>IF(B120="","",MAX(0,IFERROR(INT(--(INDEX('Form Responses'!$G:$G,ROW())&amp;"")),0)))</f>
        <v/>
      </c>
      <c r="J120" s="32">
        <f>IF(B120="","",TRIM(INDEX('Form Responses'!$H:$H,ROW())&amp;""))</f>
        <v/>
      </c>
      <c r="K120" s="32">
        <f>IF(B120="","",TRIM(INDEX('Form Responses'!$I:$I,ROW())&amp;""))</f>
        <v/>
      </c>
      <c r="L120" s="32">
        <f>IF(B120="","",TRIM(INDEX('Form Responses'!$J:$J,ROW())&amp;""))</f>
        <v/>
      </c>
      <c r="M120" s="32">
        <f>IF(B120="","",TRIM(INDEX('Form Responses'!$K:$K,ROW())&amp;""))</f>
        <v/>
      </c>
      <c r="N120" s="32">
        <f>IF(B120="","",IF(E120&lt;&gt;"","P"&amp;E120,"N"&amp;B120))</f>
        <v/>
      </c>
      <c r="O120" s="32">
        <f>IF(N120="",0,IF(COUNTIF(N121:N$602,N120)=0,1,0))</f>
        <v/>
      </c>
      <c r="P120" s="32">
        <f>IF(AND(O120=1,E120&lt;&gt;""),E120,"")</f>
        <v/>
      </c>
      <c r="Q120" s="32">
        <f>IF(O120=1,B120,"")</f>
        <v/>
      </c>
      <c r="R120" s="32">
        <f>IF(O120&lt;&gt;1,"",IF(E120&lt;&gt;"",IFERROR(MATCH(E120,Guests!$S$6:$S$505,0)+5,IFERROR(MATCH(B120,Guests!$A$6:$A$505,0)+5,"")),IFERROR(MATCH(B120,Guests!$A$6:$A$505,0)+5,"")))</f>
        <v/>
      </c>
      <c r="S120" s="32">
        <f>IF(R120="","",TRIM(INDEX(Guests!$E$1:$E$505,R120)&amp;""))</f>
        <v/>
      </c>
      <c r="T120" s="32">
        <f>IF(R120="","",IF(S120="",1,COUNTIF(Guests!$E$6:$E$505,S120)))</f>
        <v/>
      </c>
      <c r="U120" s="32">
        <f>IF(R120="","",IF(S120="",1,IF(COUNTIF(S$1:S119,S120)=0,1,0)))</f>
        <v/>
      </c>
      <c r="V120" s="32">
        <f>IF(AND(R120&lt;&gt;"",G120="Attending",U120=1),MAX(0,H120+I120-T120),0)</f>
        <v/>
      </c>
      <c r="W120" s="32">
        <f>IF(AND(O120=1,R120=""),1,0)</f>
        <v/>
      </c>
      <c r="X120" s="32">
        <f>IF(B120="",0,H120+I120)</f>
        <v/>
      </c>
      <c r="Y120" s="32">
        <f>N(Y119)+O120</f>
        <v/>
      </c>
      <c r="Z120" s="32">
        <f>IF(O120=1,Y120,"")</f>
        <v/>
      </c>
      <c r="AA120" s="32">
        <f>IF(AND(W120=1,G120="Not sure yet"),1,0)</f>
        <v/>
      </c>
      <c r="AB120" s="32">
        <f>N(AB119)+AA120</f>
        <v/>
      </c>
      <c r="AC120" s="32">
        <f>IF(AA120=1,AB120,"")</f>
        <v/>
      </c>
      <c r="AD120" s="32">
        <f>IF(D120="","",IF(LEN(D120)=10,"+1"&amp;D120,IF(AND(LEN(D120)=11,LEFT(D120,1)="1"),"+"&amp;D120,IF(LEFT(C120,1)="+","+"&amp;D120,D120))))</f>
        <v/>
      </c>
      <c r="AE120" s="32">
        <f>IF(B120="","",PROPER(IFERROR(LEFT(B120,FIND(" ",B120)-1),B120)))</f>
        <v/>
      </c>
      <c r="AF120" s="32">
        <f>SUBSTITUTE(SUBSTITUTE(SUBSTITUTE(SUBSTITUTE(SUBSTITUTE(SUBSTITUTE(SUBSTITUTE(SUBSTITUTE(SUBSTITUTE(SUBSTITUTE(AE120,"%","%25"),"&amp;","%26"),"#","%23"),"+","%2B"),"=","%3D"),"?","%3F"),CHAR(34),"%22"),CHAR(10),"%0A"),CHAR(13),"")," ","+")</f>
        <v/>
      </c>
      <c r="AG120" s="32">
        <f>IF(OR(AD120="",AE120=""),"",'Start Here'!$B$20&amp;"#p="&amp;SUBSTITUTE(AD120,"+","%2B")&amp;"&amp;n="&amp;AF120&amp;"&amp;m="&amp;SUBSTITUTE('Start Here'!$B$24,"{name}",AF120))</f>
        <v/>
      </c>
      <c r="AH120" s="32">
        <f>N(AH119)+W120</f>
        <v/>
      </c>
      <c r="AI120" s="32">
        <f>IF(W120=1,AH120,"")</f>
        <v/>
      </c>
    </row>
    <row r="121">
      <c r="A121" s="32">
        <f>IF(INDEX('Form Responses'!$A:$A,ROW())="","",INDEX('Form Responses'!$A:$A,ROW()))</f>
        <v/>
      </c>
      <c r="B121" s="32">
        <f>TRIM(INDEX('Form Responses'!$B:$B,ROW())&amp;"")</f>
        <v/>
      </c>
      <c r="C121" s="32">
        <f>IF(B121="","",TRIM(INDEX('Form Responses'!$C:$C,ROW())&amp;""))</f>
        <v/>
      </c>
      <c r="D121" s="32">
        <f>SUBSTITUTE(SUBSTITUTE(SUBSTITUTE(SUBSTITUTE(SUBSTITUTE(SUBSTITUTE(SUBSTITUTE(SUBSTITUTE(C121," ",""),"-",""),"(",""),")",""),".",""),"+",""),"/",""),CHAR(160),"")</f>
        <v/>
      </c>
      <c r="E121" s="32">
        <f>IF(LEN(D121)&gt;=10,RIGHT(D121,10),D121)</f>
        <v/>
      </c>
      <c r="F121" s="32">
        <f>IF(B121="","",TRIM(INDEX('Form Responses'!$D:$D,ROW())&amp;""))</f>
        <v/>
      </c>
      <c r="G121" s="32">
        <f>IF(B121="","",IF(LEFT(TRIM(INDEX('Form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1" s="32">
        <f>IF(B121="","",MAX(0,IFERROR(INT(--(INDEX('Form Responses'!$F:$F,ROW())&amp;"")),1)))</f>
        <v/>
      </c>
      <c r="I121" s="32">
        <f>IF(B121="","",MAX(0,IFERROR(INT(--(INDEX('Form Responses'!$G:$G,ROW())&amp;"")),0)))</f>
        <v/>
      </c>
      <c r="J121" s="32">
        <f>IF(B121="","",TRIM(INDEX('Form Responses'!$H:$H,ROW())&amp;""))</f>
        <v/>
      </c>
      <c r="K121" s="32">
        <f>IF(B121="","",TRIM(INDEX('Form Responses'!$I:$I,ROW())&amp;""))</f>
        <v/>
      </c>
      <c r="L121" s="32">
        <f>IF(B121="","",TRIM(INDEX('Form Responses'!$J:$J,ROW())&amp;""))</f>
        <v/>
      </c>
      <c r="M121" s="32">
        <f>IF(B121="","",TRIM(INDEX('Form Responses'!$K:$K,ROW())&amp;""))</f>
        <v/>
      </c>
      <c r="N121" s="32">
        <f>IF(B121="","",IF(E121&lt;&gt;"","P"&amp;E121,"N"&amp;B121))</f>
        <v/>
      </c>
      <c r="O121" s="32">
        <f>IF(N121="",0,IF(COUNTIF(N122:N$602,N121)=0,1,0))</f>
        <v/>
      </c>
      <c r="P121" s="32">
        <f>IF(AND(O121=1,E121&lt;&gt;""),E121,"")</f>
        <v/>
      </c>
      <c r="Q121" s="32">
        <f>IF(O121=1,B121,"")</f>
        <v/>
      </c>
      <c r="R121" s="32">
        <f>IF(O121&lt;&gt;1,"",IF(E121&lt;&gt;"",IFERROR(MATCH(E121,Guests!$S$6:$S$505,0)+5,IFERROR(MATCH(B121,Guests!$A$6:$A$505,0)+5,"")),IFERROR(MATCH(B121,Guests!$A$6:$A$505,0)+5,"")))</f>
        <v/>
      </c>
      <c r="S121" s="32">
        <f>IF(R121="","",TRIM(INDEX(Guests!$E$1:$E$505,R121)&amp;""))</f>
        <v/>
      </c>
      <c r="T121" s="32">
        <f>IF(R121="","",IF(S121="",1,COUNTIF(Guests!$E$6:$E$505,S121)))</f>
        <v/>
      </c>
      <c r="U121" s="32">
        <f>IF(R121="","",IF(S121="",1,IF(COUNTIF(S$1:S120,S121)=0,1,0)))</f>
        <v/>
      </c>
      <c r="V121" s="32">
        <f>IF(AND(R121&lt;&gt;"",G121="Attending",U121=1),MAX(0,H121+I121-T121),0)</f>
        <v/>
      </c>
      <c r="W121" s="32">
        <f>IF(AND(O121=1,R121=""),1,0)</f>
        <v/>
      </c>
      <c r="X121" s="32">
        <f>IF(B121="",0,H121+I121)</f>
        <v/>
      </c>
      <c r="Y121" s="32">
        <f>N(Y120)+O121</f>
        <v/>
      </c>
      <c r="Z121" s="32">
        <f>IF(O121=1,Y121,"")</f>
        <v/>
      </c>
      <c r="AA121" s="32">
        <f>IF(AND(W121=1,G121="Not sure yet"),1,0)</f>
        <v/>
      </c>
      <c r="AB121" s="32">
        <f>N(AB120)+AA121</f>
        <v/>
      </c>
      <c r="AC121" s="32">
        <f>IF(AA121=1,AB121,"")</f>
        <v/>
      </c>
      <c r="AD121" s="32">
        <f>IF(D121="","",IF(LEN(D121)=10,"+1"&amp;D121,IF(AND(LEN(D121)=11,LEFT(D121,1)="1"),"+"&amp;D121,IF(LEFT(C121,1)="+","+"&amp;D121,D121))))</f>
        <v/>
      </c>
      <c r="AE121" s="32">
        <f>IF(B121="","",PROPER(IFERROR(LEFT(B121,FIND(" ",B121)-1),B121)))</f>
        <v/>
      </c>
      <c r="AF121" s="32">
        <f>SUBSTITUTE(SUBSTITUTE(SUBSTITUTE(SUBSTITUTE(SUBSTITUTE(SUBSTITUTE(SUBSTITUTE(SUBSTITUTE(SUBSTITUTE(SUBSTITUTE(AE121,"%","%25"),"&amp;","%26"),"#","%23"),"+","%2B"),"=","%3D"),"?","%3F"),CHAR(34),"%22"),CHAR(10),"%0A"),CHAR(13),"")," ","+")</f>
        <v/>
      </c>
      <c r="AG121" s="32">
        <f>IF(OR(AD121="",AE121=""),"",'Start Here'!$B$20&amp;"#p="&amp;SUBSTITUTE(AD121,"+","%2B")&amp;"&amp;n="&amp;AF121&amp;"&amp;m="&amp;SUBSTITUTE('Start Here'!$B$24,"{name}",AF121))</f>
        <v/>
      </c>
      <c r="AH121" s="32">
        <f>N(AH120)+W121</f>
        <v/>
      </c>
      <c r="AI121" s="32">
        <f>IF(W121=1,AH121,"")</f>
        <v/>
      </c>
    </row>
    <row r="122">
      <c r="A122" s="32">
        <f>IF(INDEX('Form Responses'!$A:$A,ROW())="","",INDEX('Form Responses'!$A:$A,ROW()))</f>
        <v/>
      </c>
      <c r="B122" s="32">
        <f>TRIM(INDEX('Form Responses'!$B:$B,ROW())&amp;"")</f>
        <v/>
      </c>
      <c r="C122" s="32">
        <f>IF(B122="","",TRIM(INDEX('Form Responses'!$C:$C,ROW())&amp;""))</f>
        <v/>
      </c>
      <c r="D122" s="32">
        <f>SUBSTITUTE(SUBSTITUTE(SUBSTITUTE(SUBSTITUTE(SUBSTITUTE(SUBSTITUTE(SUBSTITUTE(SUBSTITUTE(C122," ",""),"-",""),"(",""),")",""),".",""),"+",""),"/",""),CHAR(160),"")</f>
        <v/>
      </c>
      <c r="E122" s="32">
        <f>IF(LEN(D122)&gt;=10,RIGHT(D122,10),D122)</f>
        <v/>
      </c>
      <c r="F122" s="32">
        <f>IF(B122="","",TRIM(INDEX('Form Responses'!$D:$D,ROW())&amp;""))</f>
        <v/>
      </c>
      <c r="G122" s="32">
        <f>IF(B122="","",IF(LEFT(TRIM(INDEX('Form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2" s="32">
        <f>IF(B122="","",MAX(0,IFERROR(INT(--(INDEX('Form Responses'!$F:$F,ROW())&amp;"")),1)))</f>
        <v/>
      </c>
      <c r="I122" s="32">
        <f>IF(B122="","",MAX(0,IFERROR(INT(--(INDEX('Form Responses'!$G:$G,ROW())&amp;"")),0)))</f>
        <v/>
      </c>
      <c r="J122" s="32">
        <f>IF(B122="","",TRIM(INDEX('Form Responses'!$H:$H,ROW())&amp;""))</f>
        <v/>
      </c>
      <c r="K122" s="32">
        <f>IF(B122="","",TRIM(INDEX('Form Responses'!$I:$I,ROW())&amp;""))</f>
        <v/>
      </c>
      <c r="L122" s="32">
        <f>IF(B122="","",TRIM(INDEX('Form Responses'!$J:$J,ROW())&amp;""))</f>
        <v/>
      </c>
      <c r="M122" s="32">
        <f>IF(B122="","",TRIM(INDEX('Form Responses'!$K:$K,ROW())&amp;""))</f>
        <v/>
      </c>
      <c r="N122" s="32">
        <f>IF(B122="","",IF(E122&lt;&gt;"","P"&amp;E122,"N"&amp;B122))</f>
        <v/>
      </c>
      <c r="O122" s="32">
        <f>IF(N122="",0,IF(COUNTIF(N123:N$602,N122)=0,1,0))</f>
        <v/>
      </c>
      <c r="P122" s="32">
        <f>IF(AND(O122=1,E122&lt;&gt;""),E122,"")</f>
        <v/>
      </c>
      <c r="Q122" s="32">
        <f>IF(O122=1,B122,"")</f>
        <v/>
      </c>
      <c r="R122" s="32">
        <f>IF(O122&lt;&gt;1,"",IF(E122&lt;&gt;"",IFERROR(MATCH(E122,Guests!$S$6:$S$505,0)+5,IFERROR(MATCH(B122,Guests!$A$6:$A$505,0)+5,"")),IFERROR(MATCH(B122,Guests!$A$6:$A$505,0)+5,"")))</f>
        <v/>
      </c>
      <c r="S122" s="32">
        <f>IF(R122="","",TRIM(INDEX(Guests!$E$1:$E$505,R122)&amp;""))</f>
        <v/>
      </c>
      <c r="T122" s="32">
        <f>IF(R122="","",IF(S122="",1,COUNTIF(Guests!$E$6:$E$505,S122)))</f>
        <v/>
      </c>
      <c r="U122" s="32">
        <f>IF(R122="","",IF(S122="",1,IF(COUNTIF(S$1:S121,S122)=0,1,0)))</f>
        <v/>
      </c>
      <c r="V122" s="32">
        <f>IF(AND(R122&lt;&gt;"",G122="Attending",U122=1),MAX(0,H122+I122-T122),0)</f>
        <v/>
      </c>
      <c r="W122" s="32">
        <f>IF(AND(O122=1,R122=""),1,0)</f>
        <v/>
      </c>
      <c r="X122" s="32">
        <f>IF(B122="",0,H122+I122)</f>
        <v/>
      </c>
      <c r="Y122" s="32">
        <f>N(Y121)+O122</f>
        <v/>
      </c>
      <c r="Z122" s="32">
        <f>IF(O122=1,Y122,"")</f>
        <v/>
      </c>
      <c r="AA122" s="32">
        <f>IF(AND(W122=1,G122="Not sure yet"),1,0)</f>
        <v/>
      </c>
      <c r="AB122" s="32">
        <f>N(AB121)+AA122</f>
        <v/>
      </c>
      <c r="AC122" s="32">
        <f>IF(AA122=1,AB122,"")</f>
        <v/>
      </c>
      <c r="AD122" s="32">
        <f>IF(D122="","",IF(LEN(D122)=10,"+1"&amp;D122,IF(AND(LEN(D122)=11,LEFT(D122,1)="1"),"+"&amp;D122,IF(LEFT(C122,1)="+","+"&amp;D122,D122))))</f>
        <v/>
      </c>
      <c r="AE122" s="32">
        <f>IF(B122="","",PROPER(IFERROR(LEFT(B122,FIND(" ",B122)-1),B122)))</f>
        <v/>
      </c>
      <c r="AF122" s="32">
        <f>SUBSTITUTE(SUBSTITUTE(SUBSTITUTE(SUBSTITUTE(SUBSTITUTE(SUBSTITUTE(SUBSTITUTE(SUBSTITUTE(SUBSTITUTE(SUBSTITUTE(AE122,"%","%25"),"&amp;","%26"),"#","%23"),"+","%2B"),"=","%3D"),"?","%3F"),CHAR(34),"%22"),CHAR(10),"%0A"),CHAR(13),"")," ","+")</f>
        <v/>
      </c>
      <c r="AG122" s="32">
        <f>IF(OR(AD122="",AE122=""),"",'Start Here'!$B$20&amp;"#p="&amp;SUBSTITUTE(AD122,"+","%2B")&amp;"&amp;n="&amp;AF122&amp;"&amp;m="&amp;SUBSTITUTE('Start Here'!$B$24,"{name}",AF122))</f>
        <v/>
      </c>
      <c r="AH122" s="32">
        <f>N(AH121)+W122</f>
        <v/>
      </c>
      <c r="AI122" s="32">
        <f>IF(W122=1,AH122,"")</f>
        <v/>
      </c>
    </row>
    <row r="123">
      <c r="A123" s="32">
        <f>IF(INDEX('Form Responses'!$A:$A,ROW())="","",INDEX('Form Responses'!$A:$A,ROW()))</f>
        <v/>
      </c>
      <c r="B123" s="32">
        <f>TRIM(INDEX('Form Responses'!$B:$B,ROW())&amp;"")</f>
        <v/>
      </c>
      <c r="C123" s="32">
        <f>IF(B123="","",TRIM(INDEX('Form Responses'!$C:$C,ROW())&amp;""))</f>
        <v/>
      </c>
      <c r="D123" s="32">
        <f>SUBSTITUTE(SUBSTITUTE(SUBSTITUTE(SUBSTITUTE(SUBSTITUTE(SUBSTITUTE(SUBSTITUTE(SUBSTITUTE(C123," ",""),"-",""),"(",""),")",""),".",""),"+",""),"/",""),CHAR(160),"")</f>
        <v/>
      </c>
      <c r="E123" s="32">
        <f>IF(LEN(D123)&gt;=10,RIGHT(D123,10),D123)</f>
        <v/>
      </c>
      <c r="F123" s="32">
        <f>IF(B123="","",TRIM(INDEX('Form Responses'!$D:$D,ROW())&amp;""))</f>
        <v/>
      </c>
      <c r="G123" s="32">
        <f>IF(B123="","",IF(LEFT(TRIM(INDEX('Form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3" s="32">
        <f>IF(B123="","",MAX(0,IFERROR(INT(--(INDEX('Form Responses'!$F:$F,ROW())&amp;"")),1)))</f>
        <v/>
      </c>
      <c r="I123" s="32">
        <f>IF(B123="","",MAX(0,IFERROR(INT(--(INDEX('Form Responses'!$G:$G,ROW())&amp;"")),0)))</f>
        <v/>
      </c>
      <c r="J123" s="32">
        <f>IF(B123="","",TRIM(INDEX('Form Responses'!$H:$H,ROW())&amp;""))</f>
        <v/>
      </c>
      <c r="K123" s="32">
        <f>IF(B123="","",TRIM(INDEX('Form Responses'!$I:$I,ROW())&amp;""))</f>
        <v/>
      </c>
      <c r="L123" s="32">
        <f>IF(B123="","",TRIM(INDEX('Form Responses'!$J:$J,ROW())&amp;""))</f>
        <v/>
      </c>
      <c r="M123" s="32">
        <f>IF(B123="","",TRIM(INDEX('Form Responses'!$K:$K,ROW())&amp;""))</f>
        <v/>
      </c>
      <c r="N123" s="32">
        <f>IF(B123="","",IF(E123&lt;&gt;"","P"&amp;E123,"N"&amp;B123))</f>
        <v/>
      </c>
      <c r="O123" s="32">
        <f>IF(N123="",0,IF(COUNTIF(N124:N$602,N123)=0,1,0))</f>
        <v/>
      </c>
      <c r="P123" s="32">
        <f>IF(AND(O123=1,E123&lt;&gt;""),E123,"")</f>
        <v/>
      </c>
      <c r="Q123" s="32">
        <f>IF(O123=1,B123,"")</f>
        <v/>
      </c>
      <c r="R123" s="32">
        <f>IF(O123&lt;&gt;1,"",IF(E123&lt;&gt;"",IFERROR(MATCH(E123,Guests!$S$6:$S$505,0)+5,IFERROR(MATCH(B123,Guests!$A$6:$A$505,0)+5,"")),IFERROR(MATCH(B123,Guests!$A$6:$A$505,0)+5,"")))</f>
        <v/>
      </c>
      <c r="S123" s="32">
        <f>IF(R123="","",TRIM(INDEX(Guests!$E$1:$E$505,R123)&amp;""))</f>
        <v/>
      </c>
      <c r="T123" s="32">
        <f>IF(R123="","",IF(S123="",1,COUNTIF(Guests!$E$6:$E$505,S123)))</f>
        <v/>
      </c>
      <c r="U123" s="32">
        <f>IF(R123="","",IF(S123="",1,IF(COUNTIF(S$1:S122,S123)=0,1,0)))</f>
        <v/>
      </c>
      <c r="V123" s="32">
        <f>IF(AND(R123&lt;&gt;"",G123="Attending",U123=1),MAX(0,H123+I123-T123),0)</f>
        <v/>
      </c>
      <c r="W123" s="32">
        <f>IF(AND(O123=1,R123=""),1,0)</f>
        <v/>
      </c>
      <c r="X123" s="32">
        <f>IF(B123="",0,H123+I123)</f>
        <v/>
      </c>
      <c r="Y123" s="32">
        <f>N(Y122)+O123</f>
        <v/>
      </c>
      <c r="Z123" s="32">
        <f>IF(O123=1,Y123,"")</f>
        <v/>
      </c>
      <c r="AA123" s="32">
        <f>IF(AND(W123=1,G123="Not sure yet"),1,0)</f>
        <v/>
      </c>
      <c r="AB123" s="32">
        <f>N(AB122)+AA123</f>
        <v/>
      </c>
      <c r="AC123" s="32">
        <f>IF(AA123=1,AB123,"")</f>
        <v/>
      </c>
      <c r="AD123" s="32">
        <f>IF(D123="","",IF(LEN(D123)=10,"+1"&amp;D123,IF(AND(LEN(D123)=11,LEFT(D123,1)="1"),"+"&amp;D123,IF(LEFT(C123,1)="+","+"&amp;D123,D123))))</f>
        <v/>
      </c>
      <c r="AE123" s="32">
        <f>IF(B123="","",PROPER(IFERROR(LEFT(B123,FIND(" ",B123)-1),B123)))</f>
        <v/>
      </c>
      <c r="AF123" s="32">
        <f>SUBSTITUTE(SUBSTITUTE(SUBSTITUTE(SUBSTITUTE(SUBSTITUTE(SUBSTITUTE(SUBSTITUTE(SUBSTITUTE(SUBSTITUTE(SUBSTITUTE(AE123,"%","%25"),"&amp;","%26"),"#","%23"),"+","%2B"),"=","%3D"),"?","%3F"),CHAR(34),"%22"),CHAR(10),"%0A"),CHAR(13),"")," ","+")</f>
        <v/>
      </c>
      <c r="AG123" s="32">
        <f>IF(OR(AD123="",AE123=""),"",'Start Here'!$B$20&amp;"#p="&amp;SUBSTITUTE(AD123,"+","%2B")&amp;"&amp;n="&amp;AF123&amp;"&amp;m="&amp;SUBSTITUTE('Start Here'!$B$24,"{name}",AF123))</f>
        <v/>
      </c>
      <c r="AH123" s="32">
        <f>N(AH122)+W123</f>
        <v/>
      </c>
      <c r="AI123" s="32">
        <f>IF(W123=1,AH123,"")</f>
        <v/>
      </c>
    </row>
    <row r="124">
      <c r="A124" s="32">
        <f>IF(INDEX('Form Responses'!$A:$A,ROW())="","",INDEX('Form Responses'!$A:$A,ROW()))</f>
        <v/>
      </c>
      <c r="B124" s="32">
        <f>TRIM(INDEX('Form Responses'!$B:$B,ROW())&amp;"")</f>
        <v/>
      </c>
      <c r="C124" s="32">
        <f>IF(B124="","",TRIM(INDEX('Form Responses'!$C:$C,ROW())&amp;""))</f>
        <v/>
      </c>
      <c r="D124" s="32">
        <f>SUBSTITUTE(SUBSTITUTE(SUBSTITUTE(SUBSTITUTE(SUBSTITUTE(SUBSTITUTE(SUBSTITUTE(SUBSTITUTE(C124," ",""),"-",""),"(",""),")",""),".",""),"+",""),"/",""),CHAR(160),"")</f>
        <v/>
      </c>
      <c r="E124" s="32">
        <f>IF(LEN(D124)&gt;=10,RIGHT(D124,10),D124)</f>
        <v/>
      </c>
      <c r="F124" s="32">
        <f>IF(B124="","",TRIM(INDEX('Form Responses'!$D:$D,ROW())&amp;""))</f>
        <v/>
      </c>
      <c r="G124" s="32">
        <f>IF(B124="","",IF(LEFT(TRIM(INDEX('Form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4" s="32">
        <f>IF(B124="","",MAX(0,IFERROR(INT(--(INDEX('Form Responses'!$F:$F,ROW())&amp;"")),1)))</f>
        <v/>
      </c>
      <c r="I124" s="32">
        <f>IF(B124="","",MAX(0,IFERROR(INT(--(INDEX('Form Responses'!$G:$G,ROW())&amp;"")),0)))</f>
        <v/>
      </c>
      <c r="J124" s="32">
        <f>IF(B124="","",TRIM(INDEX('Form Responses'!$H:$H,ROW())&amp;""))</f>
        <v/>
      </c>
      <c r="K124" s="32">
        <f>IF(B124="","",TRIM(INDEX('Form Responses'!$I:$I,ROW())&amp;""))</f>
        <v/>
      </c>
      <c r="L124" s="32">
        <f>IF(B124="","",TRIM(INDEX('Form Responses'!$J:$J,ROW())&amp;""))</f>
        <v/>
      </c>
      <c r="M124" s="32">
        <f>IF(B124="","",TRIM(INDEX('Form Responses'!$K:$K,ROW())&amp;""))</f>
        <v/>
      </c>
      <c r="N124" s="32">
        <f>IF(B124="","",IF(E124&lt;&gt;"","P"&amp;E124,"N"&amp;B124))</f>
        <v/>
      </c>
      <c r="O124" s="32">
        <f>IF(N124="",0,IF(COUNTIF(N125:N$602,N124)=0,1,0))</f>
        <v/>
      </c>
      <c r="P124" s="32">
        <f>IF(AND(O124=1,E124&lt;&gt;""),E124,"")</f>
        <v/>
      </c>
      <c r="Q124" s="32">
        <f>IF(O124=1,B124,"")</f>
        <v/>
      </c>
      <c r="R124" s="32">
        <f>IF(O124&lt;&gt;1,"",IF(E124&lt;&gt;"",IFERROR(MATCH(E124,Guests!$S$6:$S$505,0)+5,IFERROR(MATCH(B124,Guests!$A$6:$A$505,0)+5,"")),IFERROR(MATCH(B124,Guests!$A$6:$A$505,0)+5,"")))</f>
        <v/>
      </c>
      <c r="S124" s="32">
        <f>IF(R124="","",TRIM(INDEX(Guests!$E$1:$E$505,R124)&amp;""))</f>
        <v/>
      </c>
      <c r="T124" s="32">
        <f>IF(R124="","",IF(S124="",1,COUNTIF(Guests!$E$6:$E$505,S124)))</f>
        <v/>
      </c>
      <c r="U124" s="32">
        <f>IF(R124="","",IF(S124="",1,IF(COUNTIF(S$1:S123,S124)=0,1,0)))</f>
        <v/>
      </c>
      <c r="V124" s="32">
        <f>IF(AND(R124&lt;&gt;"",G124="Attending",U124=1),MAX(0,H124+I124-T124),0)</f>
        <v/>
      </c>
      <c r="W124" s="32">
        <f>IF(AND(O124=1,R124=""),1,0)</f>
        <v/>
      </c>
      <c r="X124" s="32">
        <f>IF(B124="",0,H124+I124)</f>
        <v/>
      </c>
      <c r="Y124" s="32">
        <f>N(Y123)+O124</f>
        <v/>
      </c>
      <c r="Z124" s="32">
        <f>IF(O124=1,Y124,"")</f>
        <v/>
      </c>
      <c r="AA124" s="32">
        <f>IF(AND(W124=1,G124="Not sure yet"),1,0)</f>
        <v/>
      </c>
      <c r="AB124" s="32">
        <f>N(AB123)+AA124</f>
        <v/>
      </c>
      <c r="AC124" s="32">
        <f>IF(AA124=1,AB124,"")</f>
        <v/>
      </c>
      <c r="AD124" s="32">
        <f>IF(D124="","",IF(LEN(D124)=10,"+1"&amp;D124,IF(AND(LEN(D124)=11,LEFT(D124,1)="1"),"+"&amp;D124,IF(LEFT(C124,1)="+","+"&amp;D124,D124))))</f>
        <v/>
      </c>
      <c r="AE124" s="32">
        <f>IF(B124="","",PROPER(IFERROR(LEFT(B124,FIND(" ",B124)-1),B124)))</f>
        <v/>
      </c>
      <c r="AF124" s="32">
        <f>SUBSTITUTE(SUBSTITUTE(SUBSTITUTE(SUBSTITUTE(SUBSTITUTE(SUBSTITUTE(SUBSTITUTE(SUBSTITUTE(SUBSTITUTE(SUBSTITUTE(AE124,"%","%25"),"&amp;","%26"),"#","%23"),"+","%2B"),"=","%3D"),"?","%3F"),CHAR(34),"%22"),CHAR(10),"%0A"),CHAR(13),"")," ","+")</f>
        <v/>
      </c>
      <c r="AG124" s="32">
        <f>IF(OR(AD124="",AE124=""),"",'Start Here'!$B$20&amp;"#p="&amp;SUBSTITUTE(AD124,"+","%2B")&amp;"&amp;n="&amp;AF124&amp;"&amp;m="&amp;SUBSTITUTE('Start Here'!$B$24,"{name}",AF124))</f>
        <v/>
      </c>
      <c r="AH124" s="32">
        <f>N(AH123)+W124</f>
        <v/>
      </c>
      <c r="AI124" s="32">
        <f>IF(W124=1,AH124,"")</f>
        <v/>
      </c>
    </row>
    <row r="125">
      <c r="A125" s="32">
        <f>IF(INDEX('Form Responses'!$A:$A,ROW())="","",INDEX('Form Responses'!$A:$A,ROW()))</f>
        <v/>
      </c>
      <c r="B125" s="32">
        <f>TRIM(INDEX('Form Responses'!$B:$B,ROW())&amp;"")</f>
        <v/>
      </c>
      <c r="C125" s="32">
        <f>IF(B125="","",TRIM(INDEX('Form Responses'!$C:$C,ROW())&amp;""))</f>
        <v/>
      </c>
      <c r="D125" s="32">
        <f>SUBSTITUTE(SUBSTITUTE(SUBSTITUTE(SUBSTITUTE(SUBSTITUTE(SUBSTITUTE(SUBSTITUTE(SUBSTITUTE(C125," ",""),"-",""),"(",""),")",""),".",""),"+",""),"/",""),CHAR(160),"")</f>
        <v/>
      </c>
      <c r="E125" s="32">
        <f>IF(LEN(D125)&gt;=10,RIGHT(D125,10),D125)</f>
        <v/>
      </c>
      <c r="F125" s="32">
        <f>IF(B125="","",TRIM(INDEX('Form Responses'!$D:$D,ROW())&amp;""))</f>
        <v/>
      </c>
      <c r="G125" s="32">
        <f>IF(B125="","",IF(LEFT(TRIM(INDEX('Form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5" s="32">
        <f>IF(B125="","",MAX(0,IFERROR(INT(--(INDEX('Form Responses'!$F:$F,ROW())&amp;"")),1)))</f>
        <v/>
      </c>
      <c r="I125" s="32">
        <f>IF(B125="","",MAX(0,IFERROR(INT(--(INDEX('Form Responses'!$G:$G,ROW())&amp;"")),0)))</f>
        <v/>
      </c>
      <c r="J125" s="32">
        <f>IF(B125="","",TRIM(INDEX('Form Responses'!$H:$H,ROW())&amp;""))</f>
        <v/>
      </c>
      <c r="K125" s="32">
        <f>IF(B125="","",TRIM(INDEX('Form Responses'!$I:$I,ROW())&amp;""))</f>
        <v/>
      </c>
      <c r="L125" s="32">
        <f>IF(B125="","",TRIM(INDEX('Form Responses'!$J:$J,ROW())&amp;""))</f>
        <v/>
      </c>
      <c r="M125" s="32">
        <f>IF(B125="","",TRIM(INDEX('Form Responses'!$K:$K,ROW())&amp;""))</f>
        <v/>
      </c>
      <c r="N125" s="32">
        <f>IF(B125="","",IF(E125&lt;&gt;"","P"&amp;E125,"N"&amp;B125))</f>
        <v/>
      </c>
      <c r="O125" s="32">
        <f>IF(N125="",0,IF(COUNTIF(N126:N$602,N125)=0,1,0))</f>
        <v/>
      </c>
      <c r="P125" s="32">
        <f>IF(AND(O125=1,E125&lt;&gt;""),E125,"")</f>
        <v/>
      </c>
      <c r="Q125" s="32">
        <f>IF(O125=1,B125,"")</f>
        <v/>
      </c>
      <c r="R125" s="32">
        <f>IF(O125&lt;&gt;1,"",IF(E125&lt;&gt;"",IFERROR(MATCH(E125,Guests!$S$6:$S$505,0)+5,IFERROR(MATCH(B125,Guests!$A$6:$A$505,0)+5,"")),IFERROR(MATCH(B125,Guests!$A$6:$A$505,0)+5,"")))</f>
        <v/>
      </c>
      <c r="S125" s="32">
        <f>IF(R125="","",TRIM(INDEX(Guests!$E$1:$E$505,R125)&amp;""))</f>
        <v/>
      </c>
      <c r="T125" s="32">
        <f>IF(R125="","",IF(S125="",1,COUNTIF(Guests!$E$6:$E$505,S125)))</f>
        <v/>
      </c>
      <c r="U125" s="32">
        <f>IF(R125="","",IF(S125="",1,IF(COUNTIF(S$1:S124,S125)=0,1,0)))</f>
        <v/>
      </c>
      <c r="V125" s="32">
        <f>IF(AND(R125&lt;&gt;"",G125="Attending",U125=1),MAX(0,H125+I125-T125),0)</f>
        <v/>
      </c>
      <c r="W125" s="32">
        <f>IF(AND(O125=1,R125=""),1,0)</f>
        <v/>
      </c>
      <c r="X125" s="32">
        <f>IF(B125="",0,H125+I125)</f>
        <v/>
      </c>
      <c r="Y125" s="32">
        <f>N(Y124)+O125</f>
        <v/>
      </c>
      <c r="Z125" s="32">
        <f>IF(O125=1,Y125,"")</f>
        <v/>
      </c>
      <c r="AA125" s="32">
        <f>IF(AND(W125=1,G125="Not sure yet"),1,0)</f>
        <v/>
      </c>
      <c r="AB125" s="32">
        <f>N(AB124)+AA125</f>
        <v/>
      </c>
      <c r="AC125" s="32">
        <f>IF(AA125=1,AB125,"")</f>
        <v/>
      </c>
      <c r="AD125" s="32">
        <f>IF(D125="","",IF(LEN(D125)=10,"+1"&amp;D125,IF(AND(LEN(D125)=11,LEFT(D125,1)="1"),"+"&amp;D125,IF(LEFT(C125,1)="+","+"&amp;D125,D125))))</f>
        <v/>
      </c>
      <c r="AE125" s="32">
        <f>IF(B125="","",PROPER(IFERROR(LEFT(B125,FIND(" ",B125)-1),B125)))</f>
        <v/>
      </c>
      <c r="AF125" s="32">
        <f>SUBSTITUTE(SUBSTITUTE(SUBSTITUTE(SUBSTITUTE(SUBSTITUTE(SUBSTITUTE(SUBSTITUTE(SUBSTITUTE(SUBSTITUTE(SUBSTITUTE(AE125,"%","%25"),"&amp;","%26"),"#","%23"),"+","%2B"),"=","%3D"),"?","%3F"),CHAR(34),"%22"),CHAR(10),"%0A"),CHAR(13),"")," ","+")</f>
        <v/>
      </c>
      <c r="AG125" s="32">
        <f>IF(OR(AD125="",AE125=""),"",'Start Here'!$B$20&amp;"#p="&amp;SUBSTITUTE(AD125,"+","%2B")&amp;"&amp;n="&amp;AF125&amp;"&amp;m="&amp;SUBSTITUTE('Start Here'!$B$24,"{name}",AF125))</f>
        <v/>
      </c>
      <c r="AH125" s="32">
        <f>N(AH124)+W125</f>
        <v/>
      </c>
      <c r="AI125" s="32">
        <f>IF(W125=1,AH125,"")</f>
        <v/>
      </c>
    </row>
    <row r="126">
      <c r="A126" s="32">
        <f>IF(INDEX('Form Responses'!$A:$A,ROW())="","",INDEX('Form Responses'!$A:$A,ROW()))</f>
        <v/>
      </c>
      <c r="B126" s="32">
        <f>TRIM(INDEX('Form Responses'!$B:$B,ROW())&amp;"")</f>
        <v/>
      </c>
      <c r="C126" s="32">
        <f>IF(B126="","",TRIM(INDEX('Form Responses'!$C:$C,ROW())&amp;""))</f>
        <v/>
      </c>
      <c r="D126" s="32">
        <f>SUBSTITUTE(SUBSTITUTE(SUBSTITUTE(SUBSTITUTE(SUBSTITUTE(SUBSTITUTE(SUBSTITUTE(SUBSTITUTE(C126," ",""),"-",""),"(",""),")",""),".",""),"+",""),"/",""),CHAR(160),"")</f>
        <v/>
      </c>
      <c r="E126" s="32">
        <f>IF(LEN(D126)&gt;=10,RIGHT(D126,10),D126)</f>
        <v/>
      </c>
      <c r="F126" s="32">
        <f>IF(B126="","",TRIM(INDEX('Form Responses'!$D:$D,ROW())&amp;""))</f>
        <v/>
      </c>
      <c r="G126" s="32">
        <f>IF(B126="","",IF(LEFT(TRIM(INDEX('Form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6" s="32">
        <f>IF(B126="","",MAX(0,IFERROR(INT(--(INDEX('Form Responses'!$F:$F,ROW())&amp;"")),1)))</f>
        <v/>
      </c>
      <c r="I126" s="32">
        <f>IF(B126="","",MAX(0,IFERROR(INT(--(INDEX('Form Responses'!$G:$G,ROW())&amp;"")),0)))</f>
        <v/>
      </c>
      <c r="J126" s="32">
        <f>IF(B126="","",TRIM(INDEX('Form Responses'!$H:$H,ROW())&amp;""))</f>
        <v/>
      </c>
      <c r="K126" s="32">
        <f>IF(B126="","",TRIM(INDEX('Form Responses'!$I:$I,ROW())&amp;""))</f>
        <v/>
      </c>
      <c r="L126" s="32">
        <f>IF(B126="","",TRIM(INDEX('Form Responses'!$J:$J,ROW())&amp;""))</f>
        <v/>
      </c>
      <c r="M126" s="32">
        <f>IF(B126="","",TRIM(INDEX('Form Responses'!$K:$K,ROW())&amp;""))</f>
        <v/>
      </c>
      <c r="N126" s="32">
        <f>IF(B126="","",IF(E126&lt;&gt;"","P"&amp;E126,"N"&amp;B126))</f>
        <v/>
      </c>
      <c r="O126" s="32">
        <f>IF(N126="",0,IF(COUNTIF(N127:N$602,N126)=0,1,0))</f>
        <v/>
      </c>
      <c r="P126" s="32">
        <f>IF(AND(O126=1,E126&lt;&gt;""),E126,"")</f>
        <v/>
      </c>
      <c r="Q126" s="32">
        <f>IF(O126=1,B126,"")</f>
        <v/>
      </c>
      <c r="R126" s="32">
        <f>IF(O126&lt;&gt;1,"",IF(E126&lt;&gt;"",IFERROR(MATCH(E126,Guests!$S$6:$S$505,0)+5,IFERROR(MATCH(B126,Guests!$A$6:$A$505,0)+5,"")),IFERROR(MATCH(B126,Guests!$A$6:$A$505,0)+5,"")))</f>
        <v/>
      </c>
      <c r="S126" s="32">
        <f>IF(R126="","",TRIM(INDEX(Guests!$E$1:$E$505,R126)&amp;""))</f>
        <v/>
      </c>
      <c r="T126" s="32">
        <f>IF(R126="","",IF(S126="",1,COUNTIF(Guests!$E$6:$E$505,S126)))</f>
        <v/>
      </c>
      <c r="U126" s="32">
        <f>IF(R126="","",IF(S126="",1,IF(COUNTIF(S$1:S125,S126)=0,1,0)))</f>
        <v/>
      </c>
      <c r="V126" s="32">
        <f>IF(AND(R126&lt;&gt;"",G126="Attending",U126=1),MAX(0,H126+I126-T126),0)</f>
        <v/>
      </c>
      <c r="W126" s="32">
        <f>IF(AND(O126=1,R126=""),1,0)</f>
        <v/>
      </c>
      <c r="X126" s="32">
        <f>IF(B126="",0,H126+I126)</f>
        <v/>
      </c>
      <c r="Y126" s="32">
        <f>N(Y125)+O126</f>
        <v/>
      </c>
      <c r="Z126" s="32">
        <f>IF(O126=1,Y126,"")</f>
        <v/>
      </c>
      <c r="AA126" s="32">
        <f>IF(AND(W126=1,G126="Not sure yet"),1,0)</f>
        <v/>
      </c>
      <c r="AB126" s="32">
        <f>N(AB125)+AA126</f>
        <v/>
      </c>
      <c r="AC126" s="32">
        <f>IF(AA126=1,AB126,"")</f>
        <v/>
      </c>
      <c r="AD126" s="32">
        <f>IF(D126="","",IF(LEN(D126)=10,"+1"&amp;D126,IF(AND(LEN(D126)=11,LEFT(D126,1)="1"),"+"&amp;D126,IF(LEFT(C126,1)="+","+"&amp;D126,D126))))</f>
        <v/>
      </c>
      <c r="AE126" s="32">
        <f>IF(B126="","",PROPER(IFERROR(LEFT(B126,FIND(" ",B126)-1),B126)))</f>
        <v/>
      </c>
      <c r="AF126" s="32">
        <f>SUBSTITUTE(SUBSTITUTE(SUBSTITUTE(SUBSTITUTE(SUBSTITUTE(SUBSTITUTE(SUBSTITUTE(SUBSTITUTE(SUBSTITUTE(SUBSTITUTE(AE126,"%","%25"),"&amp;","%26"),"#","%23"),"+","%2B"),"=","%3D"),"?","%3F"),CHAR(34),"%22"),CHAR(10),"%0A"),CHAR(13),"")," ","+")</f>
        <v/>
      </c>
      <c r="AG126" s="32">
        <f>IF(OR(AD126="",AE126=""),"",'Start Here'!$B$20&amp;"#p="&amp;SUBSTITUTE(AD126,"+","%2B")&amp;"&amp;n="&amp;AF126&amp;"&amp;m="&amp;SUBSTITUTE('Start Here'!$B$24,"{name}",AF126))</f>
        <v/>
      </c>
      <c r="AH126" s="32">
        <f>N(AH125)+W126</f>
        <v/>
      </c>
      <c r="AI126" s="32">
        <f>IF(W126=1,AH126,"")</f>
        <v/>
      </c>
    </row>
    <row r="127">
      <c r="A127" s="32">
        <f>IF(INDEX('Form Responses'!$A:$A,ROW())="","",INDEX('Form Responses'!$A:$A,ROW()))</f>
        <v/>
      </c>
      <c r="B127" s="32">
        <f>TRIM(INDEX('Form Responses'!$B:$B,ROW())&amp;"")</f>
        <v/>
      </c>
      <c r="C127" s="32">
        <f>IF(B127="","",TRIM(INDEX('Form Responses'!$C:$C,ROW())&amp;""))</f>
        <v/>
      </c>
      <c r="D127" s="32">
        <f>SUBSTITUTE(SUBSTITUTE(SUBSTITUTE(SUBSTITUTE(SUBSTITUTE(SUBSTITUTE(SUBSTITUTE(SUBSTITUTE(C127," ",""),"-",""),"(",""),")",""),".",""),"+",""),"/",""),CHAR(160),"")</f>
        <v/>
      </c>
      <c r="E127" s="32">
        <f>IF(LEN(D127)&gt;=10,RIGHT(D127,10),D127)</f>
        <v/>
      </c>
      <c r="F127" s="32">
        <f>IF(B127="","",TRIM(INDEX('Form Responses'!$D:$D,ROW())&amp;""))</f>
        <v/>
      </c>
      <c r="G127" s="32">
        <f>IF(B127="","",IF(LEFT(TRIM(INDEX('Form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7" s="32">
        <f>IF(B127="","",MAX(0,IFERROR(INT(--(INDEX('Form Responses'!$F:$F,ROW())&amp;"")),1)))</f>
        <v/>
      </c>
      <c r="I127" s="32">
        <f>IF(B127="","",MAX(0,IFERROR(INT(--(INDEX('Form Responses'!$G:$G,ROW())&amp;"")),0)))</f>
        <v/>
      </c>
      <c r="J127" s="32">
        <f>IF(B127="","",TRIM(INDEX('Form Responses'!$H:$H,ROW())&amp;""))</f>
        <v/>
      </c>
      <c r="K127" s="32">
        <f>IF(B127="","",TRIM(INDEX('Form Responses'!$I:$I,ROW())&amp;""))</f>
        <v/>
      </c>
      <c r="L127" s="32">
        <f>IF(B127="","",TRIM(INDEX('Form Responses'!$J:$J,ROW())&amp;""))</f>
        <v/>
      </c>
      <c r="M127" s="32">
        <f>IF(B127="","",TRIM(INDEX('Form Responses'!$K:$K,ROW())&amp;""))</f>
        <v/>
      </c>
      <c r="N127" s="32">
        <f>IF(B127="","",IF(E127&lt;&gt;"","P"&amp;E127,"N"&amp;B127))</f>
        <v/>
      </c>
      <c r="O127" s="32">
        <f>IF(N127="",0,IF(COUNTIF(N128:N$602,N127)=0,1,0))</f>
        <v/>
      </c>
      <c r="P127" s="32">
        <f>IF(AND(O127=1,E127&lt;&gt;""),E127,"")</f>
        <v/>
      </c>
      <c r="Q127" s="32">
        <f>IF(O127=1,B127,"")</f>
        <v/>
      </c>
      <c r="R127" s="32">
        <f>IF(O127&lt;&gt;1,"",IF(E127&lt;&gt;"",IFERROR(MATCH(E127,Guests!$S$6:$S$505,0)+5,IFERROR(MATCH(B127,Guests!$A$6:$A$505,0)+5,"")),IFERROR(MATCH(B127,Guests!$A$6:$A$505,0)+5,"")))</f>
        <v/>
      </c>
      <c r="S127" s="32">
        <f>IF(R127="","",TRIM(INDEX(Guests!$E$1:$E$505,R127)&amp;""))</f>
        <v/>
      </c>
      <c r="T127" s="32">
        <f>IF(R127="","",IF(S127="",1,COUNTIF(Guests!$E$6:$E$505,S127)))</f>
        <v/>
      </c>
      <c r="U127" s="32">
        <f>IF(R127="","",IF(S127="",1,IF(COUNTIF(S$1:S126,S127)=0,1,0)))</f>
        <v/>
      </c>
      <c r="V127" s="32">
        <f>IF(AND(R127&lt;&gt;"",G127="Attending",U127=1),MAX(0,H127+I127-T127),0)</f>
        <v/>
      </c>
      <c r="W127" s="32">
        <f>IF(AND(O127=1,R127=""),1,0)</f>
        <v/>
      </c>
      <c r="X127" s="32">
        <f>IF(B127="",0,H127+I127)</f>
        <v/>
      </c>
      <c r="Y127" s="32">
        <f>N(Y126)+O127</f>
        <v/>
      </c>
      <c r="Z127" s="32">
        <f>IF(O127=1,Y127,"")</f>
        <v/>
      </c>
      <c r="AA127" s="32">
        <f>IF(AND(W127=1,G127="Not sure yet"),1,0)</f>
        <v/>
      </c>
      <c r="AB127" s="32">
        <f>N(AB126)+AA127</f>
        <v/>
      </c>
      <c r="AC127" s="32">
        <f>IF(AA127=1,AB127,"")</f>
        <v/>
      </c>
      <c r="AD127" s="32">
        <f>IF(D127="","",IF(LEN(D127)=10,"+1"&amp;D127,IF(AND(LEN(D127)=11,LEFT(D127,1)="1"),"+"&amp;D127,IF(LEFT(C127,1)="+","+"&amp;D127,D127))))</f>
        <v/>
      </c>
      <c r="AE127" s="32">
        <f>IF(B127="","",PROPER(IFERROR(LEFT(B127,FIND(" ",B127)-1),B127)))</f>
        <v/>
      </c>
      <c r="AF127" s="32">
        <f>SUBSTITUTE(SUBSTITUTE(SUBSTITUTE(SUBSTITUTE(SUBSTITUTE(SUBSTITUTE(SUBSTITUTE(SUBSTITUTE(SUBSTITUTE(SUBSTITUTE(AE127,"%","%25"),"&amp;","%26"),"#","%23"),"+","%2B"),"=","%3D"),"?","%3F"),CHAR(34),"%22"),CHAR(10),"%0A"),CHAR(13),"")," ","+")</f>
        <v/>
      </c>
      <c r="AG127" s="32">
        <f>IF(OR(AD127="",AE127=""),"",'Start Here'!$B$20&amp;"#p="&amp;SUBSTITUTE(AD127,"+","%2B")&amp;"&amp;n="&amp;AF127&amp;"&amp;m="&amp;SUBSTITUTE('Start Here'!$B$24,"{name}",AF127))</f>
        <v/>
      </c>
      <c r="AH127" s="32">
        <f>N(AH126)+W127</f>
        <v/>
      </c>
      <c r="AI127" s="32">
        <f>IF(W127=1,AH127,"")</f>
        <v/>
      </c>
    </row>
    <row r="128">
      <c r="A128" s="32">
        <f>IF(INDEX('Form Responses'!$A:$A,ROW())="","",INDEX('Form Responses'!$A:$A,ROW()))</f>
        <v/>
      </c>
      <c r="B128" s="32">
        <f>TRIM(INDEX('Form Responses'!$B:$B,ROW())&amp;"")</f>
        <v/>
      </c>
      <c r="C128" s="32">
        <f>IF(B128="","",TRIM(INDEX('Form Responses'!$C:$C,ROW())&amp;""))</f>
        <v/>
      </c>
      <c r="D128" s="32">
        <f>SUBSTITUTE(SUBSTITUTE(SUBSTITUTE(SUBSTITUTE(SUBSTITUTE(SUBSTITUTE(SUBSTITUTE(SUBSTITUTE(C128," ",""),"-",""),"(",""),")",""),".",""),"+",""),"/",""),CHAR(160),"")</f>
        <v/>
      </c>
      <c r="E128" s="32">
        <f>IF(LEN(D128)&gt;=10,RIGHT(D128,10),D128)</f>
        <v/>
      </c>
      <c r="F128" s="32">
        <f>IF(B128="","",TRIM(INDEX('Form Responses'!$D:$D,ROW())&amp;""))</f>
        <v/>
      </c>
      <c r="G128" s="32">
        <f>IF(B128="","",IF(LEFT(TRIM(INDEX('Form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8" s="32">
        <f>IF(B128="","",MAX(0,IFERROR(INT(--(INDEX('Form Responses'!$F:$F,ROW())&amp;"")),1)))</f>
        <v/>
      </c>
      <c r="I128" s="32">
        <f>IF(B128="","",MAX(0,IFERROR(INT(--(INDEX('Form Responses'!$G:$G,ROW())&amp;"")),0)))</f>
        <v/>
      </c>
      <c r="J128" s="32">
        <f>IF(B128="","",TRIM(INDEX('Form Responses'!$H:$H,ROW())&amp;""))</f>
        <v/>
      </c>
      <c r="K128" s="32">
        <f>IF(B128="","",TRIM(INDEX('Form Responses'!$I:$I,ROW())&amp;""))</f>
        <v/>
      </c>
      <c r="L128" s="32">
        <f>IF(B128="","",TRIM(INDEX('Form Responses'!$J:$J,ROW())&amp;""))</f>
        <v/>
      </c>
      <c r="M128" s="32">
        <f>IF(B128="","",TRIM(INDEX('Form Responses'!$K:$K,ROW())&amp;""))</f>
        <v/>
      </c>
      <c r="N128" s="32">
        <f>IF(B128="","",IF(E128&lt;&gt;"","P"&amp;E128,"N"&amp;B128))</f>
        <v/>
      </c>
      <c r="O128" s="32">
        <f>IF(N128="",0,IF(COUNTIF(N129:N$602,N128)=0,1,0))</f>
        <v/>
      </c>
      <c r="P128" s="32">
        <f>IF(AND(O128=1,E128&lt;&gt;""),E128,"")</f>
        <v/>
      </c>
      <c r="Q128" s="32">
        <f>IF(O128=1,B128,"")</f>
        <v/>
      </c>
      <c r="R128" s="32">
        <f>IF(O128&lt;&gt;1,"",IF(E128&lt;&gt;"",IFERROR(MATCH(E128,Guests!$S$6:$S$505,0)+5,IFERROR(MATCH(B128,Guests!$A$6:$A$505,0)+5,"")),IFERROR(MATCH(B128,Guests!$A$6:$A$505,0)+5,"")))</f>
        <v/>
      </c>
      <c r="S128" s="32">
        <f>IF(R128="","",TRIM(INDEX(Guests!$E$1:$E$505,R128)&amp;""))</f>
        <v/>
      </c>
      <c r="T128" s="32">
        <f>IF(R128="","",IF(S128="",1,COUNTIF(Guests!$E$6:$E$505,S128)))</f>
        <v/>
      </c>
      <c r="U128" s="32">
        <f>IF(R128="","",IF(S128="",1,IF(COUNTIF(S$1:S127,S128)=0,1,0)))</f>
        <v/>
      </c>
      <c r="V128" s="32">
        <f>IF(AND(R128&lt;&gt;"",G128="Attending",U128=1),MAX(0,H128+I128-T128),0)</f>
        <v/>
      </c>
      <c r="W128" s="32">
        <f>IF(AND(O128=1,R128=""),1,0)</f>
        <v/>
      </c>
      <c r="X128" s="32">
        <f>IF(B128="",0,H128+I128)</f>
        <v/>
      </c>
      <c r="Y128" s="32">
        <f>N(Y127)+O128</f>
        <v/>
      </c>
      <c r="Z128" s="32">
        <f>IF(O128=1,Y128,"")</f>
        <v/>
      </c>
      <c r="AA128" s="32">
        <f>IF(AND(W128=1,G128="Not sure yet"),1,0)</f>
        <v/>
      </c>
      <c r="AB128" s="32">
        <f>N(AB127)+AA128</f>
        <v/>
      </c>
      <c r="AC128" s="32">
        <f>IF(AA128=1,AB128,"")</f>
        <v/>
      </c>
      <c r="AD128" s="32">
        <f>IF(D128="","",IF(LEN(D128)=10,"+1"&amp;D128,IF(AND(LEN(D128)=11,LEFT(D128,1)="1"),"+"&amp;D128,IF(LEFT(C128,1)="+","+"&amp;D128,D128))))</f>
        <v/>
      </c>
      <c r="AE128" s="32">
        <f>IF(B128="","",PROPER(IFERROR(LEFT(B128,FIND(" ",B128)-1),B128)))</f>
        <v/>
      </c>
      <c r="AF128" s="32">
        <f>SUBSTITUTE(SUBSTITUTE(SUBSTITUTE(SUBSTITUTE(SUBSTITUTE(SUBSTITUTE(SUBSTITUTE(SUBSTITUTE(SUBSTITUTE(SUBSTITUTE(AE128,"%","%25"),"&amp;","%26"),"#","%23"),"+","%2B"),"=","%3D"),"?","%3F"),CHAR(34),"%22"),CHAR(10),"%0A"),CHAR(13),"")," ","+")</f>
        <v/>
      </c>
      <c r="AG128" s="32">
        <f>IF(OR(AD128="",AE128=""),"",'Start Here'!$B$20&amp;"#p="&amp;SUBSTITUTE(AD128,"+","%2B")&amp;"&amp;n="&amp;AF128&amp;"&amp;m="&amp;SUBSTITUTE('Start Here'!$B$24,"{name}",AF128))</f>
        <v/>
      </c>
      <c r="AH128" s="32">
        <f>N(AH127)+W128</f>
        <v/>
      </c>
      <c r="AI128" s="32">
        <f>IF(W128=1,AH128,"")</f>
        <v/>
      </c>
    </row>
    <row r="129">
      <c r="A129" s="32">
        <f>IF(INDEX('Form Responses'!$A:$A,ROW())="","",INDEX('Form Responses'!$A:$A,ROW()))</f>
        <v/>
      </c>
      <c r="B129" s="32">
        <f>TRIM(INDEX('Form Responses'!$B:$B,ROW())&amp;"")</f>
        <v/>
      </c>
      <c r="C129" s="32">
        <f>IF(B129="","",TRIM(INDEX('Form Responses'!$C:$C,ROW())&amp;""))</f>
        <v/>
      </c>
      <c r="D129" s="32">
        <f>SUBSTITUTE(SUBSTITUTE(SUBSTITUTE(SUBSTITUTE(SUBSTITUTE(SUBSTITUTE(SUBSTITUTE(SUBSTITUTE(C129," ",""),"-",""),"(",""),")",""),".",""),"+",""),"/",""),CHAR(160),"")</f>
        <v/>
      </c>
      <c r="E129" s="32">
        <f>IF(LEN(D129)&gt;=10,RIGHT(D129,10),D129)</f>
        <v/>
      </c>
      <c r="F129" s="32">
        <f>IF(B129="","",TRIM(INDEX('Form Responses'!$D:$D,ROW())&amp;""))</f>
        <v/>
      </c>
      <c r="G129" s="32">
        <f>IF(B129="","",IF(LEFT(TRIM(INDEX('Form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29" s="32">
        <f>IF(B129="","",MAX(0,IFERROR(INT(--(INDEX('Form Responses'!$F:$F,ROW())&amp;"")),1)))</f>
        <v/>
      </c>
      <c r="I129" s="32">
        <f>IF(B129="","",MAX(0,IFERROR(INT(--(INDEX('Form Responses'!$G:$G,ROW())&amp;"")),0)))</f>
        <v/>
      </c>
      <c r="J129" s="32">
        <f>IF(B129="","",TRIM(INDEX('Form Responses'!$H:$H,ROW())&amp;""))</f>
        <v/>
      </c>
      <c r="K129" s="32">
        <f>IF(B129="","",TRIM(INDEX('Form Responses'!$I:$I,ROW())&amp;""))</f>
        <v/>
      </c>
      <c r="L129" s="32">
        <f>IF(B129="","",TRIM(INDEX('Form Responses'!$J:$J,ROW())&amp;""))</f>
        <v/>
      </c>
      <c r="M129" s="32">
        <f>IF(B129="","",TRIM(INDEX('Form Responses'!$K:$K,ROW())&amp;""))</f>
        <v/>
      </c>
      <c r="N129" s="32">
        <f>IF(B129="","",IF(E129&lt;&gt;"","P"&amp;E129,"N"&amp;B129))</f>
        <v/>
      </c>
      <c r="O129" s="32">
        <f>IF(N129="",0,IF(COUNTIF(N130:N$602,N129)=0,1,0))</f>
        <v/>
      </c>
      <c r="P129" s="32">
        <f>IF(AND(O129=1,E129&lt;&gt;""),E129,"")</f>
        <v/>
      </c>
      <c r="Q129" s="32">
        <f>IF(O129=1,B129,"")</f>
        <v/>
      </c>
      <c r="R129" s="32">
        <f>IF(O129&lt;&gt;1,"",IF(E129&lt;&gt;"",IFERROR(MATCH(E129,Guests!$S$6:$S$505,0)+5,IFERROR(MATCH(B129,Guests!$A$6:$A$505,0)+5,"")),IFERROR(MATCH(B129,Guests!$A$6:$A$505,0)+5,"")))</f>
        <v/>
      </c>
      <c r="S129" s="32">
        <f>IF(R129="","",TRIM(INDEX(Guests!$E$1:$E$505,R129)&amp;""))</f>
        <v/>
      </c>
      <c r="T129" s="32">
        <f>IF(R129="","",IF(S129="",1,COUNTIF(Guests!$E$6:$E$505,S129)))</f>
        <v/>
      </c>
      <c r="U129" s="32">
        <f>IF(R129="","",IF(S129="",1,IF(COUNTIF(S$1:S128,S129)=0,1,0)))</f>
        <v/>
      </c>
      <c r="V129" s="32">
        <f>IF(AND(R129&lt;&gt;"",G129="Attending",U129=1),MAX(0,H129+I129-T129),0)</f>
        <v/>
      </c>
      <c r="W129" s="32">
        <f>IF(AND(O129=1,R129=""),1,0)</f>
        <v/>
      </c>
      <c r="X129" s="32">
        <f>IF(B129="",0,H129+I129)</f>
        <v/>
      </c>
      <c r="Y129" s="32">
        <f>N(Y128)+O129</f>
        <v/>
      </c>
      <c r="Z129" s="32">
        <f>IF(O129=1,Y129,"")</f>
        <v/>
      </c>
      <c r="AA129" s="32">
        <f>IF(AND(W129=1,G129="Not sure yet"),1,0)</f>
        <v/>
      </c>
      <c r="AB129" s="32">
        <f>N(AB128)+AA129</f>
        <v/>
      </c>
      <c r="AC129" s="32">
        <f>IF(AA129=1,AB129,"")</f>
        <v/>
      </c>
      <c r="AD129" s="32">
        <f>IF(D129="","",IF(LEN(D129)=10,"+1"&amp;D129,IF(AND(LEN(D129)=11,LEFT(D129,1)="1"),"+"&amp;D129,IF(LEFT(C129,1)="+","+"&amp;D129,D129))))</f>
        <v/>
      </c>
      <c r="AE129" s="32">
        <f>IF(B129="","",PROPER(IFERROR(LEFT(B129,FIND(" ",B129)-1),B129)))</f>
        <v/>
      </c>
      <c r="AF129" s="32">
        <f>SUBSTITUTE(SUBSTITUTE(SUBSTITUTE(SUBSTITUTE(SUBSTITUTE(SUBSTITUTE(SUBSTITUTE(SUBSTITUTE(SUBSTITUTE(SUBSTITUTE(AE129,"%","%25"),"&amp;","%26"),"#","%23"),"+","%2B"),"=","%3D"),"?","%3F"),CHAR(34),"%22"),CHAR(10),"%0A"),CHAR(13),"")," ","+")</f>
        <v/>
      </c>
      <c r="AG129" s="32">
        <f>IF(OR(AD129="",AE129=""),"",'Start Here'!$B$20&amp;"#p="&amp;SUBSTITUTE(AD129,"+","%2B")&amp;"&amp;n="&amp;AF129&amp;"&amp;m="&amp;SUBSTITUTE('Start Here'!$B$24,"{name}",AF129))</f>
        <v/>
      </c>
      <c r="AH129" s="32">
        <f>N(AH128)+W129</f>
        <v/>
      </c>
      <c r="AI129" s="32">
        <f>IF(W129=1,AH129,"")</f>
        <v/>
      </c>
    </row>
    <row r="130">
      <c r="A130" s="32">
        <f>IF(INDEX('Form Responses'!$A:$A,ROW())="","",INDEX('Form Responses'!$A:$A,ROW()))</f>
        <v/>
      </c>
      <c r="B130" s="32">
        <f>TRIM(INDEX('Form Responses'!$B:$B,ROW())&amp;"")</f>
        <v/>
      </c>
      <c r="C130" s="32">
        <f>IF(B130="","",TRIM(INDEX('Form Responses'!$C:$C,ROW())&amp;""))</f>
        <v/>
      </c>
      <c r="D130" s="32">
        <f>SUBSTITUTE(SUBSTITUTE(SUBSTITUTE(SUBSTITUTE(SUBSTITUTE(SUBSTITUTE(SUBSTITUTE(SUBSTITUTE(C130," ",""),"-",""),"(",""),")",""),".",""),"+",""),"/",""),CHAR(160),"")</f>
        <v/>
      </c>
      <c r="E130" s="32">
        <f>IF(LEN(D130)&gt;=10,RIGHT(D130,10),D130)</f>
        <v/>
      </c>
      <c r="F130" s="32">
        <f>IF(B130="","",TRIM(INDEX('Form Responses'!$D:$D,ROW())&amp;""))</f>
        <v/>
      </c>
      <c r="G130" s="32">
        <f>IF(B130="","",IF(LEFT(TRIM(INDEX('Form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0" s="32">
        <f>IF(B130="","",MAX(0,IFERROR(INT(--(INDEX('Form Responses'!$F:$F,ROW())&amp;"")),1)))</f>
        <v/>
      </c>
      <c r="I130" s="32">
        <f>IF(B130="","",MAX(0,IFERROR(INT(--(INDEX('Form Responses'!$G:$G,ROW())&amp;"")),0)))</f>
        <v/>
      </c>
      <c r="J130" s="32">
        <f>IF(B130="","",TRIM(INDEX('Form Responses'!$H:$H,ROW())&amp;""))</f>
        <v/>
      </c>
      <c r="K130" s="32">
        <f>IF(B130="","",TRIM(INDEX('Form Responses'!$I:$I,ROW())&amp;""))</f>
        <v/>
      </c>
      <c r="L130" s="32">
        <f>IF(B130="","",TRIM(INDEX('Form Responses'!$J:$J,ROW())&amp;""))</f>
        <v/>
      </c>
      <c r="M130" s="32">
        <f>IF(B130="","",TRIM(INDEX('Form Responses'!$K:$K,ROW())&amp;""))</f>
        <v/>
      </c>
      <c r="N130" s="32">
        <f>IF(B130="","",IF(E130&lt;&gt;"","P"&amp;E130,"N"&amp;B130))</f>
        <v/>
      </c>
      <c r="O130" s="32">
        <f>IF(N130="",0,IF(COUNTIF(N131:N$602,N130)=0,1,0))</f>
        <v/>
      </c>
      <c r="P130" s="32">
        <f>IF(AND(O130=1,E130&lt;&gt;""),E130,"")</f>
        <v/>
      </c>
      <c r="Q130" s="32">
        <f>IF(O130=1,B130,"")</f>
        <v/>
      </c>
      <c r="R130" s="32">
        <f>IF(O130&lt;&gt;1,"",IF(E130&lt;&gt;"",IFERROR(MATCH(E130,Guests!$S$6:$S$505,0)+5,IFERROR(MATCH(B130,Guests!$A$6:$A$505,0)+5,"")),IFERROR(MATCH(B130,Guests!$A$6:$A$505,0)+5,"")))</f>
        <v/>
      </c>
      <c r="S130" s="32">
        <f>IF(R130="","",TRIM(INDEX(Guests!$E$1:$E$505,R130)&amp;""))</f>
        <v/>
      </c>
      <c r="T130" s="32">
        <f>IF(R130="","",IF(S130="",1,COUNTIF(Guests!$E$6:$E$505,S130)))</f>
        <v/>
      </c>
      <c r="U130" s="32">
        <f>IF(R130="","",IF(S130="",1,IF(COUNTIF(S$1:S129,S130)=0,1,0)))</f>
        <v/>
      </c>
      <c r="V130" s="32">
        <f>IF(AND(R130&lt;&gt;"",G130="Attending",U130=1),MAX(0,H130+I130-T130),0)</f>
        <v/>
      </c>
      <c r="W130" s="32">
        <f>IF(AND(O130=1,R130=""),1,0)</f>
        <v/>
      </c>
      <c r="X130" s="32">
        <f>IF(B130="",0,H130+I130)</f>
        <v/>
      </c>
      <c r="Y130" s="32">
        <f>N(Y129)+O130</f>
        <v/>
      </c>
      <c r="Z130" s="32">
        <f>IF(O130=1,Y130,"")</f>
        <v/>
      </c>
      <c r="AA130" s="32">
        <f>IF(AND(W130=1,G130="Not sure yet"),1,0)</f>
        <v/>
      </c>
      <c r="AB130" s="32">
        <f>N(AB129)+AA130</f>
        <v/>
      </c>
      <c r="AC130" s="32">
        <f>IF(AA130=1,AB130,"")</f>
        <v/>
      </c>
      <c r="AD130" s="32">
        <f>IF(D130="","",IF(LEN(D130)=10,"+1"&amp;D130,IF(AND(LEN(D130)=11,LEFT(D130,1)="1"),"+"&amp;D130,IF(LEFT(C130,1)="+","+"&amp;D130,D130))))</f>
        <v/>
      </c>
      <c r="AE130" s="32">
        <f>IF(B130="","",PROPER(IFERROR(LEFT(B130,FIND(" ",B130)-1),B130)))</f>
        <v/>
      </c>
      <c r="AF130" s="32">
        <f>SUBSTITUTE(SUBSTITUTE(SUBSTITUTE(SUBSTITUTE(SUBSTITUTE(SUBSTITUTE(SUBSTITUTE(SUBSTITUTE(SUBSTITUTE(SUBSTITUTE(AE130,"%","%25"),"&amp;","%26"),"#","%23"),"+","%2B"),"=","%3D"),"?","%3F"),CHAR(34),"%22"),CHAR(10),"%0A"),CHAR(13),"")," ","+")</f>
        <v/>
      </c>
      <c r="AG130" s="32">
        <f>IF(OR(AD130="",AE130=""),"",'Start Here'!$B$20&amp;"#p="&amp;SUBSTITUTE(AD130,"+","%2B")&amp;"&amp;n="&amp;AF130&amp;"&amp;m="&amp;SUBSTITUTE('Start Here'!$B$24,"{name}",AF130))</f>
        <v/>
      </c>
      <c r="AH130" s="32">
        <f>N(AH129)+W130</f>
        <v/>
      </c>
      <c r="AI130" s="32">
        <f>IF(W130=1,AH130,"")</f>
        <v/>
      </c>
    </row>
    <row r="131">
      <c r="A131" s="32">
        <f>IF(INDEX('Form Responses'!$A:$A,ROW())="","",INDEX('Form Responses'!$A:$A,ROW()))</f>
        <v/>
      </c>
      <c r="B131" s="32">
        <f>TRIM(INDEX('Form Responses'!$B:$B,ROW())&amp;"")</f>
        <v/>
      </c>
      <c r="C131" s="32">
        <f>IF(B131="","",TRIM(INDEX('Form Responses'!$C:$C,ROW())&amp;""))</f>
        <v/>
      </c>
      <c r="D131" s="32">
        <f>SUBSTITUTE(SUBSTITUTE(SUBSTITUTE(SUBSTITUTE(SUBSTITUTE(SUBSTITUTE(SUBSTITUTE(SUBSTITUTE(C131," ",""),"-",""),"(",""),")",""),".",""),"+",""),"/",""),CHAR(160),"")</f>
        <v/>
      </c>
      <c r="E131" s="32">
        <f>IF(LEN(D131)&gt;=10,RIGHT(D131,10),D131)</f>
        <v/>
      </c>
      <c r="F131" s="32">
        <f>IF(B131="","",TRIM(INDEX('Form Responses'!$D:$D,ROW())&amp;""))</f>
        <v/>
      </c>
      <c r="G131" s="32">
        <f>IF(B131="","",IF(LEFT(TRIM(INDEX('Form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1" s="32">
        <f>IF(B131="","",MAX(0,IFERROR(INT(--(INDEX('Form Responses'!$F:$F,ROW())&amp;"")),1)))</f>
        <v/>
      </c>
      <c r="I131" s="32">
        <f>IF(B131="","",MAX(0,IFERROR(INT(--(INDEX('Form Responses'!$G:$G,ROW())&amp;"")),0)))</f>
        <v/>
      </c>
      <c r="J131" s="32">
        <f>IF(B131="","",TRIM(INDEX('Form Responses'!$H:$H,ROW())&amp;""))</f>
        <v/>
      </c>
      <c r="K131" s="32">
        <f>IF(B131="","",TRIM(INDEX('Form Responses'!$I:$I,ROW())&amp;""))</f>
        <v/>
      </c>
      <c r="L131" s="32">
        <f>IF(B131="","",TRIM(INDEX('Form Responses'!$J:$J,ROW())&amp;""))</f>
        <v/>
      </c>
      <c r="M131" s="32">
        <f>IF(B131="","",TRIM(INDEX('Form Responses'!$K:$K,ROW())&amp;""))</f>
        <v/>
      </c>
      <c r="N131" s="32">
        <f>IF(B131="","",IF(E131&lt;&gt;"","P"&amp;E131,"N"&amp;B131))</f>
        <v/>
      </c>
      <c r="O131" s="32">
        <f>IF(N131="",0,IF(COUNTIF(N132:N$602,N131)=0,1,0))</f>
        <v/>
      </c>
      <c r="P131" s="32">
        <f>IF(AND(O131=1,E131&lt;&gt;""),E131,"")</f>
        <v/>
      </c>
      <c r="Q131" s="32">
        <f>IF(O131=1,B131,"")</f>
        <v/>
      </c>
      <c r="R131" s="32">
        <f>IF(O131&lt;&gt;1,"",IF(E131&lt;&gt;"",IFERROR(MATCH(E131,Guests!$S$6:$S$505,0)+5,IFERROR(MATCH(B131,Guests!$A$6:$A$505,0)+5,"")),IFERROR(MATCH(B131,Guests!$A$6:$A$505,0)+5,"")))</f>
        <v/>
      </c>
      <c r="S131" s="32">
        <f>IF(R131="","",TRIM(INDEX(Guests!$E$1:$E$505,R131)&amp;""))</f>
        <v/>
      </c>
      <c r="T131" s="32">
        <f>IF(R131="","",IF(S131="",1,COUNTIF(Guests!$E$6:$E$505,S131)))</f>
        <v/>
      </c>
      <c r="U131" s="32">
        <f>IF(R131="","",IF(S131="",1,IF(COUNTIF(S$1:S130,S131)=0,1,0)))</f>
        <v/>
      </c>
      <c r="V131" s="32">
        <f>IF(AND(R131&lt;&gt;"",G131="Attending",U131=1),MAX(0,H131+I131-T131),0)</f>
        <v/>
      </c>
      <c r="W131" s="32">
        <f>IF(AND(O131=1,R131=""),1,0)</f>
        <v/>
      </c>
      <c r="X131" s="32">
        <f>IF(B131="",0,H131+I131)</f>
        <v/>
      </c>
      <c r="Y131" s="32">
        <f>N(Y130)+O131</f>
        <v/>
      </c>
      <c r="Z131" s="32">
        <f>IF(O131=1,Y131,"")</f>
        <v/>
      </c>
      <c r="AA131" s="32">
        <f>IF(AND(W131=1,G131="Not sure yet"),1,0)</f>
        <v/>
      </c>
      <c r="AB131" s="32">
        <f>N(AB130)+AA131</f>
        <v/>
      </c>
      <c r="AC131" s="32">
        <f>IF(AA131=1,AB131,"")</f>
        <v/>
      </c>
      <c r="AD131" s="32">
        <f>IF(D131="","",IF(LEN(D131)=10,"+1"&amp;D131,IF(AND(LEN(D131)=11,LEFT(D131,1)="1"),"+"&amp;D131,IF(LEFT(C131,1)="+","+"&amp;D131,D131))))</f>
        <v/>
      </c>
      <c r="AE131" s="32">
        <f>IF(B131="","",PROPER(IFERROR(LEFT(B131,FIND(" ",B131)-1),B131)))</f>
        <v/>
      </c>
      <c r="AF131" s="32">
        <f>SUBSTITUTE(SUBSTITUTE(SUBSTITUTE(SUBSTITUTE(SUBSTITUTE(SUBSTITUTE(SUBSTITUTE(SUBSTITUTE(SUBSTITUTE(SUBSTITUTE(AE131,"%","%25"),"&amp;","%26"),"#","%23"),"+","%2B"),"=","%3D"),"?","%3F"),CHAR(34),"%22"),CHAR(10),"%0A"),CHAR(13),"")," ","+")</f>
        <v/>
      </c>
      <c r="AG131" s="32">
        <f>IF(OR(AD131="",AE131=""),"",'Start Here'!$B$20&amp;"#p="&amp;SUBSTITUTE(AD131,"+","%2B")&amp;"&amp;n="&amp;AF131&amp;"&amp;m="&amp;SUBSTITUTE('Start Here'!$B$24,"{name}",AF131))</f>
        <v/>
      </c>
      <c r="AH131" s="32">
        <f>N(AH130)+W131</f>
        <v/>
      </c>
      <c r="AI131" s="32">
        <f>IF(W131=1,AH131,"")</f>
        <v/>
      </c>
    </row>
    <row r="132">
      <c r="A132" s="32">
        <f>IF(INDEX('Form Responses'!$A:$A,ROW())="","",INDEX('Form Responses'!$A:$A,ROW()))</f>
        <v/>
      </c>
      <c r="B132" s="32">
        <f>TRIM(INDEX('Form Responses'!$B:$B,ROW())&amp;"")</f>
        <v/>
      </c>
      <c r="C132" s="32">
        <f>IF(B132="","",TRIM(INDEX('Form Responses'!$C:$C,ROW())&amp;""))</f>
        <v/>
      </c>
      <c r="D132" s="32">
        <f>SUBSTITUTE(SUBSTITUTE(SUBSTITUTE(SUBSTITUTE(SUBSTITUTE(SUBSTITUTE(SUBSTITUTE(SUBSTITUTE(C132," ",""),"-",""),"(",""),")",""),".",""),"+",""),"/",""),CHAR(160),"")</f>
        <v/>
      </c>
      <c r="E132" s="32">
        <f>IF(LEN(D132)&gt;=10,RIGHT(D132,10),D132)</f>
        <v/>
      </c>
      <c r="F132" s="32">
        <f>IF(B132="","",TRIM(INDEX('Form Responses'!$D:$D,ROW())&amp;""))</f>
        <v/>
      </c>
      <c r="G132" s="32">
        <f>IF(B132="","",IF(LEFT(TRIM(INDEX('Form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2" s="32">
        <f>IF(B132="","",MAX(0,IFERROR(INT(--(INDEX('Form Responses'!$F:$F,ROW())&amp;"")),1)))</f>
        <v/>
      </c>
      <c r="I132" s="32">
        <f>IF(B132="","",MAX(0,IFERROR(INT(--(INDEX('Form Responses'!$G:$G,ROW())&amp;"")),0)))</f>
        <v/>
      </c>
      <c r="J132" s="32">
        <f>IF(B132="","",TRIM(INDEX('Form Responses'!$H:$H,ROW())&amp;""))</f>
        <v/>
      </c>
      <c r="K132" s="32">
        <f>IF(B132="","",TRIM(INDEX('Form Responses'!$I:$I,ROW())&amp;""))</f>
        <v/>
      </c>
      <c r="L132" s="32">
        <f>IF(B132="","",TRIM(INDEX('Form Responses'!$J:$J,ROW())&amp;""))</f>
        <v/>
      </c>
      <c r="M132" s="32">
        <f>IF(B132="","",TRIM(INDEX('Form Responses'!$K:$K,ROW())&amp;""))</f>
        <v/>
      </c>
      <c r="N132" s="32">
        <f>IF(B132="","",IF(E132&lt;&gt;"","P"&amp;E132,"N"&amp;B132))</f>
        <v/>
      </c>
      <c r="O132" s="32">
        <f>IF(N132="",0,IF(COUNTIF(N133:N$602,N132)=0,1,0))</f>
        <v/>
      </c>
      <c r="P132" s="32">
        <f>IF(AND(O132=1,E132&lt;&gt;""),E132,"")</f>
        <v/>
      </c>
      <c r="Q132" s="32">
        <f>IF(O132=1,B132,"")</f>
        <v/>
      </c>
      <c r="R132" s="32">
        <f>IF(O132&lt;&gt;1,"",IF(E132&lt;&gt;"",IFERROR(MATCH(E132,Guests!$S$6:$S$505,0)+5,IFERROR(MATCH(B132,Guests!$A$6:$A$505,0)+5,"")),IFERROR(MATCH(B132,Guests!$A$6:$A$505,0)+5,"")))</f>
        <v/>
      </c>
      <c r="S132" s="32">
        <f>IF(R132="","",TRIM(INDEX(Guests!$E$1:$E$505,R132)&amp;""))</f>
        <v/>
      </c>
      <c r="T132" s="32">
        <f>IF(R132="","",IF(S132="",1,COUNTIF(Guests!$E$6:$E$505,S132)))</f>
        <v/>
      </c>
      <c r="U132" s="32">
        <f>IF(R132="","",IF(S132="",1,IF(COUNTIF(S$1:S131,S132)=0,1,0)))</f>
        <v/>
      </c>
      <c r="V132" s="32">
        <f>IF(AND(R132&lt;&gt;"",G132="Attending",U132=1),MAX(0,H132+I132-T132),0)</f>
        <v/>
      </c>
      <c r="W132" s="32">
        <f>IF(AND(O132=1,R132=""),1,0)</f>
        <v/>
      </c>
      <c r="X132" s="32">
        <f>IF(B132="",0,H132+I132)</f>
        <v/>
      </c>
      <c r="Y132" s="32">
        <f>N(Y131)+O132</f>
        <v/>
      </c>
      <c r="Z132" s="32">
        <f>IF(O132=1,Y132,"")</f>
        <v/>
      </c>
      <c r="AA132" s="32">
        <f>IF(AND(W132=1,G132="Not sure yet"),1,0)</f>
        <v/>
      </c>
      <c r="AB132" s="32">
        <f>N(AB131)+AA132</f>
        <v/>
      </c>
      <c r="AC132" s="32">
        <f>IF(AA132=1,AB132,"")</f>
        <v/>
      </c>
      <c r="AD132" s="32">
        <f>IF(D132="","",IF(LEN(D132)=10,"+1"&amp;D132,IF(AND(LEN(D132)=11,LEFT(D132,1)="1"),"+"&amp;D132,IF(LEFT(C132,1)="+","+"&amp;D132,D132))))</f>
        <v/>
      </c>
      <c r="AE132" s="32">
        <f>IF(B132="","",PROPER(IFERROR(LEFT(B132,FIND(" ",B132)-1),B132)))</f>
        <v/>
      </c>
      <c r="AF132" s="32">
        <f>SUBSTITUTE(SUBSTITUTE(SUBSTITUTE(SUBSTITUTE(SUBSTITUTE(SUBSTITUTE(SUBSTITUTE(SUBSTITUTE(SUBSTITUTE(SUBSTITUTE(AE132,"%","%25"),"&amp;","%26"),"#","%23"),"+","%2B"),"=","%3D"),"?","%3F"),CHAR(34),"%22"),CHAR(10),"%0A"),CHAR(13),"")," ","+")</f>
        <v/>
      </c>
      <c r="AG132" s="32">
        <f>IF(OR(AD132="",AE132=""),"",'Start Here'!$B$20&amp;"#p="&amp;SUBSTITUTE(AD132,"+","%2B")&amp;"&amp;n="&amp;AF132&amp;"&amp;m="&amp;SUBSTITUTE('Start Here'!$B$24,"{name}",AF132))</f>
        <v/>
      </c>
      <c r="AH132" s="32">
        <f>N(AH131)+W132</f>
        <v/>
      </c>
      <c r="AI132" s="32">
        <f>IF(W132=1,AH132,"")</f>
        <v/>
      </c>
    </row>
    <row r="133">
      <c r="A133" s="32">
        <f>IF(INDEX('Form Responses'!$A:$A,ROW())="","",INDEX('Form Responses'!$A:$A,ROW()))</f>
        <v/>
      </c>
      <c r="B133" s="32">
        <f>TRIM(INDEX('Form Responses'!$B:$B,ROW())&amp;"")</f>
        <v/>
      </c>
      <c r="C133" s="32">
        <f>IF(B133="","",TRIM(INDEX('Form Responses'!$C:$C,ROW())&amp;""))</f>
        <v/>
      </c>
      <c r="D133" s="32">
        <f>SUBSTITUTE(SUBSTITUTE(SUBSTITUTE(SUBSTITUTE(SUBSTITUTE(SUBSTITUTE(SUBSTITUTE(SUBSTITUTE(C133," ",""),"-",""),"(",""),")",""),".",""),"+",""),"/",""),CHAR(160),"")</f>
        <v/>
      </c>
      <c r="E133" s="32">
        <f>IF(LEN(D133)&gt;=10,RIGHT(D133,10),D133)</f>
        <v/>
      </c>
      <c r="F133" s="32">
        <f>IF(B133="","",TRIM(INDEX('Form Responses'!$D:$D,ROW())&amp;""))</f>
        <v/>
      </c>
      <c r="G133" s="32">
        <f>IF(B133="","",IF(LEFT(TRIM(INDEX('Form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3" s="32">
        <f>IF(B133="","",MAX(0,IFERROR(INT(--(INDEX('Form Responses'!$F:$F,ROW())&amp;"")),1)))</f>
        <v/>
      </c>
      <c r="I133" s="32">
        <f>IF(B133="","",MAX(0,IFERROR(INT(--(INDEX('Form Responses'!$G:$G,ROW())&amp;"")),0)))</f>
        <v/>
      </c>
      <c r="J133" s="32">
        <f>IF(B133="","",TRIM(INDEX('Form Responses'!$H:$H,ROW())&amp;""))</f>
        <v/>
      </c>
      <c r="K133" s="32">
        <f>IF(B133="","",TRIM(INDEX('Form Responses'!$I:$I,ROW())&amp;""))</f>
        <v/>
      </c>
      <c r="L133" s="32">
        <f>IF(B133="","",TRIM(INDEX('Form Responses'!$J:$J,ROW())&amp;""))</f>
        <v/>
      </c>
      <c r="M133" s="32">
        <f>IF(B133="","",TRIM(INDEX('Form Responses'!$K:$K,ROW())&amp;""))</f>
        <v/>
      </c>
      <c r="N133" s="32">
        <f>IF(B133="","",IF(E133&lt;&gt;"","P"&amp;E133,"N"&amp;B133))</f>
        <v/>
      </c>
      <c r="O133" s="32">
        <f>IF(N133="",0,IF(COUNTIF(N134:N$602,N133)=0,1,0))</f>
        <v/>
      </c>
      <c r="P133" s="32">
        <f>IF(AND(O133=1,E133&lt;&gt;""),E133,"")</f>
        <v/>
      </c>
      <c r="Q133" s="32">
        <f>IF(O133=1,B133,"")</f>
        <v/>
      </c>
      <c r="R133" s="32">
        <f>IF(O133&lt;&gt;1,"",IF(E133&lt;&gt;"",IFERROR(MATCH(E133,Guests!$S$6:$S$505,0)+5,IFERROR(MATCH(B133,Guests!$A$6:$A$505,0)+5,"")),IFERROR(MATCH(B133,Guests!$A$6:$A$505,0)+5,"")))</f>
        <v/>
      </c>
      <c r="S133" s="32">
        <f>IF(R133="","",TRIM(INDEX(Guests!$E$1:$E$505,R133)&amp;""))</f>
        <v/>
      </c>
      <c r="T133" s="32">
        <f>IF(R133="","",IF(S133="",1,COUNTIF(Guests!$E$6:$E$505,S133)))</f>
        <v/>
      </c>
      <c r="U133" s="32">
        <f>IF(R133="","",IF(S133="",1,IF(COUNTIF(S$1:S132,S133)=0,1,0)))</f>
        <v/>
      </c>
      <c r="V133" s="32">
        <f>IF(AND(R133&lt;&gt;"",G133="Attending",U133=1),MAX(0,H133+I133-T133),0)</f>
        <v/>
      </c>
      <c r="W133" s="32">
        <f>IF(AND(O133=1,R133=""),1,0)</f>
        <v/>
      </c>
      <c r="X133" s="32">
        <f>IF(B133="",0,H133+I133)</f>
        <v/>
      </c>
      <c r="Y133" s="32">
        <f>N(Y132)+O133</f>
        <v/>
      </c>
      <c r="Z133" s="32">
        <f>IF(O133=1,Y133,"")</f>
        <v/>
      </c>
      <c r="AA133" s="32">
        <f>IF(AND(W133=1,G133="Not sure yet"),1,0)</f>
        <v/>
      </c>
      <c r="AB133" s="32">
        <f>N(AB132)+AA133</f>
        <v/>
      </c>
      <c r="AC133" s="32">
        <f>IF(AA133=1,AB133,"")</f>
        <v/>
      </c>
      <c r="AD133" s="32">
        <f>IF(D133="","",IF(LEN(D133)=10,"+1"&amp;D133,IF(AND(LEN(D133)=11,LEFT(D133,1)="1"),"+"&amp;D133,IF(LEFT(C133,1)="+","+"&amp;D133,D133))))</f>
        <v/>
      </c>
      <c r="AE133" s="32">
        <f>IF(B133="","",PROPER(IFERROR(LEFT(B133,FIND(" ",B133)-1),B133)))</f>
        <v/>
      </c>
      <c r="AF133" s="32">
        <f>SUBSTITUTE(SUBSTITUTE(SUBSTITUTE(SUBSTITUTE(SUBSTITUTE(SUBSTITUTE(SUBSTITUTE(SUBSTITUTE(SUBSTITUTE(SUBSTITUTE(AE133,"%","%25"),"&amp;","%26"),"#","%23"),"+","%2B"),"=","%3D"),"?","%3F"),CHAR(34),"%22"),CHAR(10),"%0A"),CHAR(13),"")," ","+")</f>
        <v/>
      </c>
      <c r="AG133" s="32">
        <f>IF(OR(AD133="",AE133=""),"",'Start Here'!$B$20&amp;"#p="&amp;SUBSTITUTE(AD133,"+","%2B")&amp;"&amp;n="&amp;AF133&amp;"&amp;m="&amp;SUBSTITUTE('Start Here'!$B$24,"{name}",AF133))</f>
        <v/>
      </c>
      <c r="AH133" s="32">
        <f>N(AH132)+W133</f>
        <v/>
      </c>
      <c r="AI133" s="32">
        <f>IF(W133=1,AH133,"")</f>
        <v/>
      </c>
    </row>
    <row r="134">
      <c r="A134" s="32">
        <f>IF(INDEX('Form Responses'!$A:$A,ROW())="","",INDEX('Form Responses'!$A:$A,ROW()))</f>
        <v/>
      </c>
      <c r="B134" s="32">
        <f>TRIM(INDEX('Form Responses'!$B:$B,ROW())&amp;"")</f>
        <v/>
      </c>
      <c r="C134" s="32">
        <f>IF(B134="","",TRIM(INDEX('Form Responses'!$C:$C,ROW())&amp;""))</f>
        <v/>
      </c>
      <c r="D134" s="32">
        <f>SUBSTITUTE(SUBSTITUTE(SUBSTITUTE(SUBSTITUTE(SUBSTITUTE(SUBSTITUTE(SUBSTITUTE(SUBSTITUTE(C134," ",""),"-",""),"(",""),")",""),".",""),"+",""),"/",""),CHAR(160),"")</f>
        <v/>
      </c>
      <c r="E134" s="32">
        <f>IF(LEN(D134)&gt;=10,RIGHT(D134,10),D134)</f>
        <v/>
      </c>
      <c r="F134" s="32">
        <f>IF(B134="","",TRIM(INDEX('Form Responses'!$D:$D,ROW())&amp;""))</f>
        <v/>
      </c>
      <c r="G134" s="32">
        <f>IF(B134="","",IF(LEFT(TRIM(INDEX('Form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4" s="32">
        <f>IF(B134="","",MAX(0,IFERROR(INT(--(INDEX('Form Responses'!$F:$F,ROW())&amp;"")),1)))</f>
        <v/>
      </c>
      <c r="I134" s="32">
        <f>IF(B134="","",MAX(0,IFERROR(INT(--(INDEX('Form Responses'!$G:$G,ROW())&amp;"")),0)))</f>
        <v/>
      </c>
      <c r="J134" s="32">
        <f>IF(B134="","",TRIM(INDEX('Form Responses'!$H:$H,ROW())&amp;""))</f>
        <v/>
      </c>
      <c r="K134" s="32">
        <f>IF(B134="","",TRIM(INDEX('Form Responses'!$I:$I,ROW())&amp;""))</f>
        <v/>
      </c>
      <c r="L134" s="32">
        <f>IF(B134="","",TRIM(INDEX('Form Responses'!$J:$J,ROW())&amp;""))</f>
        <v/>
      </c>
      <c r="M134" s="32">
        <f>IF(B134="","",TRIM(INDEX('Form Responses'!$K:$K,ROW())&amp;""))</f>
        <v/>
      </c>
      <c r="N134" s="32">
        <f>IF(B134="","",IF(E134&lt;&gt;"","P"&amp;E134,"N"&amp;B134))</f>
        <v/>
      </c>
      <c r="O134" s="32">
        <f>IF(N134="",0,IF(COUNTIF(N135:N$602,N134)=0,1,0))</f>
        <v/>
      </c>
      <c r="P134" s="32">
        <f>IF(AND(O134=1,E134&lt;&gt;""),E134,"")</f>
        <v/>
      </c>
      <c r="Q134" s="32">
        <f>IF(O134=1,B134,"")</f>
        <v/>
      </c>
      <c r="R134" s="32">
        <f>IF(O134&lt;&gt;1,"",IF(E134&lt;&gt;"",IFERROR(MATCH(E134,Guests!$S$6:$S$505,0)+5,IFERROR(MATCH(B134,Guests!$A$6:$A$505,0)+5,"")),IFERROR(MATCH(B134,Guests!$A$6:$A$505,0)+5,"")))</f>
        <v/>
      </c>
      <c r="S134" s="32">
        <f>IF(R134="","",TRIM(INDEX(Guests!$E$1:$E$505,R134)&amp;""))</f>
        <v/>
      </c>
      <c r="T134" s="32">
        <f>IF(R134="","",IF(S134="",1,COUNTIF(Guests!$E$6:$E$505,S134)))</f>
        <v/>
      </c>
      <c r="U134" s="32">
        <f>IF(R134="","",IF(S134="",1,IF(COUNTIF(S$1:S133,S134)=0,1,0)))</f>
        <v/>
      </c>
      <c r="V134" s="32">
        <f>IF(AND(R134&lt;&gt;"",G134="Attending",U134=1),MAX(0,H134+I134-T134),0)</f>
        <v/>
      </c>
      <c r="W134" s="32">
        <f>IF(AND(O134=1,R134=""),1,0)</f>
        <v/>
      </c>
      <c r="X134" s="32">
        <f>IF(B134="",0,H134+I134)</f>
        <v/>
      </c>
      <c r="Y134" s="32">
        <f>N(Y133)+O134</f>
        <v/>
      </c>
      <c r="Z134" s="32">
        <f>IF(O134=1,Y134,"")</f>
        <v/>
      </c>
      <c r="AA134" s="32">
        <f>IF(AND(W134=1,G134="Not sure yet"),1,0)</f>
        <v/>
      </c>
      <c r="AB134" s="32">
        <f>N(AB133)+AA134</f>
        <v/>
      </c>
      <c r="AC134" s="32">
        <f>IF(AA134=1,AB134,"")</f>
        <v/>
      </c>
      <c r="AD134" s="32">
        <f>IF(D134="","",IF(LEN(D134)=10,"+1"&amp;D134,IF(AND(LEN(D134)=11,LEFT(D134,1)="1"),"+"&amp;D134,IF(LEFT(C134,1)="+","+"&amp;D134,D134))))</f>
        <v/>
      </c>
      <c r="AE134" s="32">
        <f>IF(B134="","",PROPER(IFERROR(LEFT(B134,FIND(" ",B134)-1),B134)))</f>
        <v/>
      </c>
      <c r="AF134" s="32">
        <f>SUBSTITUTE(SUBSTITUTE(SUBSTITUTE(SUBSTITUTE(SUBSTITUTE(SUBSTITUTE(SUBSTITUTE(SUBSTITUTE(SUBSTITUTE(SUBSTITUTE(AE134,"%","%25"),"&amp;","%26"),"#","%23"),"+","%2B"),"=","%3D"),"?","%3F"),CHAR(34),"%22"),CHAR(10),"%0A"),CHAR(13),"")," ","+")</f>
        <v/>
      </c>
      <c r="AG134" s="32">
        <f>IF(OR(AD134="",AE134=""),"",'Start Here'!$B$20&amp;"#p="&amp;SUBSTITUTE(AD134,"+","%2B")&amp;"&amp;n="&amp;AF134&amp;"&amp;m="&amp;SUBSTITUTE('Start Here'!$B$24,"{name}",AF134))</f>
        <v/>
      </c>
      <c r="AH134" s="32">
        <f>N(AH133)+W134</f>
        <v/>
      </c>
      <c r="AI134" s="32">
        <f>IF(W134=1,AH134,"")</f>
        <v/>
      </c>
    </row>
    <row r="135">
      <c r="A135" s="32">
        <f>IF(INDEX('Form Responses'!$A:$A,ROW())="","",INDEX('Form Responses'!$A:$A,ROW()))</f>
        <v/>
      </c>
      <c r="B135" s="32">
        <f>TRIM(INDEX('Form Responses'!$B:$B,ROW())&amp;"")</f>
        <v/>
      </c>
      <c r="C135" s="32">
        <f>IF(B135="","",TRIM(INDEX('Form Responses'!$C:$C,ROW())&amp;""))</f>
        <v/>
      </c>
      <c r="D135" s="32">
        <f>SUBSTITUTE(SUBSTITUTE(SUBSTITUTE(SUBSTITUTE(SUBSTITUTE(SUBSTITUTE(SUBSTITUTE(SUBSTITUTE(C135," ",""),"-",""),"(",""),")",""),".",""),"+",""),"/",""),CHAR(160),"")</f>
        <v/>
      </c>
      <c r="E135" s="32">
        <f>IF(LEN(D135)&gt;=10,RIGHT(D135,10),D135)</f>
        <v/>
      </c>
      <c r="F135" s="32">
        <f>IF(B135="","",TRIM(INDEX('Form Responses'!$D:$D,ROW())&amp;""))</f>
        <v/>
      </c>
      <c r="G135" s="32">
        <f>IF(B135="","",IF(LEFT(TRIM(INDEX('Form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5" s="32">
        <f>IF(B135="","",MAX(0,IFERROR(INT(--(INDEX('Form Responses'!$F:$F,ROW())&amp;"")),1)))</f>
        <v/>
      </c>
      <c r="I135" s="32">
        <f>IF(B135="","",MAX(0,IFERROR(INT(--(INDEX('Form Responses'!$G:$G,ROW())&amp;"")),0)))</f>
        <v/>
      </c>
      <c r="J135" s="32">
        <f>IF(B135="","",TRIM(INDEX('Form Responses'!$H:$H,ROW())&amp;""))</f>
        <v/>
      </c>
      <c r="K135" s="32">
        <f>IF(B135="","",TRIM(INDEX('Form Responses'!$I:$I,ROW())&amp;""))</f>
        <v/>
      </c>
      <c r="L135" s="32">
        <f>IF(B135="","",TRIM(INDEX('Form Responses'!$J:$J,ROW())&amp;""))</f>
        <v/>
      </c>
      <c r="M135" s="32">
        <f>IF(B135="","",TRIM(INDEX('Form Responses'!$K:$K,ROW())&amp;""))</f>
        <v/>
      </c>
      <c r="N135" s="32">
        <f>IF(B135="","",IF(E135&lt;&gt;"","P"&amp;E135,"N"&amp;B135))</f>
        <v/>
      </c>
      <c r="O135" s="32">
        <f>IF(N135="",0,IF(COUNTIF(N136:N$602,N135)=0,1,0))</f>
        <v/>
      </c>
      <c r="P135" s="32">
        <f>IF(AND(O135=1,E135&lt;&gt;""),E135,"")</f>
        <v/>
      </c>
      <c r="Q135" s="32">
        <f>IF(O135=1,B135,"")</f>
        <v/>
      </c>
      <c r="R135" s="32">
        <f>IF(O135&lt;&gt;1,"",IF(E135&lt;&gt;"",IFERROR(MATCH(E135,Guests!$S$6:$S$505,0)+5,IFERROR(MATCH(B135,Guests!$A$6:$A$505,0)+5,"")),IFERROR(MATCH(B135,Guests!$A$6:$A$505,0)+5,"")))</f>
        <v/>
      </c>
      <c r="S135" s="32">
        <f>IF(R135="","",TRIM(INDEX(Guests!$E$1:$E$505,R135)&amp;""))</f>
        <v/>
      </c>
      <c r="T135" s="32">
        <f>IF(R135="","",IF(S135="",1,COUNTIF(Guests!$E$6:$E$505,S135)))</f>
        <v/>
      </c>
      <c r="U135" s="32">
        <f>IF(R135="","",IF(S135="",1,IF(COUNTIF(S$1:S134,S135)=0,1,0)))</f>
        <v/>
      </c>
      <c r="V135" s="32">
        <f>IF(AND(R135&lt;&gt;"",G135="Attending",U135=1),MAX(0,H135+I135-T135),0)</f>
        <v/>
      </c>
      <c r="W135" s="32">
        <f>IF(AND(O135=1,R135=""),1,0)</f>
        <v/>
      </c>
      <c r="X135" s="32">
        <f>IF(B135="",0,H135+I135)</f>
        <v/>
      </c>
      <c r="Y135" s="32">
        <f>N(Y134)+O135</f>
        <v/>
      </c>
      <c r="Z135" s="32">
        <f>IF(O135=1,Y135,"")</f>
        <v/>
      </c>
      <c r="AA135" s="32">
        <f>IF(AND(W135=1,G135="Not sure yet"),1,0)</f>
        <v/>
      </c>
      <c r="AB135" s="32">
        <f>N(AB134)+AA135</f>
        <v/>
      </c>
      <c r="AC135" s="32">
        <f>IF(AA135=1,AB135,"")</f>
        <v/>
      </c>
      <c r="AD135" s="32">
        <f>IF(D135="","",IF(LEN(D135)=10,"+1"&amp;D135,IF(AND(LEN(D135)=11,LEFT(D135,1)="1"),"+"&amp;D135,IF(LEFT(C135,1)="+","+"&amp;D135,D135))))</f>
        <v/>
      </c>
      <c r="AE135" s="32">
        <f>IF(B135="","",PROPER(IFERROR(LEFT(B135,FIND(" ",B135)-1),B135)))</f>
        <v/>
      </c>
      <c r="AF135" s="32">
        <f>SUBSTITUTE(SUBSTITUTE(SUBSTITUTE(SUBSTITUTE(SUBSTITUTE(SUBSTITUTE(SUBSTITUTE(SUBSTITUTE(SUBSTITUTE(SUBSTITUTE(AE135,"%","%25"),"&amp;","%26"),"#","%23"),"+","%2B"),"=","%3D"),"?","%3F"),CHAR(34),"%22"),CHAR(10),"%0A"),CHAR(13),"")," ","+")</f>
        <v/>
      </c>
      <c r="AG135" s="32">
        <f>IF(OR(AD135="",AE135=""),"",'Start Here'!$B$20&amp;"#p="&amp;SUBSTITUTE(AD135,"+","%2B")&amp;"&amp;n="&amp;AF135&amp;"&amp;m="&amp;SUBSTITUTE('Start Here'!$B$24,"{name}",AF135))</f>
        <v/>
      </c>
      <c r="AH135" s="32">
        <f>N(AH134)+W135</f>
        <v/>
      </c>
      <c r="AI135" s="32">
        <f>IF(W135=1,AH135,"")</f>
        <v/>
      </c>
    </row>
    <row r="136">
      <c r="A136" s="32">
        <f>IF(INDEX('Form Responses'!$A:$A,ROW())="","",INDEX('Form Responses'!$A:$A,ROW()))</f>
        <v/>
      </c>
      <c r="B136" s="32">
        <f>TRIM(INDEX('Form Responses'!$B:$B,ROW())&amp;"")</f>
        <v/>
      </c>
      <c r="C136" s="32">
        <f>IF(B136="","",TRIM(INDEX('Form Responses'!$C:$C,ROW())&amp;""))</f>
        <v/>
      </c>
      <c r="D136" s="32">
        <f>SUBSTITUTE(SUBSTITUTE(SUBSTITUTE(SUBSTITUTE(SUBSTITUTE(SUBSTITUTE(SUBSTITUTE(SUBSTITUTE(C136," ",""),"-",""),"(",""),")",""),".",""),"+",""),"/",""),CHAR(160),"")</f>
        <v/>
      </c>
      <c r="E136" s="32">
        <f>IF(LEN(D136)&gt;=10,RIGHT(D136,10),D136)</f>
        <v/>
      </c>
      <c r="F136" s="32">
        <f>IF(B136="","",TRIM(INDEX('Form Responses'!$D:$D,ROW())&amp;""))</f>
        <v/>
      </c>
      <c r="G136" s="32">
        <f>IF(B136="","",IF(LEFT(TRIM(INDEX('Form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6" s="32">
        <f>IF(B136="","",MAX(0,IFERROR(INT(--(INDEX('Form Responses'!$F:$F,ROW())&amp;"")),1)))</f>
        <v/>
      </c>
      <c r="I136" s="32">
        <f>IF(B136="","",MAX(0,IFERROR(INT(--(INDEX('Form Responses'!$G:$G,ROW())&amp;"")),0)))</f>
        <v/>
      </c>
      <c r="J136" s="32">
        <f>IF(B136="","",TRIM(INDEX('Form Responses'!$H:$H,ROW())&amp;""))</f>
        <v/>
      </c>
      <c r="K136" s="32">
        <f>IF(B136="","",TRIM(INDEX('Form Responses'!$I:$I,ROW())&amp;""))</f>
        <v/>
      </c>
      <c r="L136" s="32">
        <f>IF(B136="","",TRIM(INDEX('Form Responses'!$J:$J,ROW())&amp;""))</f>
        <v/>
      </c>
      <c r="M136" s="32">
        <f>IF(B136="","",TRIM(INDEX('Form Responses'!$K:$K,ROW())&amp;""))</f>
        <v/>
      </c>
      <c r="N136" s="32">
        <f>IF(B136="","",IF(E136&lt;&gt;"","P"&amp;E136,"N"&amp;B136))</f>
        <v/>
      </c>
      <c r="O136" s="32">
        <f>IF(N136="",0,IF(COUNTIF(N137:N$602,N136)=0,1,0))</f>
        <v/>
      </c>
      <c r="P136" s="32">
        <f>IF(AND(O136=1,E136&lt;&gt;""),E136,"")</f>
        <v/>
      </c>
      <c r="Q136" s="32">
        <f>IF(O136=1,B136,"")</f>
        <v/>
      </c>
      <c r="R136" s="32">
        <f>IF(O136&lt;&gt;1,"",IF(E136&lt;&gt;"",IFERROR(MATCH(E136,Guests!$S$6:$S$505,0)+5,IFERROR(MATCH(B136,Guests!$A$6:$A$505,0)+5,"")),IFERROR(MATCH(B136,Guests!$A$6:$A$505,0)+5,"")))</f>
        <v/>
      </c>
      <c r="S136" s="32">
        <f>IF(R136="","",TRIM(INDEX(Guests!$E$1:$E$505,R136)&amp;""))</f>
        <v/>
      </c>
      <c r="T136" s="32">
        <f>IF(R136="","",IF(S136="",1,COUNTIF(Guests!$E$6:$E$505,S136)))</f>
        <v/>
      </c>
      <c r="U136" s="32">
        <f>IF(R136="","",IF(S136="",1,IF(COUNTIF(S$1:S135,S136)=0,1,0)))</f>
        <v/>
      </c>
      <c r="V136" s="32">
        <f>IF(AND(R136&lt;&gt;"",G136="Attending",U136=1),MAX(0,H136+I136-T136),0)</f>
        <v/>
      </c>
      <c r="W136" s="32">
        <f>IF(AND(O136=1,R136=""),1,0)</f>
        <v/>
      </c>
      <c r="X136" s="32">
        <f>IF(B136="",0,H136+I136)</f>
        <v/>
      </c>
      <c r="Y136" s="32">
        <f>N(Y135)+O136</f>
        <v/>
      </c>
      <c r="Z136" s="32">
        <f>IF(O136=1,Y136,"")</f>
        <v/>
      </c>
      <c r="AA136" s="32">
        <f>IF(AND(W136=1,G136="Not sure yet"),1,0)</f>
        <v/>
      </c>
      <c r="AB136" s="32">
        <f>N(AB135)+AA136</f>
        <v/>
      </c>
      <c r="AC136" s="32">
        <f>IF(AA136=1,AB136,"")</f>
        <v/>
      </c>
      <c r="AD136" s="32">
        <f>IF(D136="","",IF(LEN(D136)=10,"+1"&amp;D136,IF(AND(LEN(D136)=11,LEFT(D136,1)="1"),"+"&amp;D136,IF(LEFT(C136,1)="+","+"&amp;D136,D136))))</f>
        <v/>
      </c>
      <c r="AE136" s="32">
        <f>IF(B136="","",PROPER(IFERROR(LEFT(B136,FIND(" ",B136)-1),B136)))</f>
        <v/>
      </c>
      <c r="AF136" s="32">
        <f>SUBSTITUTE(SUBSTITUTE(SUBSTITUTE(SUBSTITUTE(SUBSTITUTE(SUBSTITUTE(SUBSTITUTE(SUBSTITUTE(SUBSTITUTE(SUBSTITUTE(AE136,"%","%25"),"&amp;","%26"),"#","%23"),"+","%2B"),"=","%3D"),"?","%3F"),CHAR(34),"%22"),CHAR(10),"%0A"),CHAR(13),"")," ","+")</f>
        <v/>
      </c>
      <c r="AG136" s="32">
        <f>IF(OR(AD136="",AE136=""),"",'Start Here'!$B$20&amp;"#p="&amp;SUBSTITUTE(AD136,"+","%2B")&amp;"&amp;n="&amp;AF136&amp;"&amp;m="&amp;SUBSTITUTE('Start Here'!$B$24,"{name}",AF136))</f>
        <v/>
      </c>
      <c r="AH136" s="32">
        <f>N(AH135)+W136</f>
        <v/>
      </c>
      <c r="AI136" s="32">
        <f>IF(W136=1,AH136,"")</f>
        <v/>
      </c>
    </row>
    <row r="137">
      <c r="A137" s="32">
        <f>IF(INDEX('Form Responses'!$A:$A,ROW())="","",INDEX('Form Responses'!$A:$A,ROW()))</f>
        <v/>
      </c>
      <c r="B137" s="32">
        <f>TRIM(INDEX('Form Responses'!$B:$B,ROW())&amp;"")</f>
        <v/>
      </c>
      <c r="C137" s="32">
        <f>IF(B137="","",TRIM(INDEX('Form Responses'!$C:$C,ROW())&amp;""))</f>
        <v/>
      </c>
      <c r="D137" s="32">
        <f>SUBSTITUTE(SUBSTITUTE(SUBSTITUTE(SUBSTITUTE(SUBSTITUTE(SUBSTITUTE(SUBSTITUTE(SUBSTITUTE(C137," ",""),"-",""),"(",""),")",""),".",""),"+",""),"/",""),CHAR(160),"")</f>
        <v/>
      </c>
      <c r="E137" s="32">
        <f>IF(LEN(D137)&gt;=10,RIGHT(D137,10),D137)</f>
        <v/>
      </c>
      <c r="F137" s="32">
        <f>IF(B137="","",TRIM(INDEX('Form Responses'!$D:$D,ROW())&amp;""))</f>
        <v/>
      </c>
      <c r="G137" s="32">
        <f>IF(B137="","",IF(LEFT(TRIM(INDEX('Form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7" s="32">
        <f>IF(B137="","",MAX(0,IFERROR(INT(--(INDEX('Form Responses'!$F:$F,ROW())&amp;"")),1)))</f>
        <v/>
      </c>
      <c r="I137" s="32">
        <f>IF(B137="","",MAX(0,IFERROR(INT(--(INDEX('Form Responses'!$G:$G,ROW())&amp;"")),0)))</f>
        <v/>
      </c>
      <c r="J137" s="32">
        <f>IF(B137="","",TRIM(INDEX('Form Responses'!$H:$H,ROW())&amp;""))</f>
        <v/>
      </c>
      <c r="K137" s="32">
        <f>IF(B137="","",TRIM(INDEX('Form Responses'!$I:$I,ROW())&amp;""))</f>
        <v/>
      </c>
      <c r="L137" s="32">
        <f>IF(B137="","",TRIM(INDEX('Form Responses'!$J:$J,ROW())&amp;""))</f>
        <v/>
      </c>
      <c r="M137" s="32">
        <f>IF(B137="","",TRIM(INDEX('Form Responses'!$K:$K,ROW())&amp;""))</f>
        <v/>
      </c>
      <c r="N137" s="32">
        <f>IF(B137="","",IF(E137&lt;&gt;"","P"&amp;E137,"N"&amp;B137))</f>
        <v/>
      </c>
      <c r="O137" s="32">
        <f>IF(N137="",0,IF(COUNTIF(N138:N$602,N137)=0,1,0))</f>
        <v/>
      </c>
      <c r="P137" s="32">
        <f>IF(AND(O137=1,E137&lt;&gt;""),E137,"")</f>
        <v/>
      </c>
      <c r="Q137" s="32">
        <f>IF(O137=1,B137,"")</f>
        <v/>
      </c>
      <c r="R137" s="32">
        <f>IF(O137&lt;&gt;1,"",IF(E137&lt;&gt;"",IFERROR(MATCH(E137,Guests!$S$6:$S$505,0)+5,IFERROR(MATCH(B137,Guests!$A$6:$A$505,0)+5,"")),IFERROR(MATCH(B137,Guests!$A$6:$A$505,0)+5,"")))</f>
        <v/>
      </c>
      <c r="S137" s="32">
        <f>IF(R137="","",TRIM(INDEX(Guests!$E$1:$E$505,R137)&amp;""))</f>
        <v/>
      </c>
      <c r="T137" s="32">
        <f>IF(R137="","",IF(S137="",1,COUNTIF(Guests!$E$6:$E$505,S137)))</f>
        <v/>
      </c>
      <c r="U137" s="32">
        <f>IF(R137="","",IF(S137="",1,IF(COUNTIF(S$1:S136,S137)=0,1,0)))</f>
        <v/>
      </c>
      <c r="V137" s="32">
        <f>IF(AND(R137&lt;&gt;"",G137="Attending",U137=1),MAX(0,H137+I137-T137),0)</f>
        <v/>
      </c>
      <c r="W137" s="32">
        <f>IF(AND(O137=1,R137=""),1,0)</f>
        <v/>
      </c>
      <c r="X137" s="32">
        <f>IF(B137="",0,H137+I137)</f>
        <v/>
      </c>
      <c r="Y137" s="32">
        <f>N(Y136)+O137</f>
        <v/>
      </c>
      <c r="Z137" s="32">
        <f>IF(O137=1,Y137,"")</f>
        <v/>
      </c>
      <c r="AA137" s="32">
        <f>IF(AND(W137=1,G137="Not sure yet"),1,0)</f>
        <v/>
      </c>
      <c r="AB137" s="32">
        <f>N(AB136)+AA137</f>
        <v/>
      </c>
      <c r="AC137" s="32">
        <f>IF(AA137=1,AB137,"")</f>
        <v/>
      </c>
      <c r="AD137" s="32">
        <f>IF(D137="","",IF(LEN(D137)=10,"+1"&amp;D137,IF(AND(LEN(D137)=11,LEFT(D137,1)="1"),"+"&amp;D137,IF(LEFT(C137,1)="+","+"&amp;D137,D137))))</f>
        <v/>
      </c>
      <c r="AE137" s="32">
        <f>IF(B137="","",PROPER(IFERROR(LEFT(B137,FIND(" ",B137)-1),B137)))</f>
        <v/>
      </c>
      <c r="AF137" s="32">
        <f>SUBSTITUTE(SUBSTITUTE(SUBSTITUTE(SUBSTITUTE(SUBSTITUTE(SUBSTITUTE(SUBSTITUTE(SUBSTITUTE(SUBSTITUTE(SUBSTITUTE(AE137,"%","%25"),"&amp;","%26"),"#","%23"),"+","%2B"),"=","%3D"),"?","%3F"),CHAR(34),"%22"),CHAR(10),"%0A"),CHAR(13),"")," ","+")</f>
        <v/>
      </c>
      <c r="AG137" s="32">
        <f>IF(OR(AD137="",AE137=""),"",'Start Here'!$B$20&amp;"#p="&amp;SUBSTITUTE(AD137,"+","%2B")&amp;"&amp;n="&amp;AF137&amp;"&amp;m="&amp;SUBSTITUTE('Start Here'!$B$24,"{name}",AF137))</f>
        <v/>
      </c>
      <c r="AH137" s="32">
        <f>N(AH136)+W137</f>
        <v/>
      </c>
      <c r="AI137" s="32">
        <f>IF(W137=1,AH137,"")</f>
        <v/>
      </c>
    </row>
    <row r="138">
      <c r="A138" s="32">
        <f>IF(INDEX('Form Responses'!$A:$A,ROW())="","",INDEX('Form Responses'!$A:$A,ROW()))</f>
        <v/>
      </c>
      <c r="B138" s="32">
        <f>TRIM(INDEX('Form Responses'!$B:$B,ROW())&amp;"")</f>
        <v/>
      </c>
      <c r="C138" s="32">
        <f>IF(B138="","",TRIM(INDEX('Form Responses'!$C:$C,ROW())&amp;""))</f>
        <v/>
      </c>
      <c r="D138" s="32">
        <f>SUBSTITUTE(SUBSTITUTE(SUBSTITUTE(SUBSTITUTE(SUBSTITUTE(SUBSTITUTE(SUBSTITUTE(SUBSTITUTE(C138," ",""),"-",""),"(",""),")",""),".",""),"+",""),"/",""),CHAR(160),"")</f>
        <v/>
      </c>
      <c r="E138" s="32">
        <f>IF(LEN(D138)&gt;=10,RIGHT(D138,10),D138)</f>
        <v/>
      </c>
      <c r="F138" s="32">
        <f>IF(B138="","",TRIM(INDEX('Form Responses'!$D:$D,ROW())&amp;""))</f>
        <v/>
      </c>
      <c r="G138" s="32">
        <f>IF(B138="","",IF(LEFT(TRIM(INDEX('Form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8" s="32">
        <f>IF(B138="","",MAX(0,IFERROR(INT(--(INDEX('Form Responses'!$F:$F,ROW())&amp;"")),1)))</f>
        <v/>
      </c>
      <c r="I138" s="32">
        <f>IF(B138="","",MAX(0,IFERROR(INT(--(INDEX('Form Responses'!$G:$G,ROW())&amp;"")),0)))</f>
        <v/>
      </c>
      <c r="J138" s="32">
        <f>IF(B138="","",TRIM(INDEX('Form Responses'!$H:$H,ROW())&amp;""))</f>
        <v/>
      </c>
      <c r="K138" s="32">
        <f>IF(B138="","",TRIM(INDEX('Form Responses'!$I:$I,ROW())&amp;""))</f>
        <v/>
      </c>
      <c r="L138" s="32">
        <f>IF(B138="","",TRIM(INDEX('Form Responses'!$J:$J,ROW())&amp;""))</f>
        <v/>
      </c>
      <c r="M138" s="32">
        <f>IF(B138="","",TRIM(INDEX('Form Responses'!$K:$K,ROW())&amp;""))</f>
        <v/>
      </c>
      <c r="N138" s="32">
        <f>IF(B138="","",IF(E138&lt;&gt;"","P"&amp;E138,"N"&amp;B138))</f>
        <v/>
      </c>
      <c r="O138" s="32">
        <f>IF(N138="",0,IF(COUNTIF(N139:N$602,N138)=0,1,0))</f>
        <v/>
      </c>
      <c r="P138" s="32">
        <f>IF(AND(O138=1,E138&lt;&gt;""),E138,"")</f>
        <v/>
      </c>
      <c r="Q138" s="32">
        <f>IF(O138=1,B138,"")</f>
        <v/>
      </c>
      <c r="R138" s="32">
        <f>IF(O138&lt;&gt;1,"",IF(E138&lt;&gt;"",IFERROR(MATCH(E138,Guests!$S$6:$S$505,0)+5,IFERROR(MATCH(B138,Guests!$A$6:$A$505,0)+5,"")),IFERROR(MATCH(B138,Guests!$A$6:$A$505,0)+5,"")))</f>
        <v/>
      </c>
      <c r="S138" s="32">
        <f>IF(R138="","",TRIM(INDEX(Guests!$E$1:$E$505,R138)&amp;""))</f>
        <v/>
      </c>
      <c r="T138" s="32">
        <f>IF(R138="","",IF(S138="",1,COUNTIF(Guests!$E$6:$E$505,S138)))</f>
        <v/>
      </c>
      <c r="U138" s="32">
        <f>IF(R138="","",IF(S138="",1,IF(COUNTIF(S$1:S137,S138)=0,1,0)))</f>
        <v/>
      </c>
      <c r="V138" s="32">
        <f>IF(AND(R138&lt;&gt;"",G138="Attending",U138=1),MAX(0,H138+I138-T138),0)</f>
        <v/>
      </c>
      <c r="W138" s="32">
        <f>IF(AND(O138=1,R138=""),1,0)</f>
        <v/>
      </c>
      <c r="X138" s="32">
        <f>IF(B138="",0,H138+I138)</f>
        <v/>
      </c>
      <c r="Y138" s="32">
        <f>N(Y137)+O138</f>
        <v/>
      </c>
      <c r="Z138" s="32">
        <f>IF(O138=1,Y138,"")</f>
        <v/>
      </c>
      <c r="AA138" s="32">
        <f>IF(AND(W138=1,G138="Not sure yet"),1,0)</f>
        <v/>
      </c>
      <c r="AB138" s="32">
        <f>N(AB137)+AA138</f>
        <v/>
      </c>
      <c r="AC138" s="32">
        <f>IF(AA138=1,AB138,"")</f>
        <v/>
      </c>
      <c r="AD138" s="32">
        <f>IF(D138="","",IF(LEN(D138)=10,"+1"&amp;D138,IF(AND(LEN(D138)=11,LEFT(D138,1)="1"),"+"&amp;D138,IF(LEFT(C138,1)="+","+"&amp;D138,D138))))</f>
        <v/>
      </c>
      <c r="AE138" s="32">
        <f>IF(B138="","",PROPER(IFERROR(LEFT(B138,FIND(" ",B138)-1),B138)))</f>
        <v/>
      </c>
      <c r="AF138" s="32">
        <f>SUBSTITUTE(SUBSTITUTE(SUBSTITUTE(SUBSTITUTE(SUBSTITUTE(SUBSTITUTE(SUBSTITUTE(SUBSTITUTE(SUBSTITUTE(SUBSTITUTE(AE138,"%","%25"),"&amp;","%26"),"#","%23"),"+","%2B"),"=","%3D"),"?","%3F"),CHAR(34),"%22"),CHAR(10),"%0A"),CHAR(13),"")," ","+")</f>
        <v/>
      </c>
      <c r="AG138" s="32">
        <f>IF(OR(AD138="",AE138=""),"",'Start Here'!$B$20&amp;"#p="&amp;SUBSTITUTE(AD138,"+","%2B")&amp;"&amp;n="&amp;AF138&amp;"&amp;m="&amp;SUBSTITUTE('Start Here'!$B$24,"{name}",AF138))</f>
        <v/>
      </c>
      <c r="AH138" s="32">
        <f>N(AH137)+W138</f>
        <v/>
      </c>
      <c r="AI138" s="32">
        <f>IF(W138=1,AH138,"")</f>
        <v/>
      </c>
    </row>
    <row r="139">
      <c r="A139" s="32">
        <f>IF(INDEX('Form Responses'!$A:$A,ROW())="","",INDEX('Form Responses'!$A:$A,ROW()))</f>
        <v/>
      </c>
      <c r="B139" s="32">
        <f>TRIM(INDEX('Form Responses'!$B:$B,ROW())&amp;"")</f>
        <v/>
      </c>
      <c r="C139" s="32">
        <f>IF(B139="","",TRIM(INDEX('Form Responses'!$C:$C,ROW())&amp;""))</f>
        <v/>
      </c>
      <c r="D139" s="32">
        <f>SUBSTITUTE(SUBSTITUTE(SUBSTITUTE(SUBSTITUTE(SUBSTITUTE(SUBSTITUTE(SUBSTITUTE(SUBSTITUTE(C139," ",""),"-",""),"(",""),")",""),".",""),"+",""),"/",""),CHAR(160),"")</f>
        <v/>
      </c>
      <c r="E139" s="32">
        <f>IF(LEN(D139)&gt;=10,RIGHT(D139,10),D139)</f>
        <v/>
      </c>
      <c r="F139" s="32">
        <f>IF(B139="","",TRIM(INDEX('Form Responses'!$D:$D,ROW())&amp;""))</f>
        <v/>
      </c>
      <c r="G139" s="32">
        <f>IF(B139="","",IF(LEFT(TRIM(INDEX('Form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39" s="32">
        <f>IF(B139="","",MAX(0,IFERROR(INT(--(INDEX('Form Responses'!$F:$F,ROW())&amp;"")),1)))</f>
        <v/>
      </c>
      <c r="I139" s="32">
        <f>IF(B139="","",MAX(0,IFERROR(INT(--(INDEX('Form Responses'!$G:$G,ROW())&amp;"")),0)))</f>
        <v/>
      </c>
      <c r="J139" s="32">
        <f>IF(B139="","",TRIM(INDEX('Form Responses'!$H:$H,ROW())&amp;""))</f>
        <v/>
      </c>
      <c r="K139" s="32">
        <f>IF(B139="","",TRIM(INDEX('Form Responses'!$I:$I,ROW())&amp;""))</f>
        <v/>
      </c>
      <c r="L139" s="32">
        <f>IF(B139="","",TRIM(INDEX('Form Responses'!$J:$J,ROW())&amp;""))</f>
        <v/>
      </c>
      <c r="M139" s="32">
        <f>IF(B139="","",TRIM(INDEX('Form Responses'!$K:$K,ROW())&amp;""))</f>
        <v/>
      </c>
      <c r="N139" s="32">
        <f>IF(B139="","",IF(E139&lt;&gt;"","P"&amp;E139,"N"&amp;B139))</f>
        <v/>
      </c>
      <c r="O139" s="32">
        <f>IF(N139="",0,IF(COUNTIF(N140:N$602,N139)=0,1,0))</f>
        <v/>
      </c>
      <c r="P139" s="32">
        <f>IF(AND(O139=1,E139&lt;&gt;""),E139,"")</f>
        <v/>
      </c>
      <c r="Q139" s="32">
        <f>IF(O139=1,B139,"")</f>
        <v/>
      </c>
      <c r="R139" s="32">
        <f>IF(O139&lt;&gt;1,"",IF(E139&lt;&gt;"",IFERROR(MATCH(E139,Guests!$S$6:$S$505,0)+5,IFERROR(MATCH(B139,Guests!$A$6:$A$505,0)+5,"")),IFERROR(MATCH(B139,Guests!$A$6:$A$505,0)+5,"")))</f>
        <v/>
      </c>
      <c r="S139" s="32">
        <f>IF(R139="","",TRIM(INDEX(Guests!$E$1:$E$505,R139)&amp;""))</f>
        <v/>
      </c>
      <c r="T139" s="32">
        <f>IF(R139="","",IF(S139="",1,COUNTIF(Guests!$E$6:$E$505,S139)))</f>
        <v/>
      </c>
      <c r="U139" s="32">
        <f>IF(R139="","",IF(S139="",1,IF(COUNTIF(S$1:S138,S139)=0,1,0)))</f>
        <v/>
      </c>
      <c r="V139" s="32">
        <f>IF(AND(R139&lt;&gt;"",G139="Attending",U139=1),MAX(0,H139+I139-T139),0)</f>
        <v/>
      </c>
      <c r="W139" s="32">
        <f>IF(AND(O139=1,R139=""),1,0)</f>
        <v/>
      </c>
      <c r="X139" s="32">
        <f>IF(B139="",0,H139+I139)</f>
        <v/>
      </c>
      <c r="Y139" s="32">
        <f>N(Y138)+O139</f>
        <v/>
      </c>
      <c r="Z139" s="32">
        <f>IF(O139=1,Y139,"")</f>
        <v/>
      </c>
      <c r="AA139" s="32">
        <f>IF(AND(W139=1,G139="Not sure yet"),1,0)</f>
        <v/>
      </c>
      <c r="AB139" s="32">
        <f>N(AB138)+AA139</f>
        <v/>
      </c>
      <c r="AC139" s="32">
        <f>IF(AA139=1,AB139,"")</f>
        <v/>
      </c>
      <c r="AD139" s="32">
        <f>IF(D139="","",IF(LEN(D139)=10,"+1"&amp;D139,IF(AND(LEN(D139)=11,LEFT(D139,1)="1"),"+"&amp;D139,IF(LEFT(C139,1)="+","+"&amp;D139,D139))))</f>
        <v/>
      </c>
      <c r="AE139" s="32">
        <f>IF(B139="","",PROPER(IFERROR(LEFT(B139,FIND(" ",B139)-1),B139)))</f>
        <v/>
      </c>
      <c r="AF139" s="32">
        <f>SUBSTITUTE(SUBSTITUTE(SUBSTITUTE(SUBSTITUTE(SUBSTITUTE(SUBSTITUTE(SUBSTITUTE(SUBSTITUTE(SUBSTITUTE(SUBSTITUTE(AE139,"%","%25"),"&amp;","%26"),"#","%23"),"+","%2B"),"=","%3D"),"?","%3F"),CHAR(34),"%22"),CHAR(10),"%0A"),CHAR(13),"")," ","+")</f>
        <v/>
      </c>
      <c r="AG139" s="32">
        <f>IF(OR(AD139="",AE139=""),"",'Start Here'!$B$20&amp;"#p="&amp;SUBSTITUTE(AD139,"+","%2B")&amp;"&amp;n="&amp;AF139&amp;"&amp;m="&amp;SUBSTITUTE('Start Here'!$B$24,"{name}",AF139))</f>
        <v/>
      </c>
      <c r="AH139" s="32">
        <f>N(AH138)+W139</f>
        <v/>
      </c>
      <c r="AI139" s="32">
        <f>IF(W139=1,AH139,"")</f>
        <v/>
      </c>
    </row>
    <row r="140">
      <c r="A140" s="32">
        <f>IF(INDEX('Form Responses'!$A:$A,ROW())="","",INDEX('Form Responses'!$A:$A,ROW()))</f>
        <v/>
      </c>
      <c r="B140" s="32">
        <f>TRIM(INDEX('Form Responses'!$B:$B,ROW())&amp;"")</f>
        <v/>
      </c>
      <c r="C140" s="32">
        <f>IF(B140="","",TRIM(INDEX('Form Responses'!$C:$C,ROW())&amp;""))</f>
        <v/>
      </c>
      <c r="D140" s="32">
        <f>SUBSTITUTE(SUBSTITUTE(SUBSTITUTE(SUBSTITUTE(SUBSTITUTE(SUBSTITUTE(SUBSTITUTE(SUBSTITUTE(C140," ",""),"-",""),"(",""),")",""),".",""),"+",""),"/",""),CHAR(160),"")</f>
        <v/>
      </c>
      <c r="E140" s="32">
        <f>IF(LEN(D140)&gt;=10,RIGHT(D140,10),D140)</f>
        <v/>
      </c>
      <c r="F140" s="32">
        <f>IF(B140="","",TRIM(INDEX('Form Responses'!$D:$D,ROW())&amp;""))</f>
        <v/>
      </c>
      <c r="G140" s="32">
        <f>IF(B140="","",IF(LEFT(TRIM(INDEX('Form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0" s="32">
        <f>IF(B140="","",MAX(0,IFERROR(INT(--(INDEX('Form Responses'!$F:$F,ROW())&amp;"")),1)))</f>
        <v/>
      </c>
      <c r="I140" s="32">
        <f>IF(B140="","",MAX(0,IFERROR(INT(--(INDEX('Form Responses'!$G:$G,ROW())&amp;"")),0)))</f>
        <v/>
      </c>
      <c r="J140" s="32">
        <f>IF(B140="","",TRIM(INDEX('Form Responses'!$H:$H,ROW())&amp;""))</f>
        <v/>
      </c>
      <c r="K140" s="32">
        <f>IF(B140="","",TRIM(INDEX('Form Responses'!$I:$I,ROW())&amp;""))</f>
        <v/>
      </c>
      <c r="L140" s="32">
        <f>IF(B140="","",TRIM(INDEX('Form Responses'!$J:$J,ROW())&amp;""))</f>
        <v/>
      </c>
      <c r="M140" s="32">
        <f>IF(B140="","",TRIM(INDEX('Form Responses'!$K:$K,ROW())&amp;""))</f>
        <v/>
      </c>
      <c r="N140" s="32">
        <f>IF(B140="","",IF(E140&lt;&gt;"","P"&amp;E140,"N"&amp;B140))</f>
        <v/>
      </c>
      <c r="O140" s="32">
        <f>IF(N140="",0,IF(COUNTIF(N141:N$602,N140)=0,1,0))</f>
        <v/>
      </c>
      <c r="P140" s="32">
        <f>IF(AND(O140=1,E140&lt;&gt;""),E140,"")</f>
        <v/>
      </c>
      <c r="Q140" s="32">
        <f>IF(O140=1,B140,"")</f>
        <v/>
      </c>
      <c r="R140" s="32">
        <f>IF(O140&lt;&gt;1,"",IF(E140&lt;&gt;"",IFERROR(MATCH(E140,Guests!$S$6:$S$505,0)+5,IFERROR(MATCH(B140,Guests!$A$6:$A$505,0)+5,"")),IFERROR(MATCH(B140,Guests!$A$6:$A$505,0)+5,"")))</f>
        <v/>
      </c>
      <c r="S140" s="32">
        <f>IF(R140="","",TRIM(INDEX(Guests!$E$1:$E$505,R140)&amp;""))</f>
        <v/>
      </c>
      <c r="T140" s="32">
        <f>IF(R140="","",IF(S140="",1,COUNTIF(Guests!$E$6:$E$505,S140)))</f>
        <v/>
      </c>
      <c r="U140" s="32">
        <f>IF(R140="","",IF(S140="",1,IF(COUNTIF(S$1:S139,S140)=0,1,0)))</f>
        <v/>
      </c>
      <c r="V140" s="32">
        <f>IF(AND(R140&lt;&gt;"",G140="Attending",U140=1),MAX(0,H140+I140-T140),0)</f>
        <v/>
      </c>
      <c r="W140" s="32">
        <f>IF(AND(O140=1,R140=""),1,0)</f>
        <v/>
      </c>
      <c r="X140" s="32">
        <f>IF(B140="",0,H140+I140)</f>
        <v/>
      </c>
      <c r="Y140" s="32">
        <f>N(Y139)+O140</f>
        <v/>
      </c>
      <c r="Z140" s="32">
        <f>IF(O140=1,Y140,"")</f>
        <v/>
      </c>
      <c r="AA140" s="32">
        <f>IF(AND(W140=1,G140="Not sure yet"),1,0)</f>
        <v/>
      </c>
      <c r="AB140" s="32">
        <f>N(AB139)+AA140</f>
        <v/>
      </c>
      <c r="AC140" s="32">
        <f>IF(AA140=1,AB140,"")</f>
        <v/>
      </c>
      <c r="AD140" s="32">
        <f>IF(D140="","",IF(LEN(D140)=10,"+1"&amp;D140,IF(AND(LEN(D140)=11,LEFT(D140,1)="1"),"+"&amp;D140,IF(LEFT(C140,1)="+","+"&amp;D140,D140))))</f>
        <v/>
      </c>
      <c r="AE140" s="32">
        <f>IF(B140="","",PROPER(IFERROR(LEFT(B140,FIND(" ",B140)-1),B140)))</f>
        <v/>
      </c>
      <c r="AF140" s="32">
        <f>SUBSTITUTE(SUBSTITUTE(SUBSTITUTE(SUBSTITUTE(SUBSTITUTE(SUBSTITUTE(SUBSTITUTE(SUBSTITUTE(SUBSTITUTE(SUBSTITUTE(AE140,"%","%25"),"&amp;","%26"),"#","%23"),"+","%2B"),"=","%3D"),"?","%3F"),CHAR(34),"%22"),CHAR(10),"%0A"),CHAR(13),"")," ","+")</f>
        <v/>
      </c>
      <c r="AG140" s="32">
        <f>IF(OR(AD140="",AE140=""),"",'Start Here'!$B$20&amp;"#p="&amp;SUBSTITUTE(AD140,"+","%2B")&amp;"&amp;n="&amp;AF140&amp;"&amp;m="&amp;SUBSTITUTE('Start Here'!$B$24,"{name}",AF140))</f>
        <v/>
      </c>
      <c r="AH140" s="32">
        <f>N(AH139)+W140</f>
        <v/>
      </c>
      <c r="AI140" s="32">
        <f>IF(W140=1,AH140,"")</f>
        <v/>
      </c>
    </row>
    <row r="141">
      <c r="A141" s="32">
        <f>IF(INDEX('Form Responses'!$A:$A,ROW())="","",INDEX('Form Responses'!$A:$A,ROW()))</f>
        <v/>
      </c>
      <c r="B141" s="32">
        <f>TRIM(INDEX('Form Responses'!$B:$B,ROW())&amp;"")</f>
        <v/>
      </c>
      <c r="C141" s="32">
        <f>IF(B141="","",TRIM(INDEX('Form Responses'!$C:$C,ROW())&amp;""))</f>
        <v/>
      </c>
      <c r="D141" s="32">
        <f>SUBSTITUTE(SUBSTITUTE(SUBSTITUTE(SUBSTITUTE(SUBSTITUTE(SUBSTITUTE(SUBSTITUTE(SUBSTITUTE(C141," ",""),"-",""),"(",""),")",""),".",""),"+",""),"/",""),CHAR(160),"")</f>
        <v/>
      </c>
      <c r="E141" s="32">
        <f>IF(LEN(D141)&gt;=10,RIGHT(D141,10),D141)</f>
        <v/>
      </c>
      <c r="F141" s="32">
        <f>IF(B141="","",TRIM(INDEX('Form Responses'!$D:$D,ROW())&amp;""))</f>
        <v/>
      </c>
      <c r="G141" s="32">
        <f>IF(B141="","",IF(LEFT(TRIM(INDEX('Form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1" s="32">
        <f>IF(B141="","",MAX(0,IFERROR(INT(--(INDEX('Form Responses'!$F:$F,ROW())&amp;"")),1)))</f>
        <v/>
      </c>
      <c r="I141" s="32">
        <f>IF(B141="","",MAX(0,IFERROR(INT(--(INDEX('Form Responses'!$G:$G,ROW())&amp;"")),0)))</f>
        <v/>
      </c>
      <c r="J141" s="32">
        <f>IF(B141="","",TRIM(INDEX('Form Responses'!$H:$H,ROW())&amp;""))</f>
        <v/>
      </c>
      <c r="K141" s="32">
        <f>IF(B141="","",TRIM(INDEX('Form Responses'!$I:$I,ROW())&amp;""))</f>
        <v/>
      </c>
      <c r="L141" s="32">
        <f>IF(B141="","",TRIM(INDEX('Form Responses'!$J:$J,ROW())&amp;""))</f>
        <v/>
      </c>
      <c r="M141" s="32">
        <f>IF(B141="","",TRIM(INDEX('Form Responses'!$K:$K,ROW())&amp;""))</f>
        <v/>
      </c>
      <c r="N141" s="32">
        <f>IF(B141="","",IF(E141&lt;&gt;"","P"&amp;E141,"N"&amp;B141))</f>
        <v/>
      </c>
      <c r="O141" s="32">
        <f>IF(N141="",0,IF(COUNTIF(N142:N$602,N141)=0,1,0))</f>
        <v/>
      </c>
      <c r="P141" s="32">
        <f>IF(AND(O141=1,E141&lt;&gt;""),E141,"")</f>
        <v/>
      </c>
      <c r="Q141" s="32">
        <f>IF(O141=1,B141,"")</f>
        <v/>
      </c>
      <c r="R141" s="32">
        <f>IF(O141&lt;&gt;1,"",IF(E141&lt;&gt;"",IFERROR(MATCH(E141,Guests!$S$6:$S$505,0)+5,IFERROR(MATCH(B141,Guests!$A$6:$A$505,0)+5,"")),IFERROR(MATCH(B141,Guests!$A$6:$A$505,0)+5,"")))</f>
        <v/>
      </c>
      <c r="S141" s="32">
        <f>IF(R141="","",TRIM(INDEX(Guests!$E$1:$E$505,R141)&amp;""))</f>
        <v/>
      </c>
      <c r="T141" s="32">
        <f>IF(R141="","",IF(S141="",1,COUNTIF(Guests!$E$6:$E$505,S141)))</f>
        <v/>
      </c>
      <c r="U141" s="32">
        <f>IF(R141="","",IF(S141="",1,IF(COUNTIF(S$1:S140,S141)=0,1,0)))</f>
        <v/>
      </c>
      <c r="V141" s="32">
        <f>IF(AND(R141&lt;&gt;"",G141="Attending",U141=1),MAX(0,H141+I141-T141),0)</f>
        <v/>
      </c>
      <c r="W141" s="32">
        <f>IF(AND(O141=1,R141=""),1,0)</f>
        <v/>
      </c>
      <c r="X141" s="32">
        <f>IF(B141="",0,H141+I141)</f>
        <v/>
      </c>
      <c r="Y141" s="32">
        <f>N(Y140)+O141</f>
        <v/>
      </c>
      <c r="Z141" s="32">
        <f>IF(O141=1,Y141,"")</f>
        <v/>
      </c>
      <c r="AA141" s="32">
        <f>IF(AND(W141=1,G141="Not sure yet"),1,0)</f>
        <v/>
      </c>
      <c r="AB141" s="32">
        <f>N(AB140)+AA141</f>
        <v/>
      </c>
      <c r="AC141" s="32">
        <f>IF(AA141=1,AB141,"")</f>
        <v/>
      </c>
      <c r="AD141" s="32">
        <f>IF(D141="","",IF(LEN(D141)=10,"+1"&amp;D141,IF(AND(LEN(D141)=11,LEFT(D141,1)="1"),"+"&amp;D141,IF(LEFT(C141,1)="+","+"&amp;D141,D141))))</f>
        <v/>
      </c>
      <c r="AE141" s="32">
        <f>IF(B141="","",PROPER(IFERROR(LEFT(B141,FIND(" ",B141)-1),B141)))</f>
        <v/>
      </c>
      <c r="AF141" s="32">
        <f>SUBSTITUTE(SUBSTITUTE(SUBSTITUTE(SUBSTITUTE(SUBSTITUTE(SUBSTITUTE(SUBSTITUTE(SUBSTITUTE(SUBSTITUTE(SUBSTITUTE(AE141,"%","%25"),"&amp;","%26"),"#","%23"),"+","%2B"),"=","%3D"),"?","%3F"),CHAR(34),"%22"),CHAR(10),"%0A"),CHAR(13),"")," ","+")</f>
        <v/>
      </c>
      <c r="AG141" s="32">
        <f>IF(OR(AD141="",AE141=""),"",'Start Here'!$B$20&amp;"#p="&amp;SUBSTITUTE(AD141,"+","%2B")&amp;"&amp;n="&amp;AF141&amp;"&amp;m="&amp;SUBSTITUTE('Start Here'!$B$24,"{name}",AF141))</f>
        <v/>
      </c>
      <c r="AH141" s="32">
        <f>N(AH140)+W141</f>
        <v/>
      </c>
      <c r="AI141" s="32">
        <f>IF(W141=1,AH141,"")</f>
        <v/>
      </c>
    </row>
    <row r="142">
      <c r="A142" s="32">
        <f>IF(INDEX('Form Responses'!$A:$A,ROW())="","",INDEX('Form Responses'!$A:$A,ROW()))</f>
        <v/>
      </c>
      <c r="B142" s="32">
        <f>TRIM(INDEX('Form Responses'!$B:$B,ROW())&amp;"")</f>
        <v/>
      </c>
      <c r="C142" s="32">
        <f>IF(B142="","",TRIM(INDEX('Form Responses'!$C:$C,ROW())&amp;""))</f>
        <v/>
      </c>
      <c r="D142" s="32">
        <f>SUBSTITUTE(SUBSTITUTE(SUBSTITUTE(SUBSTITUTE(SUBSTITUTE(SUBSTITUTE(SUBSTITUTE(SUBSTITUTE(C142," ",""),"-",""),"(",""),")",""),".",""),"+",""),"/",""),CHAR(160),"")</f>
        <v/>
      </c>
      <c r="E142" s="32">
        <f>IF(LEN(D142)&gt;=10,RIGHT(D142,10),D142)</f>
        <v/>
      </c>
      <c r="F142" s="32">
        <f>IF(B142="","",TRIM(INDEX('Form Responses'!$D:$D,ROW())&amp;""))</f>
        <v/>
      </c>
      <c r="G142" s="32">
        <f>IF(B142="","",IF(LEFT(TRIM(INDEX('Form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2" s="32">
        <f>IF(B142="","",MAX(0,IFERROR(INT(--(INDEX('Form Responses'!$F:$F,ROW())&amp;"")),1)))</f>
        <v/>
      </c>
      <c r="I142" s="32">
        <f>IF(B142="","",MAX(0,IFERROR(INT(--(INDEX('Form Responses'!$G:$G,ROW())&amp;"")),0)))</f>
        <v/>
      </c>
      <c r="J142" s="32">
        <f>IF(B142="","",TRIM(INDEX('Form Responses'!$H:$H,ROW())&amp;""))</f>
        <v/>
      </c>
      <c r="K142" s="32">
        <f>IF(B142="","",TRIM(INDEX('Form Responses'!$I:$I,ROW())&amp;""))</f>
        <v/>
      </c>
      <c r="L142" s="32">
        <f>IF(B142="","",TRIM(INDEX('Form Responses'!$J:$J,ROW())&amp;""))</f>
        <v/>
      </c>
      <c r="M142" s="32">
        <f>IF(B142="","",TRIM(INDEX('Form Responses'!$K:$K,ROW())&amp;""))</f>
        <v/>
      </c>
      <c r="N142" s="32">
        <f>IF(B142="","",IF(E142&lt;&gt;"","P"&amp;E142,"N"&amp;B142))</f>
        <v/>
      </c>
      <c r="O142" s="32">
        <f>IF(N142="",0,IF(COUNTIF(N143:N$602,N142)=0,1,0))</f>
        <v/>
      </c>
      <c r="P142" s="32">
        <f>IF(AND(O142=1,E142&lt;&gt;""),E142,"")</f>
        <v/>
      </c>
      <c r="Q142" s="32">
        <f>IF(O142=1,B142,"")</f>
        <v/>
      </c>
      <c r="R142" s="32">
        <f>IF(O142&lt;&gt;1,"",IF(E142&lt;&gt;"",IFERROR(MATCH(E142,Guests!$S$6:$S$505,0)+5,IFERROR(MATCH(B142,Guests!$A$6:$A$505,0)+5,"")),IFERROR(MATCH(B142,Guests!$A$6:$A$505,0)+5,"")))</f>
        <v/>
      </c>
      <c r="S142" s="32">
        <f>IF(R142="","",TRIM(INDEX(Guests!$E$1:$E$505,R142)&amp;""))</f>
        <v/>
      </c>
      <c r="T142" s="32">
        <f>IF(R142="","",IF(S142="",1,COUNTIF(Guests!$E$6:$E$505,S142)))</f>
        <v/>
      </c>
      <c r="U142" s="32">
        <f>IF(R142="","",IF(S142="",1,IF(COUNTIF(S$1:S141,S142)=0,1,0)))</f>
        <v/>
      </c>
      <c r="V142" s="32">
        <f>IF(AND(R142&lt;&gt;"",G142="Attending",U142=1),MAX(0,H142+I142-T142),0)</f>
        <v/>
      </c>
      <c r="W142" s="32">
        <f>IF(AND(O142=1,R142=""),1,0)</f>
        <v/>
      </c>
      <c r="X142" s="32">
        <f>IF(B142="",0,H142+I142)</f>
        <v/>
      </c>
      <c r="Y142" s="32">
        <f>N(Y141)+O142</f>
        <v/>
      </c>
      <c r="Z142" s="32">
        <f>IF(O142=1,Y142,"")</f>
        <v/>
      </c>
      <c r="AA142" s="32">
        <f>IF(AND(W142=1,G142="Not sure yet"),1,0)</f>
        <v/>
      </c>
      <c r="AB142" s="32">
        <f>N(AB141)+AA142</f>
        <v/>
      </c>
      <c r="AC142" s="32">
        <f>IF(AA142=1,AB142,"")</f>
        <v/>
      </c>
      <c r="AD142" s="32">
        <f>IF(D142="","",IF(LEN(D142)=10,"+1"&amp;D142,IF(AND(LEN(D142)=11,LEFT(D142,1)="1"),"+"&amp;D142,IF(LEFT(C142,1)="+","+"&amp;D142,D142))))</f>
        <v/>
      </c>
      <c r="AE142" s="32">
        <f>IF(B142="","",PROPER(IFERROR(LEFT(B142,FIND(" ",B142)-1),B142)))</f>
        <v/>
      </c>
      <c r="AF142" s="32">
        <f>SUBSTITUTE(SUBSTITUTE(SUBSTITUTE(SUBSTITUTE(SUBSTITUTE(SUBSTITUTE(SUBSTITUTE(SUBSTITUTE(SUBSTITUTE(SUBSTITUTE(AE142,"%","%25"),"&amp;","%26"),"#","%23"),"+","%2B"),"=","%3D"),"?","%3F"),CHAR(34),"%22"),CHAR(10),"%0A"),CHAR(13),"")," ","+")</f>
        <v/>
      </c>
      <c r="AG142" s="32">
        <f>IF(OR(AD142="",AE142=""),"",'Start Here'!$B$20&amp;"#p="&amp;SUBSTITUTE(AD142,"+","%2B")&amp;"&amp;n="&amp;AF142&amp;"&amp;m="&amp;SUBSTITUTE('Start Here'!$B$24,"{name}",AF142))</f>
        <v/>
      </c>
      <c r="AH142" s="32">
        <f>N(AH141)+W142</f>
        <v/>
      </c>
      <c r="AI142" s="32">
        <f>IF(W142=1,AH142,"")</f>
        <v/>
      </c>
    </row>
    <row r="143">
      <c r="A143" s="32">
        <f>IF(INDEX('Form Responses'!$A:$A,ROW())="","",INDEX('Form Responses'!$A:$A,ROW()))</f>
        <v/>
      </c>
      <c r="B143" s="32">
        <f>TRIM(INDEX('Form Responses'!$B:$B,ROW())&amp;"")</f>
        <v/>
      </c>
      <c r="C143" s="32">
        <f>IF(B143="","",TRIM(INDEX('Form Responses'!$C:$C,ROW())&amp;""))</f>
        <v/>
      </c>
      <c r="D143" s="32">
        <f>SUBSTITUTE(SUBSTITUTE(SUBSTITUTE(SUBSTITUTE(SUBSTITUTE(SUBSTITUTE(SUBSTITUTE(SUBSTITUTE(C143," ",""),"-",""),"(",""),")",""),".",""),"+",""),"/",""),CHAR(160),"")</f>
        <v/>
      </c>
      <c r="E143" s="32">
        <f>IF(LEN(D143)&gt;=10,RIGHT(D143,10),D143)</f>
        <v/>
      </c>
      <c r="F143" s="32">
        <f>IF(B143="","",TRIM(INDEX('Form Responses'!$D:$D,ROW())&amp;""))</f>
        <v/>
      </c>
      <c r="G143" s="32">
        <f>IF(B143="","",IF(LEFT(TRIM(INDEX('Form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3" s="32">
        <f>IF(B143="","",MAX(0,IFERROR(INT(--(INDEX('Form Responses'!$F:$F,ROW())&amp;"")),1)))</f>
        <v/>
      </c>
      <c r="I143" s="32">
        <f>IF(B143="","",MAX(0,IFERROR(INT(--(INDEX('Form Responses'!$G:$G,ROW())&amp;"")),0)))</f>
        <v/>
      </c>
      <c r="J143" s="32">
        <f>IF(B143="","",TRIM(INDEX('Form Responses'!$H:$H,ROW())&amp;""))</f>
        <v/>
      </c>
      <c r="K143" s="32">
        <f>IF(B143="","",TRIM(INDEX('Form Responses'!$I:$I,ROW())&amp;""))</f>
        <v/>
      </c>
      <c r="L143" s="32">
        <f>IF(B143="","",TRIM(INDEX('Form Responses'!$J:$J,ROW())&amp;""))</f>
        <v/>
      </c>
      <c r="M143" s="32">
        <f>IF(B143="","",TRIM(INDEX('Form Responses'!$K:$K,ROW())&amp;""))</f>
        <v/>
      </c>
      <c r="N143" s="32">
        <f>IF(B143="","",IF(E143&lt;&gt;"","P"&amp;E143,"N"&amp;B143))</f>
        <v/>
      </c>
      <c r="O143" s="32">
        <f>IF(N143="",0,IF(COUNTIF(N144:N$602,N143)=0,1,0))</f>
        <v/>
      </c>
      <c r="P143" s="32">
        <f>IF(AND(O143=1,E143&lt;&gt;""),E143,"")</f>
        <v/>
      </c>
      <c r="Q143" s="32">
        <f>IF(O143=1,B143,"")</f>
        <v/>
      </c>
      <c r="R143" s="32">
        <f>IF(O143&lt;&gt;1,"",IF(E143&lt;&gt;"",IFERROR(MATCH(E143,Guests!$S$6:$S$505,0)+5,IFERROR(MATCH(B143,Guests!$A$6:$A$505,0)+5,"")),IFERROR(MATCH(B143,Guests!$A$6:$A$505,0)+5,"")))</f>
        <v/>
      </c>
      <c r="S143" s="32">
        <f>IF(R143="","",TRIM(INDEX(Guests!$E$1:$E$505,R143)&amp;""))</f>
        <v/>
      </c>
      <c r="T143" s="32">
        <f>IF(R143="","",IF(S143="",1,COUNTIF(Guests!$E$6:$E$505,S143)))</f>
        <v/>
      </c>
      <c r="U143" s="32">
        <f>IF(R143="","",IF(S143="",1,IF(COUNTIF(S$1:S142,S143)=0,1,0)))</f>
        <v/>
      </c>
      <c r="V143" s="32">
        <f>IF(AND(R143&lt;&gt;"",G143="Attending",U143=1),MAX(0,H143+I143-T143),0)</f>
        <v/>
      </c>
      <c r="W143" s="32">
        <f>IF(AND(O143=1,R143=""),1,0)</f>
        <v/>
      </c>
      <c r="X143" s="32">
        <f>IF(B143="",0,H143+I143)</f>
        <v/>
      </c>
      <c r="Y143" s="32">
        <f>N(Y142)+O143</f>
        <v/>
      </c>
      <c r="Z143" s="32">
        <f>IF(O143=1,Y143,"")</f>
        <v/>
      </c>
      <c r="AA143" s="32">
        <f>IF(AND(W143=1,G143="Not sure yet"),1,0)</f>
        <v/>
      </c>
      <c r="AB143" s="32">
        <f>N(AB142)+AA143</f>
        <v/>
      </c>
      <c r="AC143" s="32">
        <f>IF(AA143=1,AB143,"")</f>
        <v/>
      </c>
      <c r="AD143" s="32">
        <f>IF(D143="","",IF(LEN(D143)=10,"+1"&amp;D143,IF(AND(LEN(D143)=11,LEFT(D143,1)="1"),"+"&amp;D143,IF(LEFT(C143,1)="+","+"&amp;D143,D143))))</f>
        <v/>
      </c>
      <c r="AE143" s="32">
        <f>IF(B143="","",PROPER(IFERROR(LEFT(B143,FIND(" ",B143)-1),B143)))</f>
        <v/>
      </c>
      <c r="AF143" s="32">
        <f>SUBSTITUTE(SUBSTITUTE(SUBSTITUTE(SUBSTITUTE(SUBSTITUTE(SUBSTITUTE(SUBSTITUTE(SUBSTITUTE(SUBSTITUTE(SUBSTITUTE(AE143,"%","%25"),"&amp;","%26"),"#","%23"),"+","%2B"),"=","%3D"),"?","%3F"),CHAR(34),"%22"),CHAR(10),"%0A"),CHAR(13),"")," ","+")</f>
        <v/>
      </c>
      <c r="AG143" s="32">
        <f>IF(OR(AD143="",AE143=""),"",'Start Here'!$B$20&amp;"#p="&amp;SUBSTITUTE(AD143,"+","%2B")&amp;"&amp;n="&amp;AF143&amp;"&amp;m="&amp;SUBSTITUTE('Start Here'!$B$24,"{name}",AF143))</f>
        <v/>
      </c>
      <c r="AH143" s="32">
        <f>N(AH142)+W143</f>
        <v/>
      </c>
      <c r="AI143" s="32">
        <f>IF(W143=1,AH143,"")</f>
        <v/>
      </c>
    </row>
    <row r="144">
      <c r="A144" s="32">
        <f>IF(INDEX('Form Responses'!$A:$A,ROW())="","",INDEX('Form Responses'!$A:$A,ROW()))</f>
        <v/>
      </c>
      <c r="B144" s="32">
        <f>TRIM(INDEX('Form Responses'!$B:$B,ROW())&amp;"")</f>
        <v/>
      </c>
      <c r="C144" s="32">
        <f>IF(B144="","",TRIM(INDEX('Form Responses'!$C:$C,ROW())&amp;""))</f>
        <v/>
      </c>
      <c r="D144" s="32">
        <f>SUBSTITUTE(SUBSTITUTE(SUBSTITUTE(SUBSTITUTE(SUBSTITUTE(SUBSTITUTE(SUBSTITUTE(SUBSTITUTE(C144," ",""),"-",""),"(",""),")",""),".",""),"+",""),"/",""),CHAR(160),"")</f>
        <v/>
      </c>
      <c r="E144" s="32">
        <f>IF(LEN(D144)&gt;=10,RIGHT(D144,10),D144)</f>
        <v/>
      </c>
      <c r="F144" s="32">
        <f>IF(B144="","",TRIM(INDEX('Form Responses'!$D:$D,ROW())&amp;""))</f>
        <v/>
      </c>
      <c r="G144" s="32">
        <f>IF(B144="","",IF(LEFT(TRIM(INDEX('Form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4" s="32">
        <f>IF(B144="","",MAX(0,IFERROR(INT(--(INDEX('Form Responses'!$F:$F,ROW())&amp;"")),1)))</f>
        <v/>
      </c>
      <c r="I144" s="32">
        <f>IF(B144="","",MAX(0,IFERROR(INT(--(INDEX('Form Responses'!$G:$G,ROW())&amp;"")),0)))</f>
        <v/>
      </c>
      <c r="J144" s="32">
        <f>IF(B144="","",TRIM(INDEX('Form Responses'!$H:$H,ROW())&amp;""))</f>
        <v/>
      </c>
      <c r="K144" s="32">
        <f>IF(B144="","",TRIM(INDEX('Form Responses'!$I:$I,ROW())&amp;""))</f>
        <v/>
      </c>
      <c r="L144" s="32">
        <f>IF(B144="","",TRIM(INDEX('Form Responses'!$J:$J,ROW())&amp;""))</f>
        <v/>
      </c>
      <c r="M144" s="32">
        <f>IF(B144="","",TRIM(INDEX('Form Responses'!$K:$K,ROW())&amp;""))</f>
        <v/>
      </c>
      <c r="N144" s="32">
        <f>IF(B144="","",IF(E144&lt;&gt;"","P"&amp;E144,"N"&amp;B144))</f>
        <v/>
      </c>
      <c r="O144" s="32">
        <f>IF(N144="",0,IF(COUNTIF(N145:N$602,N144)=0,1,0))</f>
        <v/>
      </c>
      <c r="P144" s="32">
        <f>IF(AND(O144=1,E144&lt;&gt;""),E144,"")</f>
        <v/>
      </c>
      <c r="Q144" s="32">
        <f>IF(O144=1,B144,"")</f>
        <v/>
      </c>
      <c r="R144" s="32">
        <f>IF(O144&lt;&gt;1,"",IF(E144&lt;&gt;"",IFERROR(MATCH(E144,Guests!$S$6:$S$505,0)+5,IFERROR(MATCH(B144,Guests!$A$6:$A$505,0)+5,"")),IFERROR(MATCH(B144,Guests!$A$6:$A$505,0)+5,"")))</f>
        <v/>
      </c>
      <c r="S144" s="32">
        <f>IF(R144="","",TRIM(INDEX(Guests!$E$1:$E$505,R144)&amp;""))</f>
        <v/>
      </c>
      <c r="T144" s="32">
        <f>IF(R144="","",IF(S144="",1,COUNTIF(Guests!$E$6:$E$505,S144)))</f>
        <v/>
      </c>
      <c r="U144" s="32">
        <f>IF(R144="","",IF(S144="",1,IF(COUNTIF(S$1:S143,S144)=0,1,0)))</f>
        <v/>
      </c>
      <c r="V144" s="32">
        <f>IF(AND(R144&lt;&gt;"",G144="Attending",U144=1),MAX(0,H144+I144-T144),0)</f>
        <v/>
      </c>
      <c r="W144" s="32">
        <f>IF(AND(O144=1,R144=""),1,0)</f>
        <v/>
      </c>
      <c r="X144" s="32">
        <f>IF(B144="",0,H144+I144)</f>
        <v/>
      </c>
      <c r="Y144" s="32">
        <f>N(Y143)+O144</f>
        <v/>
      </c>
      <c r="Z144" s="32">
        <f>IF(O144=1,Y144,"")</f>
        <v/>
      </c>
      <c r="AA144" s="32">
        <f>IF(AND(W144=1,G144="Not sure yet"),1,0)</f>
        <v/>
      </c>
      <c r="AB144" s="32">
        <f>N(AB143)+AA144</f>
        <v/>
      </c>
      <c r="AC144" s="32">
        <f>IF(AA144=1,AB144,"")</f>
        <v/>
      </c>
      <c r="AD144" s="32">
        <f>IF(D144="","",IF(LEN(D144)=10,"+1"&amp;D144,IF(AND(LEN(D144)=11,LEFT(D144,1)="1"),"+"&amp;D144,IF(LEFT(C144,1)="+","+"&amp;D144,D144))))</f>
        <v/>
      </c>
      <c r="AE144" s="32">
        <f>IF(B144="","",PROPER(IFERROR(LEFT(B144,FIND(" ",B144)-1),B144)))</f>
        <v/>
      </c>
      <c r="AF144" s="32">
        <f>SUBSTITUTE(SUBSTITUTE(SUBSTITUTE(SUBSTITUTE(SUBSTITUTE(SUBSTITUTE(SUBSTITUTE(SUBSTITUTE(SUBSTITUTE(SUBSTITUTE(AE144,"%","%25"),"&amp;","%26"),"#","%23"),"+","%2B"),"=","%3D"),"?","%3F"),CHAR(34),"%22"),CHAR(10),"%0A"),CHAR(13),"")," ","+")</f>
        <v/>
      </c>
      <c r="AG144" s="32">
        <f>IF(OR(AD144="",AE144=""),"",'Start Here'!$B$20&amp;"#p="&amp;SUBSTITUTE(AD144,"+","%2B")&amp;"&amp;n="&amp;AF144&amp;"&amp;m="&amp;SUBSTITUTE('Start Here'!$B$24,"{name}",AF144))</f>
        <v/>
      </c>
      <c r="AH144" s="32">
        <f>N(AH143)+W144</f>
        <v/>
      </c>
      <c r="AI144" s="32">
        <f>IF(W144=1,AH144,"")</f>
        <v/>
      </c>
    </row>
    <row r="145">
      <c r="A145" s="32">
        <f>IF(INDEX('Form Responses'!$A:$A,ROW())="","",INDEX('Form Responses'!$A:$A,ROW()))</f>
        <v/>
      </c>
      <c r="B145" s="32">
        <f>TRIM(INDEX('Form Responses'!$B:$B,ROW())&amp;"")</f>
        <v/>
      </c>
      <c r="C145" s="32">
        <f>IF(B145="","",TRIM(INDEX('Form Responses'!$C:$C,ROW())&amp;""))</f>
        <v/>
      </c>
      <c r="D145" s="32">
        <f>SUBSTITUTE(SUBSTITUTE(SUBSTITUTE(SUBSTITUTE(SUBSTITUTE(SUBSTITUTE(SUBSTITUTE(SUBSTITUTE(C145," ",""),"-",""),"(",""),")",""),".",""),"+",""),"/",""),CHAR(160),"")</f>
        <v/>
      </c>
      <c r="E145" s="32">
        <f>IF(LEN(D145)&gt;=10,RIGHT(D145,10),D145)</f>
        <v/>
      </c>
      <c r="F145" s="32">
        <f>IF(B145="","",TRIM(INDEX('Form Responses'!$D:$D,ROW())&amp;""))</f>
        <v/>
      </c>
      <c r="G145" s="32">
        <f>IF(B145="","",IF(LEFT(TRIM(INDEX('Form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5" s="32">
        <f>IF(B145="","",MAX(0,IFERROR(INT(--(INDEX('Form Responses'!$F:$F,ROW())&amp;"")),1)))</f>
        <v/>
      </c>
      <c r="I145" s="32">
        <f>IF(B145="","",MAX(0,IFERROR(INT(--(INDEX('Form Responses'!$G:$G,ROW())&amp;"")),0)))</f>
        <v/>
      </c>
      <c r="J145" s="32">
        <f>IF(B145="","",TRIM(INDEX('Form Responses'!$H:$H,ROW())&amp;""))</f>
        <v/>
      </c>
      <c r="K145" s="32">
        <f>IF(B145="","",TRIM(INDEX('Form Responses'!$I:$I,ROW())&amp;""))</f>
        <v/>
      </c>
      <c r="L145" s="32">
        <f>IF(B145="","",TRIM(INDEX('Form Responses'!$J:$J,ROW())&amp;""))</f>
        <v/>
      </c>
      <c r="M145" s="32">
        <f>IF(B145="","",TRIM(INDEX('Form Responses'!$K:$K,ROW())&amp;""))</f>
        <v/>
      </c>
      <c r="N145" s="32">
        <f>IF(B145="","",IF(E145&lt;&gt;"","P"&amp;E145,"N"&amp;B145))</f>
        <v/>
      </c>
      <c r="O145" s="32">
        <f>IF(N145="",0,IF(COUNTIF(N146:N$602,N145)=0,1,0))</f>
        <v/>
      </c>
      <c r="P145" s="32">
        <f>IF(AND(O145=1,E145&lt;&gt;""),E145,"")</f>
        <v/>
      </c>
      <c r="Q145" s="32">
        <f>IF(O145=1,B145,"")</f>
        <v/>
      </c>
      <c r="R145" s="32">
        <f>IF(O145&lt;&gt;1,"",IF(E145&lt;&gt;"",IFERROR(MATCH(E145,Guests!$S$6:$S$505,0)+5,IFERROR(MATCH(B145,Guests!$A$6:$A$505,0)+5,"")),IFERROR(MATCH(B145,Guests!$A$6:$A$505,0)+5,"")))</f>
        <v/>
      </c>
      <c r="S145" s="32">
        <f>IF(R145="","",TRIM(INDEX(Guests!$E$1:$E$505,R145)&amp;""))</f>
        <v/>
      </c>
      <c r="T145" s="32">
        <f>IF(R145="","",IF(S145="",1,COUNTIF(Guests!$E$6:$E$505,S145)))</f>
        <v/>
      </c>
      <c r="U145" s="32">
        <f>IF(R145="","",IF(S145="",1,IF(COUNTIF(S$1:S144,S145)=0,1,0)))</f>
        <v/>
      </c>
      <c r="V145" s="32">
        <f>IF(AND(R145&lt;&gt;"",G145="Attending",U145=1),MAX(0,H145+I145-T145),0)</f>
        <v/>
      </c>
      <c r="W145" s="32">
        <f>IF(AND(O145=1,R145=""),1,0)</f>
        <v/>
      </c>
      <c r="X145" s="32">
        <f>IF(B145="",0,H145+I145)</f>
        <v/>
      </c>
      <c r="Y145" s="32">
        <f>N(Y144)+O145</f>
        <v/>
      </c>
      <c r="Z145" s="32">
        <f>IF(O145=1,Y145,"")</f>
        <v/>
      </c>
      <c r="AA145" s="32">
        <f>IF(AND(W145=1,G145="Not sure yet"),1,0)</f>
        <v/>
      </c>
      <c r="AB145" s="32">
        <f>N(AB144)+AA145</f>
        <v/>
      </c>
      <c r="AC145" s="32">
        <f>IF(AA145=1,AB145,"")</f>
        <v/>
      </c>
      <c r="AD145" s="32">
        <f>IF(D145="","",IF(LEN(D145)=10,"+1"&amp;D145,IF(AND(LEN(D145)=11,LEFT(D145,1)="1"),"+"&amp;D145,IF(LEFT(C145,1)="+","+"&amp;D145,D145))))</f>
        <v/>
      </c>
      <c r="AE145" s="32">
        <f>IF(B145="","",PROPER(IFERROR(LEFT(B145,FIND(" ",B145)-1),B145)))</f>
        <v/>
      </c>
      <c r="AF145" s="32">
        <f>SUBSTITUTE(SUBSTITUTE(SUBSTITUTE(SUBSTITUTE(SUBSTITUTE(SUBSTITUTE(SUBSTITUTE(SUBSTITUTE(SUBSTITUTE(SUBSTITUTE(AE145,"%","%25"),"&amp;","%26"),"#","%23"),"+","%2B"),"=","%3D"),"?","%3F"),CHAR(34),"%22"),CHAR(10),"%0A"),CHAR(13),"")," ","+")</f>
        <v/>
      </c>
      <c r="AG145" s="32">
        <f>IF(OR(AD145="",AE145=""),"",'Start Here'!$B$20&amp;"#p="&amp;SUBSTITUTE(AD145,"+","%2B")&amp;"&amp;n="&amp;AF145&amp;"&amp;m="&amp;SUBSTITUTE('Start Here'!$B$24,"{name}",AF145))</f>
        <v/>
      </c>
      <c r="AH145" s="32">
        <f>N(AH144)+W145</f>
        <v/>
      </c>
      <c r="AI145" s="32">
        <f>IF(W145=1,AH145,"")</f>
        <v/>
      </c>
    </row>
    <row r="146">
      <c r="A146" s="32">
        <f>IF(INDEX('Form Responses'!$A:$A,ROW())="","",INDEX('Form Responses'!$A:$A,ROW()))</f>
        <v/>
      </c>
      <c r="B146" s="32">
        <f>TRIM(INDEX('Form Responses'!$B:$B,ROW())&amp;"")</f>
        <v/>
      </c>
      <c r="C146" s="32">
        <f>IF(B146="","",TRIM(INDEX('Form Responses'!$C:$C,ROW())&amp;""))</f>
        <v/>
      </c>
      <c r="D146" s="32">
        <f>SUBSTITUTE(SUBSTITUTE(SUBSTITUTE(SUBSTITUTE(SUBSTITUTE(SUBSTITUTE(SUBSTITUTE(SUBSTITUTE(C146," ",""),"-",""),"(",""),")",""),".",""),"+",""),"/",""),CHAR(160),"")</f>
        <v/>
      </c>
      <c r="E146" s="32">
        <f>IF(LEN(D146)&gt;=10,RIGHT(D146,10),D146)</f>
        <v/>
      </c>
      <c r="F146" s="32">
        <f>IF(B146="","",TRIM(INDEX('Form Responses'!$D:$D,ROW())&amp;""))</f>
        <v/>
      </c>
      <c r="G146" s="32">
        <f>IF(B146="","",IF(LEFT(TRIM(INDEX('Form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6" s="32">
        <f>IF(B146="","",MAX(0,IFERROR(INT(--(INDEX('Form Responses'!$F:$F,ROW())&amp;"")),1)))</f>
        <v/>
      </c>
      <c r="I146" s="32">
        <f>IF(B146="","",MAX(0,IFERROR(INT(--(INDEX('Form Responses'!$G:$G,ROW())&amp;"")),0)))</f>
        <v/>
      </c>
      <c r="J146" s="32">
        <f>IF(B146="","",TRIM(INDEX('Form Responses'!$H:$H,ROW())&amp;""))</f>
        <v/>
      </c>
      <c r="K146" s="32">
        <f>IF(B146="","",TRIM(INDEX('Form Responses'!$I:$I,ROW())&amp;""))</f>
        <v/>
      </c>
      <c r="L146" s="32">
        <f>IF(B146="","",TRIM(INDEX('Form Responses'!$J:$J,ROW())&amp;""))</f>
        <v/>
      </c>
      <c r="M146" s="32">
        <f>IF(B146="","",TRIM(INDEX('Form Responses'!$K:$K,ROW())&amp;""))</f>
        <v/>
      </c>
      <c r="N146" s="32">
        <f>IF(B146="","",IF(E146&lt;&gt;"","P"&amp;E146,"N"&amp;B146))</f>
        <v/>
      </c>
      <c r="O146" s="32">
        <f>IF(N146="",0,IF(COUNTIF(N147:N$602,N146)=0,1,0))</f>
        <v/>
      </c>
      <c r="P146" s="32">
        <f>IF(AND(O146=1,E146&lt;&gt;""),E146,"")</f>
        <v/>
      </c>
      <c r="Q146" s="32">
        <f>IF(O146=1,B146,"")</f>
        <v/>
      </c>
      <c r="R146" s="32">
        <f>IF(O146&lt;&gt;1,"",IF(E146&lt;&gt;"",IFERROR(MATCH(E146,Guests!$S$6:$S$505,0)+5,IFERROR(MATCH(B146,Guests!$A$6:$A$505,0)+5,"")),IFERROR(MATCH(B146,Guests!$A$6:$A$505,0)+5,"")))</f>
        <v/>
      </c>
      <c r="S146" s="32">
        <f>IF(R146="","",TRIM(INDEX(Guests!$E$1:$E$505,R146)&amp;""))</f>
        <v/>
      </c>
      <c r="T146" s="32">
        <f>IF(R146="","",IF(S146="",1,COUNTIF(Guests!$E$6:$E$505,S146)))</f>
        <v/>
      </c>
      <c r="U146" s="32">
        <f>IF(R146="","",IF(S146="",1,IF(COUNTIF(S$1:S145,S146)=0,1,0)))</f>
        <v/>
      </c>
      <c r="V146" s="32">
        <f>IF(AND(R146&lt;&gt;"",G146="Attending",U146=1),MAX(0,H146+I146-T146),0)</f>
        <v/>
      </c>
      <c r="W146" s="32">
        <f>IF(AND(O146=1,R146=""),1,0)</f>
        <v/>
      </c>
      <c r="X146" s="32">
        <f>IF(B146="",0,H146+I146)</f>
        <v/>
      </c>
      <c r="Y146" s="32">
        <f>N(Y145)+O146</f>
        <v/>
      </c>
      <c r="Z146" s="32">
        <f>IF(O146=1,Y146,"")</f>
        <v/>
      </c>
      <c r="AA146" s="32">
        <f>IF(AND(W146=1,G146="Not sure yet"),1,0)</f>
        <v/>
      </c>
      <c r="AB146" s="32">
        <f>N(AB145)+AA146</f>
        <v/>
      </c>
      <c r="AC146" s="32">
        <f>IF(AA146=1,AB146,"")</f>
        <v/>
      </c>
      <c r="AD146" s="32">
        <f>IF(D146="","",IF(LEN(D146)=10,"+1"&amp;D146,IF(AND(LEN(D146)=11,LEFT(D146,1)="1"),"+"&amp;D146,IF(LEFT(C146,1)="+","+"&amp;D146,D146))))</f>
        <v/>
      </c>
      <c r="AE146" s="32">
        <f>IF(B146="","",PROPER(IFERROR(LEFT(B146,FIND(" ",B146)-1),B146)))</f>
        <v/>
      </c>
      <c r="AF146" s="32">
        <f>SUBSTITUTE(SUBSTITUTE(SUBSTITUTE(SUBSTITUTE(SUBSTITUTE(SUBSTITUTE(SUBSTITUTE(SUBSTITUTE(SUBSTITUTE(SUBSTITUTE(AE146,"%","%25"),"&amp;","%26"),"#","%23"),"+","%2B"),"=","%3D"),"?","%3F"),CHAR(34),"%22"),CHAR(10),"%0A"),CHAR(13),"")," ","+")</f>
        <v/>
      </c>
      <c r="AG146" s="32">
        <f>IF(OR(AD146="",AE146=""),"",'Start Here'!$B$20&amp;"#p="&amp;SUBSTITUTE(AD146,"+","%2B")&amp;"&amp;n="&amp;AF146&amp;"&amp;m="&amp;SUBSTITUTE('Start Here'!$B$24,"{name}",AF146))</f>
        <v/>
      </c>
      <c r="AH146" s="32">
        <f>N(AH145)+W146</f>
        <v/>
      </c>
      <c r="AI146" s="32">
        <f>IF(W146=1,AH146,"")</f>
        <v/>
      </c>
    </row>
    <row r="147">
      <c r="A147" s="32">
        <f>IF(INDEX('Form Responses'!$A:$A,ROW())="","",INDEX('Form Responses'!$A:$A,ROW()))</f>
        <v/>
      </c>
      <c r="B147" s="32">
        <f>TRIM(INDEX('Form Responses'!$B:$B,ROW())&amp;"")</f>
        <v/>
      </c>
      <c r="C147" s="32">
        <f>IF(B147="","",TRIM(INDEX('Form Responses'!$C:$C,ROW())&amp;""))</f>
        <v/>
      </c>
      <c r="D147" s="32">
        <f>SUBSTITUTE(SUBSTITUTE(SUBSTITUTE(SUBSTITUTE(SUBSTITUTE(SUBSTITUTE(SUBSTITUTE(SUBSTITUTE(C147," ",""),"-",""),"(",""),")",""),".",""),"+",""),"/",""),CHAR(160),"")</f>
        <v/>
      </c>
      <c r="E147" s="32">
        <f>IF(LEN(D147)&gt;=10,RIGHT(D147,10),D147)</f>
        <v/>
      </c>
      <c r="F147" s="32">
        <f>IF(B147="","",TRIM(INDEX('Form Responses'!$D:$D,ROW())&amp;""))</f>
        <v/>
      </c>
      <c r="G147" s="32">
        <f>IF(B147="","",IF(LEFT(TRIM(INDEX('Form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7" s="32">
        <f>IF(B147="","",MAX(0,IFERROR(INT(--(INDEX('Form Responses'!$F:$F,ROW())&amp;"")),1)))</f>
        <v/>
      </c>
      <c r="I147" s="32">
        <f>IF(B147="","",MAX(0,IFERROR(INT(--(INDEX('Form Responses'!$G:$G,ROW())&amp;"")),0)))</f>
        <v/>
      </c>
      <c r="J147" s="32">
        <f>IF(B147="","",TRIM(INDEX('Form Responses'!$H:$H,ROW())&amp;""))</f>
        <v/>
      </c>
      <c r="K147" s="32">
        <f>IF(B147="","",TRIM(INDEX('Form Responses'!$I:$I,ROW())&amp;""))</f>
        <v/>
      </c>
      <c r="L147" s="32">
        <f>IF(B147="","",TRIM(INDEX('Form Responses'!$J:$J,ROW())&amp;""))</f>
        <v/>
      </c>
      <c r="M147" s="32">
        <f>IF(B147="","",TRIM(INDEX('Form Responses'!$K:$K,ROW())&amp;""))</f>
        <v/>
      </c>
      <c r="N147" s="32">
        <f>IF(B147="","",IF(E147&lt;&gt;"","P"&amp;E147,"N"&amp;B147))</f>
        <v/>
      </c>
      <c r="O147" s="32">
        <f>IF(N147="",0,IF(COUNTIF(N148:N$602,N147)=0,1,0))</f>
        <v/>
      </c>
      <c r="P147" s="32">
        <f>IF(AND(O147=1,E147&lt;&gt;""),E147,"")</f>
        <v/>
      </c>
      <c r="Q147" s="32">
        <f>IF(O147=1,B147,"")</f>
        <v/>
      </c>
      <c r="R147" s="32">
        <f>IF(O147&lt;&gt;1,"",IF(E147&lt;&gt;"",IFERROR(MATCH(E147,Guests!$S$6:$S$505,0)+5,IFERROR(MATCH(B147,Guests!$A$6:$A$505,0)+5,"")),IFERROR(MATCH(B147,Guests!$A$6:$A$505,0)+5,"")))</f>
        <v/>
      </c>
      <c r="S147" s="32">
        <f>IF(R147="","",TRIM(INDEX(Guests!$E$1:$E$505,R147)&amp;""))</f>
        <v/>
      </c>
      <c r="T147" s="32">
        <f>IF(R147="","",IF(S147="",1,COUNTIF(Guests!$E$6:$E$505,S147)))</f>
        <v/>
      </c>
      <c r="U147" s="32">
        <f>IF(R147="","",IF(S147="",1,IF(COUNTIF(S$1:S146,S147)=0,1,0)))</f>
        <v/>
      </c>
      <c r="V147" s="32">
        <f>IF(AND(R147&lt;&gt;"",G147="Attending",U147=1),MAX(0,H147+I147-T147),0)</f>
        <v/>
      </c>
      <c r="W147" s="32">
        <f>IF(AND(O147=1,R147=""),1,0)</f>
        <v/>
      </c>
      <c r="X147" s="32">
        <f>IF(B147="",0,H147+I147)</f>
        <v/>
      </c>
      <c r="Y147" s="32">
        <f>N(Y146)+O147</f>
        <v/>
      </c>
      <c r="Z147" s="32">
        <f>IF(O147=1,Y147,"")</f>
        <v/>
      </c>
      <c r="AA147" s="32">
        <f>IF(AND(W147=1,G147="Not sure yet"),1,0)</f>
        <v/>
      </c>
      <c r="AB147" s="32">
        <f>N(AB146)+AA147</f>
        <v/>
      </c>
      <c r="AC147" s="32">
        <f>IF(AA147=1,AB147,"")</f>
        <v/>
      </c>
      <c r="AD147" s="32">
        <f>IF(D147="","",IF(LEN(D147)=10,"+1"&amp;D147,IF(AND(LEN(D147)=11,LEFT(D147,1)="1"),"+"&amp;D147,IF(LEFT(C147,1)="+","+"&amp;D147,D147))))</f>
        <v/>
      </c>
      <c r="AE147" s="32">
        <f>IF(B147="","",PROPER(IFERROR(LEFT(B147,FIND(" ",B147)-1),B147)))</f>
        <v/>
      </c>
      <c r="AF147" s="32">
        <f>SUBSTITUTE(SUBSTITUTE(SUBSTITUTE(SUBSTITUTE(SUBSTITUTE(SUBSTITUTE(SUBSTITUTE(SUBSTITUTE(SUBSTITUTE(SUBSTITUTE(AE147,"%","%25"),"&amp;","%26"),"#","%23"),"+","%2B"),"=","%3D"),"?","%3F"),CHAR(34),"%22"),CHAR(10),"%0A"),CHAR(13),"")," ","+")</f>
        <v/>
      </c>
      <c r="AG147" s="32">
        <f>IF(OR(AD147="",AE147=""),"",'Start Here'!$B$20&amp;"#p="&amp;SUBSTITUTE(AD147,"+","%2B")&amp;"&amp;n="&amp;AF147&amp;"&amp;m="&amp;SUBSTITUTE('Start Here'!$B$24,"{name}",AF147))</f>
        <v/>
      </c>
      <c r="AH147" s="32">
        <f>N(AH146)+W147</f>
        <v/>
      </c>
      <c r="AI147" s="32">
        <f>IF(W147=1,AH147,"")</f>
        <v/>
      </c>
    </row>
    <row r="148">
      <c r="A148" s="32">
        <f>IF(INDEX('Form Responses'!$A:$A,ROW())="","",INDEX('Form Responses'!$A:$A,ROW()))</f>
        <v/>
      </c>
      <c r="B148" s="32">
        <f>TRIM(INDEX('Form Responses'!$B:$B,ROW())&amp;"")</f>
        <v/>
      </c>
      <c r="C148" s="32">
        <f>IF(B148="","",TRIM(INDEX('Form Responses'!$C:$C,ROW())&amp;""))</f>
        <v/>
      </c>
      <c r="D148" s="32">
        <f>SUBSTITUTE(SUBSTITUTE(SUBSTITUTE(SUBSTITUTE(SUBSTITUTE(SUBSTITUTE(SUBSTITUTE(SUBSTITUTE(C148," ",""),"-",""),"(",""),")",""),".",""),"+",""),"/",""),CHAR(160),"")</f>
        <v/>
      </c>
      <c r="E148" s="32">
        <f>IF(LEN(D148)&gt;=10,RIGHT(D148,10),D148)</f>
        <v/>
      </c>
      <c r="F148" s="32">
        <f>IF(B148="","",TRIM(INDEX('Form Responses'!$D:$D,ROW())&amp;""))</f>
        <v/>
      </c>
      <c r="G148" s="32">
        <f>IF(B148="","",IF(LEFT(TRIM(INDEX('Form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8" s="32">
        <f>IF(B148="","",MAX(0,IFERROR(INT(--(INDEX('Form Responses'!$F:$F,ROW())&amp;"")),1)))</f>
        <v/>
      </c>
      <c r="I148" s="32">
        <f>IF(B148="","",MAX(0,IFERROR(INT(--(INDEX('Form Responses'!$G:$G,ROW())&amp;"")),0)))</f>
        <v/>
      </c>
      <c r="J148" s="32">
        <f>IF(B148="","",TRIM(INDEX('Form Responses'!$H:$H,ROW())&amp;""))</f>
        <v/>
      </c>
      <c r="K148" s="32">
        <f>IF(B148="","",TRIM(INDEX('Form Responses'!$I:$I,ROW())&amp;""))</f>
        <v/>
      </c>
      <c r="L148" s="32">
        <f>IF(B148="","",TRIM(INDEX('Form Responses'!$J:$J,ROW())&amp;""))</f>
        <v/>
      </c>
      <c r="M148" s="32">
        <f>IF(B148="","",TRIM(INDEX('Form Responses'!$K:$K,ROW())&amp;""))</f>
        <v/>
      </c>
      <c r="N148" s="32">
        <f>IF(B148="","",IF(E148&lt;&gt;"","P"&amp;E148,"N"&amp;B148))</f>
        <v/>
      </c>
      <c r="O148" s="32">
        <f>IF(N148="",0,IF(COUNTIF(N149:N$602,N148)=0,1,0))</f>
        <v/>
      </c>
      <c r="P148" s="32">
        <f>IF(AND(O148=1,E148&lt;&gt;""),E148,"")</f>
        <v/>
      </c>
      <c r="Q148" s="32">
        <f>IF(O148=1,B148,"")</f>
        <v/>
      </c>
      <c r="R148" s="32">
        <f>IF(O148&lt;&gt;1,"",IF(E148&lt;&gt;"",IFERROR(MATCH(E148,Guests!$S$6:$S$505,0)+5,IFERROR(MATCH(B148,Guests!$A$6:$A$505,0)+5,"")),IFERROR(MATCH(B148,Guests!$A$6:$A$505,0)+5,"")))</f>
        <v/>
      </c>
      <c r="S148" s="32">
        <f>IF(R148="","",TRIM(INDEX(Guests!$E$1:$E$505,R148)&amp;""))</f>
        <v/>
      </c>
      <c r="T148" s="32">
        <f>IF(R148="","",IF(S148="",1,COUNTIF(Guests!$E$6:$E$505,S148)))</f>
        <v/>
      </c>
      <c r="U148" s="32">
        <f>IF(R148="","",IF(S148="",1,IF(COUNTIF(S$1:S147,S148)=0,1,0)))</f>
        <v/>
      </c>
      <c r="V148" s="32">
        <f>IF(AND(R148&lt;&gt;"",G148="Attending",U148=1),MAX(0,H148+I148-T148),0)</f>
        <v/>
      </c>
      <c r="W148" s="32">
        <f>IF(AND(O148=1,R148=""),1,0)</f>
        <v/>
      </c>
      <c r="X148" s="32">
        <f>IF(B148="",0,H148+I148)</f>
        <v/>
      </c>
      <c r="Y148" s="32">
        <f>N(Y147)+O148</f>
        <v/>
      </c>
      <c r="Z148" s="32">
        <f>IF(O148=1,Y148,"")</f>
        <v/>
      </c>
      <c r="AA148" s="32">
        <f>IF(AND(W148=1,G148="Not sure yet"),1,0)</f>
        <v/>
      </c>
      <c r="AB148" s="32">
        <f>N(AB147)+AA148</f>
        <v/>
      </c>
      <c r="AC148" s="32">
        <f>IF(AA148=1,AB148,"")</f>
        <v/>
      </c>
      <c r="AD148" s="32">
        <f>IF(D148="","",IF(LEN(D148)=10,"+1"&amp;D148,IF(AND(LEN(D148)=11,LEFT(D148,1)="1"),"+"&amp;D148,IF(LEFT(C148,1)="+","+"&amp;D148,D148))))</f>
        <v/>
      </c>
      <c r="AE148" s="32">
        <f>IF(B148="","",PROPER(IFERROR(LEFT(B148,FIND(" ",B148)-1),B148)))</f>
        <v/>
      </c>
      <c r="AF148" s="32">
        <f>SUBSTITUTE(SUBSTITUTE(SUBSTITUTE(SUBSTITUTE(SUBSTITUTE(SUBSTITUTE(SUBSTITUTE(SUBSTITUTE(SUBSTITUTE(SUBSTITUTE(AE148,"%","%25"),"&amp;","%26"),"#","%23"),"+","%2B"),"=","%3D"),"?","%3F"),CHAR(34),"%22"),CHAR(10),"%0A"),CHAR(13),"")," ","+")</f>
        <v/>
      </c>
      <c r="AG148" s="32">
        <f>IF(OR(AD148="",AE148=""),"",'Start Here'!$B$20&amp;"#p="&amp;SUBSTITUTE(AD148,"+","%2B")&amp;"&amp;n="&amp;AF148&amp;"&amp;m="&amp;SUBSTITUTE('Start Here'!$B$24,"{name}",AF148))</f>
        <v/>
      </c>
      <c r="AH148" s="32">
        <f>N(AH147)+W148</f>
        <v/>
      </c>
      <c r="AI148" s="32">
        <f>IF(W148=1,AH148,"")</f>
        <v/>
      </c>
    </row>
    <row r="149">
      <c r="A149" s="32">
        <f>IF(INDEX('Form Responses'!$A:$A,ROW())="","",INDEX('Form Responses'!$A:$A,ROW()))</f>
        <v/>
      </c>
      <c r="B149" s="32">
        <f>TRIM(INDEX('Form Responses'!$B:$B,ROW())&amp;"")</f>
        <v/>
      </c>
      <c r="C149" s="32">
        <f>IF(B149="","",TRIM(INDEX('Form Responses'!$C:$C,ROW())&amp;""))</f>
        <v/>
      </c>
      <c r="D149" s="32">
        <f>SUBSTITUTE(SUBSTITUTE(SUBSTITUTE(SUBSTITUTE(SUBSTITUTE(SUBSTITUTE(SUBSTITUTE(SUBSTITUTE(C149," ",""),"-",""),"(",""),")",""),".",""),"+",""),"/",""),CHAR(160),"")</f>
        <v/>
      </c>
      <c r="E149" s="32">
        <f>IF(LEN(D149)&gt;=10,RIGHT(D149,10),D149)</f>
        <v/>
      </c>
      <c r="F149" s="32">
        <f>IF(B149="","",TRIM(INDEX('Form Responses'!$D:$D,ROW())&amp;""))</f>
        <v/>
      </c>
      <c r="G149" s="32">
        <f>IF(B149="","",IF(LEFT(TRIM(INDEX('Form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49" s="32">
        <f>IF(B149="","",MAX(0,IFERROR(INT(--(INDEX('Form Responses'!$F:$F,ROW())&amp;"")),1)))</f>
        <v/>
      </c>
      <c r="I149" s="32">
        <f>IF(B149="","",MAX(0,IFERROR(INT(--(INDEX('Form Responses'!$G:$G,ROW())&amp;"")),0)))</f>
        <v/>
      </c>
      <c r="J149" s="32">
        <f>IF(B149="","",TRIM(INDEX('Form Responses'!$H:$H,ROW())&amp;""))</f>
        <v/>
      </c>
      <c r="K149" s="32">
        <f>IF(B149="","",TRIM(INDEX('Form Responses'!$I:$I,ROW())&amp;""))</f>
        <v/>
      </c>
      <c r="L149" s="32">
        <f>IF(B149="","",TRIM(INDEX('Form Responses'!$J:$J,ROW())&amp;""))</f>
        <v/>
      </c>
      <c r="M149" s="32">
        <f>IF(B149="","",TRIM(INDEX('Form Responses'!$K:$K,ROW())&amp;""))</f>
        <v/>
      </c>
      <c r="N149" s="32">
        <f>IF(B149="","",IF(E149&lt;&gt;"","P"&amp;E149,"N"&amp;B149))</f>
        <v/>
      </c>
      <c r="O149" s="32">
        <f>IF(N149="",0,IF(COUNTIF(N150:N$602,N149)=0,1,0))</f>
        <v/>
      </c>
      <c r="P149" s="32">
        <f>IF(AND(O149=1,E149&lt;&gt;""),E149,"")</f>
        <v/>
      </c>
      <c r="Q149" s="32">
        <f>IF(O149=1,B149,"")</f>
        <v/>
      </c>
      <c r="R149" s="32">
        <f>IF(O149&lt;&gt;1,"",IF(E149&lt;&gt;"",IFERROR(MATCH(E149,Guests!$S$6:$S$505,0)+5,IFERROR(MATCH(B149,Guests!$A$6:$A$505,0)+5,"")),IFERROR(MATCH(B149,Guests!$A$6:$A$505,0)+5,"")))</f>
        <v/>
      </c>
      <c r="S149" s="32">
        <f>IF(R149="","",TRIM(INDEX(Guests!$E$1:$E$505,R149)&amp;""))</f>
        <v/>
      </c>
      <c r="T149" s="32">
        <f>IF(R149="","",IF(S149="",1,COUNTIF(Guests!$E$6:$E$505,S149)))</f>
        <v/>
      </c>
      <c r="U149" s="32">
        <f>IF(R149="","",IF(S149="",1,IF(COUNTIF(S$1:S148,S149)=0,1,0)))</f>
        <v/>
      </c>
      <c r="V149" s="32">
        <f>IF(AND(R149&lt;&gt;"",G149="Attending",U149=1),MAX(0,H149+I149-T149),0)</f>
        <v/>
      </c>
      <c r="W149" s="32">
        <f>IF(AND(O149=1,R149=""),1,0)</f>
        <v/>
      </c>
      <c r="X149" s="32">
        <f>IF(B149="",0,H149+I149)</f>
        <v/>
      </c>
      <c r="Y149" s="32">
        <f>N(Y148)+O149</f>
        <v/>
      </c>
      <c r="Z149" s="32">
        <f>IF(O149=1,Y149,"")</f>
        <v/>
      </c>
      <c r="AA149" s="32">
        <f>IF(AND(W149=1,G149="Not sure yet"),1,0)</f>
        <v/>
      </c>
      <c r="AB149" s="32">
        <f>N(AB148)+AA149</f>
        <v/>
      </c>
      <c r="AC149" s="32">
        <f>IF(AA149=1,AB149,"")</f>
        <v/>
      </c>
      <c r="AD149" s="32">
        <f>IF(D149="","",IF(LEN(D149)=10,"+1"&amp;D149,IF(AND(LEN(D149)=11,LEFT(D149,1)="1"),"+"&amp;D149,IF(LEFT(C149,1)="+","+"&amp;D149,D149))))</f>
        <v/>
      </c>
      <c r="AE149" s="32">
        <f>IF(B149="","",PROPER(IFERROR(LEFT(B149,FIND(" ",B149)-1),B149)))</f>
        <v/>
      </c>
      <c r="AF149" s="32">
        <f>SUBSTITUTE(SUBSTITUTE(SUBSTITUTE(SUBSTITUTE(SUBSTITUTE(SUBSTITUTE(SUBSTITUTE(SUBSTITUTE(SUBSTITUTE(SUBSTITUTE(AE149,"%","%25"),"&amp;","%26"),"#","%23"),"+","%2B"),"=","%3D"),"?","%3F"),CHAR(34),"%22"),CHAR(10),"%0A"),CHAR(13),"")," ","+")</f>
        <v/>
      </c>
      <c r="AG149" s="32">
        <f>IF(OR(AD149="",AE149=""),"",'Start Here'!$B$20&amp;"#p="&amp;SUBSTITUTE(AD149,"+","%2B")&amp;"&amp;n="&amp;AF149&amp;"&amp;m="&amp;SUBSTITUTE('Start Here'!$B$24,"{name}",AF149))</f>
        <v/>
      </c>
      <c r="AH149" s="32">
        <f>N(AH148)+W149</f>
        <v/>
      </c>
      <c r="AI149" s="32">
        <f>IF(W149=1,AH149,"")</f>
        <v/>
      </c>
    </row>
    <row r="150">
      <c r="A150" s="32">
        <f>IF(INDEX('Form Responses'!$A:$A,ROW())="","",INDEX('Form Responses'!$A:$A,ROW()))</f>
        <v/>
      </c>
      <c r="B150" s="32">
        <f>TRIM(INDEX('Form Responses'!$B:$B,ROW())&amp;"")</f>
        <v/>
      </c>
      <c r="C150" s="32">
        <f>IF(B150="","",TRIM(INDEX('Form Responses'!$C:$C,ROW())&amp;""))</f>
        <v/>
      </c>
      <c r="D150" s="32">
        <f>SUBSTITUTE(SUBSTITUTE(SUBSTITUTE(SUBSTITUTE(SUBSTITUTE(SUBSTITUTE(SUBSTITUTE(SUBSTITUTE(C150," ",""),"-",""),"(",""),")",""),".",""),"+",""),"/",""),CHAR(160),"")</f>
        <v/>
      </c>
      <c r="E150" s="32">
        <f>IF(LEN(D150)&gt;=10,RIGHT(D150,10),D150)</f>
        <v/>
      </c>
      <c r="F150" s="32">
        <f>IF(B150="","",TRIM(INDEX('Form Responses'!$D:$D,ROW())&amp;""))</f>
        <v/>
      </c>
      <c r="G150" s="32">
        <f>IF(B150="","",IF(LEFT(TRIM(INDEX('Form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0" s="32">
        <f>IF(B150="","",MAX(0,IFERROR(INT(--(INDEX('Form Responses'!$F:$F,ROW())&amp;"")),1)))</f>
        <v/>
      </c>
      <c r="I150" s="32">
        <f>IF(B150="","",MAX(0,IFERROR(INT(--(INDEX('Form Responses'!$G:$G,ROW())&amp;"")),0)))</f>
        <v/>
      </c>
      <c r="J150" s="32">
        <f>IF(B150="","",TRIM(INDEX('Form Responses'!$H:$H,ROW())&amp;""))</f>
        <v/>
      </c>
      <c r="K150" s="32">
        <f>IF(B150="","",TRIM(INDEX('Form Responses'!$I:$I,ROW())&amp;""))</f>
        <v/>
      </c>
      <c r="L150" s="32">
        <f>IF(B150="","",TRIM(INDEX('Form Responses'!$J:$J,ROW())&amp;""))</f>
        <v/>
      </c>
      <c r="M150" s="32">
        <f>IF(B150="","",TRIM(INDEX('Form Responses'!$K:$K,ROW())&amp;""))</f>
        <v/>
      </c>
      <c r="N150" s="32">
        <f>IF(B150="","",IF(E150&lt;&gt;"","P"&amp;E150,"N"&amp;B150))</f>
        <v/>
      </c>
      <c r="O150" s="32">
        <f>IF(N150="",0,IF(COUNTIF(N151:N$602,N150)=0,1,0))</f>
        <v/>
      </c>
      <c r="P150" s="32">
        <f>IF(AND(O150=1,E150&lt;&gt;""),E150,"")</f>
        <v/>
      </c>
      <c r="Q150" s="32">
        <f>IF(O150=1,B150,"")</f>
        <v/>
      </c>
      <c r="R150" s="32">
        <f>IF(O150&lt;&gt;1,"",IF(E150&lt;&gt;"",IFERROR(MATCH(E150,Guests!$S$6:$S$505,0)+5,IFERROR(MATCH(B150,Guests!$A$6:$A$505,0)+5,"")),IFERROR(MATCH(B150,Guests!$A$6:$A$505,0)+5,"")))</f>
        <v/>
      </c>
      <c r="S150" s="32">
        <f>IF(R150="","",TRIM(INDEX(Guests!$E$1:$E$505,R150)&amp;""))</f>
        <v/>
      </c>
      <c r="T150" s="32">
        <f>IF(R150="","",IF(S150="",1,COUNTIF(Guests!$E$6:$E$505,S150)))</f>
        <v/>
      </c>
      <c r="U150" s="32">
        <f>IF(R150="","",IF(S150="",1,IF(COUNTIF(S$1:S149,S150)=0,1,0)))</f>
        <v/>
      </c>
      <c r="V150" s="32">
        <f>IF(AND(R150&lt;&gt;"",G150="Attending",U150=1),MAX(0,H150+I150-T150),0)</f>
        <v/>
      </c>
      <c r="W150" s="32">
        <f>IF(AND(O150=1,R150=""),1,0)</f>
        <v/>
      </c>
      <c r="X150" s="32">
        <f>IF(B150="",0,H150+I150)</f>
        <v/>
      </c>
      <c r="Y150" s="32">
        <f>N(Y149)+O150</f>
        <v/>
      </c>
      <c r="Z150" s="32">
        <f>IF(O150=1,Y150,"")</f>
        <v/>
      </c>
      <c r="AA150" s="32">
        <f>IF(AND(W150=1,G150="Not sure yet"),1,0)</f>
        <v/>
      </c>
      <c r="AB150" s="32">
        <f>N(AB149)+AA150</f>
        <v/>
      </c>
      <c r="AC150" s="32">
        <f>IF(AA150=1,AB150,"")</f>
        <v/>
      </c>
      <c r="AD150" s="32">
        <f>IF(D150="","",IF(LEN(D150)=10,"+1"&amp;D150,IF(AND(LEN(D150)=11,LEFT(D150,1)="1"),"+"&amp;D150,IF(LEFT(C150,1)="+","+"&amp;D150,D150))))</f>
        <v/>
      </c>
      <c r="AE150" s="32">
        <f>IF(B150="","",PROPER(IFERROR(LEFT(B150,FIND(" ",B150)-1),B150)))</f>
        <v/>
      </c>
      <c r="AF150" s="32">
        <f>SUBSTITUTE(SUBSTITUTE(SUBSTITUTE(SUBSTITUTE(SUBSTITUTE(SUBSTITUTE(SUBSTITUTE(SUBSTITUTE(SUBSTITUTE(SUBSTITUTE(AE150,"%","%25"),"&amp;","%26"),"#","%23"),"+","%2B"),"=","%3D"),"?","%3F"),CHAR(34),"%22"),CHAR(10),"%0A"),CHAR(13),"")," ","+")</f>
        <v/>
      </c>
      <c r="AG150" s="32">
        <f>IF(OR(AD150="",AE150=""),"",'Start Here'!$B$20&amp;"#p="&amp;SUBSTITUTE(AD150,"+","%2B")&amp;"&amp;n="&amp;AF150&amp;"&amp;m="&amp;SUBSTITUTE('Start Here'!$B$24,"{name}",AF150))</f>
        <v/>
      </c>
      <c r="AH150" s="32">
        <f>N(AH149)+W150</f>
        <v/>
      </c>
      <c r="AI150" s="32">
        <f>IF(W150=1,AH150,"")</f>
        <v/>
      </c>
    </row>
    <row r="151">
      <c r="A151" s="32">
        <f>IF(INDEX('Form Responses'!$A:$A,ROW())="","",INDEX('Form Responses'!$A:$A,ROW()))</f>
        <v/>
      </c>
      <c r="B151" s="32">
        <f>TRIM(INDEX('Form Responses'!$B:$B,ROW())&amp;"")</f>
        <v/>
      </c>
      <c r="C151" s="32">
        <f>IF(B151="","",TRIM(INDEX('Form Responses'!$C:$C,ROW())&amp;""))</f>
        <v/>
      </c>
      <c r="D151" s="32">
        <f>SUBSTITUTE(SUBSTITUTE(SUBSTITUTE(SUBSTITUTE(SUBSTITUTE(SUBSTITUTE(SUBSTITUTE(SUBSTITUTE(C151," ",""),"-",""),"(",""),")",""),".",""),"+",""),"/",""),CHAR(160),"")</f>
        <v/>
      </c>
      <c r="E151" s="32">
        <f>IF(LEN(D151)&gt;=10,RIGHT(D151,10),D151)</f>
        <v/>
      </c>
      <c r="F151" s="32">
        <f>IF(B151="","",TRIM(INDEX('Form Responses'!$D:$D,ROW())&amp;""))</f>
        <v/>
      </c>
      <c r="G151" s="32">
        <f>IF(B151="","",IF(LEFT(TRIM(INDEX('Form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1" s="32">
        <f>IF(B151="","",MAX(0,IFERROR(INT(--(INDEX('Form Responses'!$F:$F,ROW())&amp;"")),1)))</f>
        <v/>
      </c>
      <c r="I151" s="32">
        <f>IF(B151="","",MAX(0,IFERROR(INT(--(INDEX('Form Responses'!$G:$G,ROW())&amp;"")),0)))</f>
        <v/>
      </c>
      <c r="J151" s="32">
        <f>IF(B151="","",TRIM(INDEX('Form Responses'!$H:$H,ROW())&amp;""))</f>
        <v/>
      </c>
      <c r="K151" s="32">
        <f>IF(B151="","",TRIM(INDEX('Form Responses'!$I:$I,ROW())&amp;""))</f>
        <v/>
      </c>
      <c r="L151" s="32">
        <f>IF(B151="","",TRIM(INDEX('Form Responses'!$J:$J,ROW())&amp;""))</f>
        <v/>
      </c>
      <c r="M151" s="32">
        <f>IF(B151="","",TRIM(INDEX('Form Responses'!$K:$K,ROW())&amp;""))</f>
        <v/>
      </c>
      <c r="N151" s="32">
        <f>IF(B151="","",IF(E151&lt;&gt;"","P"&amp;E151,"N"&amp;B151))</f>
        <v/>
      </c>
      <c r="O151" s="32">
        <f>IF(N151="",0,IF(COUNTIF(N152:N$602,N151)=0,1,0))</f>
        <v/>
      </c>
      <c r="P151" s="32">
        <f>IF(AND(O151=1,E151&lt;&gt;""),E151,"")</f>
        <v/>
      </c>
      <c r="Q151" s="32">
        <f>IF(O151=1,B151,"")</f>
        <v/>
      </c>
      <c r="R151" s="32">
        <f>IF(O151&lt;&gt;1,"",IF(E151&lt;&gt;"",IFERROR(MATCH(E151,Guests!$S$6:$S$505,0)+5,IFERROR(MATCH(B151,Guests!$A$6:$A$505,0)+5,"")),IFERROR(MATCH(B151,Guests!$A$6:$A$505,0)+5,"")))</f>
        <v/>
      </c>
      <c r="S151" s="32">
        <f>IF(R151="","",TRIM(INDEX(Guests!$E$1:$E$505,R151)&amp;""))</f>
        <v/>
      </c>
      <c r="T151" s="32">
        <f>IF(R151="","",IF(S151="",1,COUNTIF(Guests!$E$6:$E$505,S151)))</f>
        <v/>
      </c>
      <c r="U151" s="32">
        <f>IF(R151="","",IF(S151="",1,IF(COUNTIF(S$1:S150,S151)=0,1,0)))</f>
        <v/>
      </c>
      <c r="V151" s="32">
        <f>IF(AND(R151&lt;&gt;"",G151="Attending",U151=1),MAX(0,H151+I151-T151),0)</f>
        <v/>
      </c>
      <c r="W151" s="32">
        <f>IF(AND(O151=1,R151=""),1,0)</f>
        <v/>
      </c>
      <c r="X151" s="32">
        <f>IF(B151="",0,H151+I151)</f>
        <v/>
      </c>
      <c r="Y151" s="32">
        <f>N(Y150)+O151</f>
        <v/>
      </c>
      <c r="Z151" s="32">
        <f>IF(O151=1,Y151,"")</f>
        <v/>
      </c>
      <c r="AA151" s="32">
        <f>IF(AND(W151=1,G151="Not sure yet"),1,0)</f>
        <v/>
      </c>
      <c r="AB151" s="32">
        <f>N(AB150)+AA151</f>
        <v/>
      </c>
      <c r="AC151" s="32">
        <f>IF(AA151=1,AB151,"")</f>
        <v/>
      </c>
      <c r="AD151" s="32">
        <f>IF(D151="","",IF(LEN(D151)=10,"+1"&amp;D151,IF(AND(LEN(D151)=11,LEFT(D151,1)="1"),"+"&amp;D151,IF(LEFT(C151,1)="+","+"&amp;D151,D151))))</f>
        <v/>
      </c>
      <c r="AE151" s="32">
        <f>IF(B151="","",PROPER(IFERROR(LEFT(B151,FIND(" ",B151)-1),B151)))</f>
        <v/>
      </c>
      <c r="AF151" s="32">
        <f>SUBSTITUTE(SUBSTITUTE(SUBSTITUTE(SUBSTITUTE(SUBSTITUTE(SUBSTITUTE(SUBSTITUTE(SUBSTITUTE(SUBSTITUTE(SUBSTITUTE(AE151,"%","%25"),"&amp;","%26"),"#","%23"),"+","%2B"),"=","%3D"),"?","%3F"),CHAR(34),"%22"),CHAR(10),"%0A"),CHAR(13),"")," ","+")</f>
        <v/>
      </c>
      <c r="AG151" s="32">
        <f>IF(OR(AD151="",AE151=""),"",'Start Here'!$B$20&amp;"#p="&amp;SUBSTITUTE(AD151,"+","%2B")&amp;"&amp;n="&amp;AF151&amp;"&amp;m="&amp;SUBSTITUTE('Start Here'!$B$24,"{name}",AF151))</f>
        <v/>
      </c>
      <c r="AH151" s="32">
        <f>N(AH150)+W151</f>
        <v/>
      </c>
      <c r="AI151" s="32">
        <f>IF(W151=1,AH151,"")</f>
        <v/>
      </c>
    </row>
    <row r="152">
      <c r="A152" s="32">
        <f>IF(INDEX('Form Responses'!$A:$A,ROW())="","",INDEX('Form Responses'!$A:$A,ROW()))</f>
        <v/>
      </c>
      <c r="B152" s="32">
        <f>TRIM(INDEX('Form Responses'!$B:$B,ROW())&amp;"")</f>
        <v/>
      </c>
      <c r="C152" s="32">
        <f>IF(B152="","",TRIM(INDEX('Form Responses'!$C:$C,ROW())&amp;""))</f>
        <v/>
      </c>
      <c r="D152" s="32">
        <f>SUBSTITUTE(SUBSTITUTE(SUBSTITUTE(SUBSTITUTE(SUBSTITUTE(SUBSTITUTE(SUBSTITUTE(SUBSTITUTE(C152," ",""),"-",""),"(",""),")",""),".",""),"+",""),"/",""),CHAR(160),"")</f>
        <v/>
      </c>
      <c r="E152" s="32">
        <f>IF(LEN(D152)&gt;=10,RIGHT(D152,10),D152)</f>
        <v/>
      </c>
      <c r="F152" s="32">
        <f>IF(B152="","",TRIM(INDEX('Form Responses'!$D:$D,ROW())&amp;""))</f>
        <v/>
      </c>
      <c r="G152" s="32">
        <f>IF(B152="","",IF(LEFT(TRIM(INDEX('Form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2" s="32">
        <f>IF(B152="","",MAX(0,IFERROR(INT(--(INDEX('Form Responses'!$F:$F,ROW())&amp;"")),1)))</f>
        <v/>
      </c>
      <c r="I152" s="32">
        <f>IF(B152="","",MAX(0,IFERROR(INT(--(INDEX('Form Responses'!$G:$G,ROW())&amp;"")),0)))</f>
        <v/>
      </c>
      <c r="J152" s="32">
        <f>IF(B152="","",TRIM(INDEX('Form Responses'!$H:$H,ROW())&amp;""))</f>
        <v/>
      </c>
      <c r="K152" s="32">
        <f>IF(B152="","",TRIM(INDEX('Form Responses'!$I:$I,ROW())&amp;""))</f>
        <v/>
      </c>
      <c r="L152" s="32">
        <f>IF(B152="","",TRIM(INDEX('Form Responses'!$J:$J,ROW())&amp;""))</f>
        <v/>
      </c>
      <c r="M152" s="32">
        <f>IF(B152="","",TRIM(INDEX('Form Responses'!$K:$K,ROW())&amp;""))</f>
        <v/>
      </c>
      <c r="N152" s="32">
        <f>IF(B152="","",IF(E152&lt;&gt;"","P"&amp;E152,"N"&amp;B152))</f>
        <v/>
      </c>
      <c r="O152" s="32">
        <f>IF(N152="",0,IF(COUNTIF(N153:N$602,N152)=0,1,0))</f>
        <v/>
      </c>
      <c r="P152" s="32">
        <f>IF(AND(O152=1,E152&lt;&gt;""),E152,"")</f>
        <v/>
      </c>
      <c r="Q152" s="32">
        <f>IF(O152=1,B152,"")</f>
        <v/>
      </c>
      <c r="R152" s="32">
        <f>IF(O152&lt;&gt;1,"",IF(E152&lt;&gt;"",IFERROR(MATCH(E152,Guests!$S$6:$S$505,0)+5,IFERROR(MATCH(B152,Guests!$A$6:$A$505,0)+5,"")),IFERROR(MATCH(B152,Guests!$A$6:$A$505,0)+5,"")))</f>
        <v/>
      </c>
      <c r="S152" s="32">
        <f>IF(R152="","",TRIM(INDEX(Guests!$E$1:$E$505,R152)&amp;""))</f>
        <v/>
      </c>
      <c r="T152" s="32">
        <f>IF(R152="","",IF(S152="",1,COUNTIF(Guests!$E$6:$E$505,S152)))</f>
        <v/>
      </c>
      <c r="U152" s="32">
        <f>IF(R152="","",IF(S152="",1,IF(COUNTIF(S$1:S151,S152)=0,1,0)))</f>
        <v/>
      </c>
      <c r="V152" s="32">
        <f>IF(AND(R152&lt;&gt;"",G152="Attending",U152=1),MAX(0,H152+I152-T152),0)</f>
        <v/>
      </c>
      <c r="W152" s="32">
        <f>IF(AND(O152=1,R152=""),1,0)</f>
        <v/>
      </c>
      <c r="X152" s="32">
        <f>IF(B152="",0,H152+I152)</f>
        <v/>
      </c>
      <c r="Y152" s="32">
        <f>N(Y151)+O152</f>
        <v/>
      </c>
      <c r="Z152" s="32">
        <f>IF(O152=1,Y152,"")</f>
        <v/>
      </c>
      <c r="AA152" s="32">
        <f>IF(AND(W152=1,G152="Not sure yet"),1,0)</f>
        <v/>
      </c>
      <c r="AB152" s="32">
        <f>N(AB151)+AA152</f>
        <v/>
      </c>
      <c r="AC152" s="32">
        <f>IF(AA152=1,AB152,"")</f>
        <v/>
      </c>
      <c r="AD152" s="32">
        <f>IF(D152="","",IF(LEN(D152)=10,"+1"&amp;D152,IF(AND(LEN(D152)=11,LEFT(D152,1)="1"),"+"&amp;D152,IF(LEFT(C152,1)="+","+"&amp;D152,D152))))</f>
        <v/>
      </c>
      <c r="AE152" s="32">
        <f>IF(B152="","",PROPER(IFERROR(LEFT(B152,FIND(" ",B152)-1),B152)))</f>
        <v/>
      </c>
      <c r="AF152" s="32">
        <f>SUBSTITUTE(SUBSTITUTE(SUBSTITUTE(SUBSTITUTE(SUBSTITUTE(SUBSTITUTE(SUBSTITUTE(SUBSTITUTE(SUBSTITUTE(SUBSTITUTE(AE152,"%","%25"),"&amp;","%26"),"#","%23"),"+","%2B"),"=","%3D"),"?","%3F"),CHAR(34),"%22"),CHAR(10),"%0A"),CHAR(13),"")," ","+")</f>
        <v/>
      </c>
      <c r="AG152" s="32">
        <f>IF(OR(AD152="",AE152=""),"",'Start Here'!$B$20&amp;"#p="&amp;SUBSTITUTE(AD152,"+","%2B")&amp;"&amp;n="&amp;AF152&amp;"&amp;m="&amp;SUBSTITUTE('Start Here'!$B$24,"{name}",AF152))</f>
        <v/>
      </c>
      <c r="AH152" s="32">
        <f>N(AH151)+W152</f>
        <v/>
      </c>
      <c r="AI152" s="32">
        <f>IF(W152=1,AH152,"")</f>
        <v/>
      </c>
    </row>
    <row r="153">
      <c r="A153" s="32">
        <f>IF(INDEX('Form Responses'!$A:$A,ROW())="","",INDEX('Form Responses'!$A:$A,ROW()))</f>
        <v/>
      </c>
      <c r="B153" s="32">
        <f>TRIM(INDEX('Form Responses'!$B:$B,ROW())&amp;"")</f>
        <v/>
      </c>
      <c r="C153" s="32">
        <f>IF(B153="","",TRIM(INDEX('Form Responses'!$C:$C,ROW())&amp;""))</f>
        <v/>
      </c>
      <c r="D153" s="32">
        <f>SUBSTITUTE(SUBSTITUTE(SUBSTITUTE(SUBSTITUTE(SUBSTITUTE(SUBSTITUTE(SUBSTITUTE(SUBSTITUTE(C153," ",""),"-",""),"(",""),")",""),".",""),"+",""),"/",""),CHAR(160),"")</f>
        <v/>
      </c>
      <c r="E153" s="32">
        <f>IF(LEN(D153)&gt;=10,RIGHT(D153,10),D153)</f>
        <v/>
      </c>
      <c r="F153" s="32">
        <f>IF(B153="","",TRIM(INDEX('Form Responses'!$D:$D,ROW())&amp;""))</f>
        <v/>
      </c>
      <c r="G153" s="32">
        <f>IF(B153="","",IF(LEFT(TRIM(INDEX('Form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3" s="32">
        <f>IF(B153="","",MAX(0,IFERROR(INT(--(INDEX('Form Responses'!$F:$F,ROW())&amp;"")),1)))</f>
        <v/>
      </c>
      <c r="I153" s="32">
        <f>IF(B153="","",MAX(0,IFERROR(INT(--(INDEX('Form Responses'!$G:$G,ROW())&amp;"")),0)))</f>
        <v/>
      </c>
      <c r="J153" s="32">
        <f>IF(B153="","",TRIM(INDEX('Form Responses'!$H:$H,ROW())&amp;""))</f>
        <v/>
      </c>
      <c r="K153" s="32">
        <f>IF(B153="","",TRIM(INDEX('Form Responses'!$I:$I,ROW())&amp;""))</f>
        <v/>
      </c>
      <c r="L153" s="32">
        <f>IF(B153="","",TRIM(INDEX('Form Responses'!$J:$J,ROW())&amp;""))</f>
        <v/>
      </c>
      <c r="M153" s="32">
        <f>IF(B153="","",TRIM(INDEX('Form Responses'!$K:$K,ROW())&amp;""))</f>
        <v/>
      </c>
      <c r="N153" s="32">
        <f>IF(B153="","",IF(E153&lt;&gt;"","P"&amp;E153,"N"&amp;B153))</f>
        <v/>
      </c>
      <c r="O153" s="32">
        <f>IF(N153="",0,IF(COUNTIF(N154:N$602,N153)=0,1,0))</f>
        <v/>
      </c>
      <c r="P153" s="32">
        <f>IF(AND(O153=1,E153&lt;&gt;""),E153,"")</f>
        <v/>
      </c>
      <c r="Q153" s="32">
        <f>IF(O153=1,B153,"")</f>
        <v/>
      </c>
      <c r="R153" s="32">
        <f>IF(O153&lt;&gt;1,"",IF(E153&lt;&gt;"",IFERROR(MATCH(E153,Guests!$S$6:$S$505,0)+5,IFERROR(MATCH(B153,Guests!$A$6:$A$505,0)+5,"")),IFERROR(MATCH(B153,Guests!$A$6:$A$505,0)+5,"")))</f>
        <v/>
      </c>
      <c r="S153" s="32">
        <f>IF(R153="","",TRIM(INDEX(Guests!$E$1:$E$505,R153)&amp;""))</f>
        <v/>
      </c>
      <c r="T153" s="32">
        <f>IF(R153="","",IF(S153="",1,COUNTIF(Guests!$E$6:$E$505,S153)))</f>
        <v/>
      </c>
      <c r="U153" s="32">
        <f>IF(R153="","",IF(S153="",1,IF(COUNTIF(S$1:S152,S153)=0,1,0)))</f>
        <v/>
      </c>
      <c r="V153" s="32">
        <f>IF(AND(R153&lt;&gt;"",G153="Attending",U153=1),MAX(0,H153+I153-T153),0)</f>
        <v/>
      </c>
      <c r="W153" s="32">
        <f>IF(AND(O153=1,R153=""),1,0)</f>
        <v/>
      </c>
      <c r="X153" s="32">
        <f>IF(B153="",0,H153+I153)</f>
        <v/>
      </c>
      <c r="Y153" s="32">
        <f>N(Y152)+O153</f>
        <v/>
      </c>
      <c r="Z153" s="32">
        <f>IF(O153=1,Y153,"")</f>
        <v/>
      </c>
      <c r="AA153" s="32">
        <f>IF(AND(W153=1,G153="Not sure yet"),1,0)</f>
        <v/>
      </c>
      <c r="AB153" s="32">
        <f>N(AB152)+AA153</f>
        <v/>
      </c>
      <c r="AC153" s="32">
        <f>IF(AA153=1,AB153,"")</f>
        <v/>
      </c>
      <c r="AD153" s="32">
        <f>IF(D153="","",IF(LEN(D153)=10,"+1"&amp;D153,IF(AND(LEN(D153)=11,LEFT(D153,1)="1"),"+"&amp;D153,IF(LEFT(C153,1)="+","+"&amp;D153,D153))))</f>
        <v/>
      </c>
      <c r="AE153" s="32">
        <f>IF(B153="","",PROPER(IFERROR(LEFT(B153,FIND(" ",B153)-1),B153)))</f>
        <v/>
      </c>
      <c r="AF153" s="32">
        <f>SUBSTITUTE(SUBSTITUTE(SUBSTITUTE(SUBSTITUTE(SUBSTITUTE(SUBSTITUTE(SUBSTITUTE(SUBSTITUTE(SUBSTITUTE(SUBSTITUTE(AE153,"%","%25"),"&amp;","%26"),"#","%23"),"+","%2B"),"=","%3D"),"?","%3F"),CHAR(34),"%22"),CHAR(10),"%0A"),CHAR(13),"")," ","+")</f>
        <v/>
      </c>
      <c r="AG153" s="32">
        <f>IF(OR(AD153="",AE153=""),"",'Start Here'!$B$20&amp;"#p="&amp;SUBSTITUTE(AD153,"+","%2B")&amp;"&amp;n="&amp;AF153&amp;"&amp;m="&amp;SUBSTITUTE('Start Here'!$B$24,"{name}",AF153))</f>
        <v/>
      </c>
      <c r="AH153" s="32">
        <f>N(AH152)+W153</f>
        <v/>
      </c>
      <c r="AI153" s="32">
        <f>IF(W153=1,AH153,"")</f>
        <v/>
      </c>
    </row>
    <row r="154">
      <c r="A154" s="32">
        <f>IF(INDEX('Form Responses'!$A:$A,ROW())="","",INDEX('Form Responses'!$A:$A,ROW()))</f>
        <v/>
      </c>
      <c r="B154" s="32">
        <f>TRIM(INDEX('Form Responses'!$B:$B,ROW())&amp;"")</f>
        <v/>
      </c>
      <c r="C154" s="32">
        <f>IF(B154="","",TRIM(INDEX('Form Responses'!$C:$C,ROW())&amp;""))</f>
        <v/>
      </c>
      <c r="D154" s="32">
        <f>SUBSTITUTE(SUBSTITUTE(SUBSTITUTE(SUBSTITUTE(SUBSTITUTE(SUBSTITUTE(SUBSTITUTE(SUBSTITUTE(C154," ",""),"-",""),"(",""),")",""),".",""),"+",""),"/",""),CHAR(160),"")</f>
        <v/>
      </c>
      <c r="E154" s="32">
        <f>IF(LEN(D154)&gt;=10,RIGHT(D154,10),D154)</f>
        <v/>
      </c>
      <c r="F154" s="32">
        <f>IF(B154="","",TRIM(INDEX('Form Responses'!$D:$D,ROW())&amp;""))</f>
        <v/>
      </c>
      <c r="G154" s="32">
        <f>IF(B154="","",IF(LEFT(TRIM(INDEX('Form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4" s="32">
        <f>IF(B154="","",MAX(0,IFERROR(INT(--(INDEX('Form Responses'!$F:$F,ROW())&amp;"")),1)))</f>
        <v/>
      </c>
      <c r="I154" s="32">
        <f>IF(B154="","",MAX(0,IFERROR(INT(--(INDEX('Form Responses'!$G:$G,ROW())&amp;"")),0)))</f>
        <v/>
      </c>
      <c r="J154" s="32">
        <f>IF(B154="","",TRIM(INDEX('Form Responses'!$H:$H,ROW())&amp;""))</f>
        <v/>
      </c>
      <c r="K154" s="32">
        <f>IF(B154="","",TRIM(INDEX('Form Responses'!$I:$I,ROW())&amp;""))</f>
        <v/>
      </c>
      <c r="L154" s="32">
        <f>IF(B154="","",TRIM(INDEX('Form Responses'!$J:$J,ROW())&amp;""))</f>
        <v/>
      </c>
      <c r="M154" s="32">
        <f>IF(B154="","",TRIM(INDEX('Form Responses'!$K:$K,ROW())&amp;""))</f>
        <v/>
      </c>
      <c r="N154" s="32">
        <f>IF(B154="","",IF(E154&lt;&gt;"","P"&amp;E154,"N"&amp;B154))</f>
        <v/>
      </c>
      <c r="O154" s="32">
        <f>IF(N154="",0,IF(COUNTIF(N155:N$602,N154)=0,1,0))</f>
        <v/>
      </c>
      <c r="P154" s="32">
        <f>IF(AND(O154=1,E154&lt;&gt;""),E154,"")</f>
        <v/>
      </c>
      <c r="Q154" s="32">
        <f>IF(O154=1,B154,"")</f>
        <v/>
      </c>
      <c r="R154" s="32">
        <f>IF(O154&lt;&gt;1,"",IF(E154&lt;&gt;"",IFERROR(MATCH(E154,Guests!$S$6:$S$505,0)+5,IFERROR(MATCH(B154,Guests!$A$6:$A$505,0)+5,"")),IFERROR(MATCH(B154,Guests!$A$6:$A$505,0)+5,"")))</f>
        <v/>
      </c>
      <c r="S154" s="32">
        <f>IF(R154="","",TRIM(INDEX(Guests!$E$1:$E$505,R154)&amp;""))</f>
        <v/>
      </c>
      <c r="T154" s="32">
        <f>IF(R154="","",IF(S154="",1,COUNTIF(Guests!$E$6:$E$505,S154)))</f>
        <v/>
      </c>
      <c r="U154" s="32">
        <f>IF(R154="","",IF(S154="",1,IF(COUNTIF(S$1:S153,S154)=0,1,0)))</f>
        <v/>
      </c>
      <c r="V154" s="32">
        <f>IF(AND(R154&lt;&gt;"",G154="Attending",U154=1),MAX(0,H154+I154-T154),0)</f>
        <v/>
      </c>
      <c r="W154" s="32">
        <f>IF(AND(O154=1,R154=""),1,0)</f>
        <v/>
      </c>
      <c r="X154" s="32">
        <f>IF(B154="",0,H154+I154)</f>
        <v/>
      </c>
      <c r="Y154" s="32">
        <f>N(Y153)+O154</f>
        <v/>
      </c>
      <c r="Z154" s="32">
        <f>IF(O154=1,Y154,"")</f>
        <v/>
      </c>
      <c r="AA154" s="32">
        <f>IF(AND(W154=1,G154="Not sure yet"),1,0)</f>
        <v/>
      </c>
      <c r="AB154" s="32">
        <f>N(AB153)+AA154</f>
        <v/>
      </c>
      <c r="AC154" s="32">
        <f>IF(AA154=1,AB154,"")</f>
        <v/>
      </c>
      <c r="AD154" s="32">
        <f>IF(D154="","",IF(LEN(D154)=10,"+1"&amp;D154,IF(AND(LEN(D154)=11,LEFT(D154,1)="1"),"+"&amp;D154,IF(LEFT(C154,1)="+","+"&amp;D154,D154))))</f>
        <v/>
      </c>
      <c r="AE154" s="32">
        <f>IF(B154="","",PROPER(IFERROR(LEFT(B154,FIND(" ",B154)-1),B154)))</f>
        <v/>
      </c>
      <c r="AF154" s="32">
        <f>SUBSTITUTE(SUBSTITUTE(SUBSTITUTE(SUBSTITUTE(SUBSTITUTE(SUBSTITUTE(SUBSTITUTE(SUBSTITUTE(SUBSTITUTE(SUBSTITUTE(AE154,"%","%25"),"&amp;","%26"),"#","%23"),"+","%2B"),"=","%3D"),"?","%3F"),CHAR(34),"%22"),CHAR(10),"%0A"),CHAR(13),"")," ","+")</f>
        <v/>
      </c>
      <c r="AG154" s="32">
        <f>IF(OR(AD154="",AE154=""),"",'Start Here'!$B$20&amp;"#p="&amp;SUBSTITUTE(AD154,"+","%2B")&amp;"&amp;n="&amp;AF154&amp;"&amp;m="&amp;SUBSTITUTE('Start Here'!$B$24,"{name}",AF154))</f>
        <v/>
      </c>
      <c r="AH154" s="32">
        <f>N(AH153)+W154</f>
        <v/>
      </c>
      <c r="AI154" s="32">
        <f>IF(W154=1,AH154,"")</f>
        <v/>
      </c>
    </row>
    <row r="155">
      <c r="A155" s="32">
        <f>IF(INDEX('Form Responses'!$A:$A,ROW())="","",INDEX('Form Responses'!$A:$A,ROW()))</f>
        <v/>
      </c>
      <c r="B155" s="32">
        <f>TRIM(INDEX('Form Responses'!$B:$B,ROW())&amp;"")</f>
        <v/>
      </c>
      <c r="C155" s="32">
        <f>IF(B155="","",TRIM(INDEX('Form Responses'!$C:$C,ROW())&amp;""))</f>
        <v/>
      </c>
      <c r="D155" s="32">
        <f>SUBSTITUTE(SUBSTITUTE(SUBSTITUTE(SUBSTITUTE(SUBSTITUTE(SUBSTITUTE(SUBSTITUTE(SUBSTITUTE(C155," ",""),"-",""),"(",""),")",""),".",""),"+",""),"/",""),CHAR(160),"")</f>
        <v/>
      </c>
      <c r="E155" s="32">
        <f>IF(LEN(D155)&gt;=10,RIGHT(D155,10),D155)</f>
        <v/>
      </c>
      <c r="F155" s="32">
        <f>IF(B155="","",TRIM(INDEX('Form Responses'!$D:$D,ROW())&amp;""))</f>
        <v/>
      </c>
      <c r="G155" s="32">
        <f>IF(B155="","",IF(LEFT(TRIM(INDEX('Form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5" s="32">
        <f>IF(B155="","",MAX(0,IFERROR(INT(--(INDEX('Form Responses'!$F:$F,ROW())&amp;"")),1)))</f>
        <v/>
      </c>
      <c r="I155" s="32">
        <f>IF(B155="","",MAX(0,IFERROR(INT(--(INDEX('Form Responses'!$G:$G,ROW())&amp;"")),0)))</f>
        <v/>
      </c>
      <c r="J155" s="32">
        <f>IF(B155="","",TRIM(INDEX('Form Responses'!$H:$H,ROW())&amp;""))</f>
        <v/>
      </c>
      <c r="K155" s="32">
        <f>IF(B155="","",TRIM(INDEX('Form Responses'!$I:$I,ROW())&amp;""))</f>
        <v/>
      </c>
      <c r="L155" s="32">
        <f>IF(B155="","",TRIM(INDEX('Form Responses'!$J:$J,ROW())&amp;""))</f>
        <v/>
      </c>
      <c r="M155" s="32">
        <f>IF(B155="","",TRIM(INDEX('Form Responses'!$K:$K,ROW())&amp;""))</f>
        <v/>
      </c>
      <c r="N155" s="32">
        <f>IF(B155="","",IF(E155&lt;&gt;"","P"&amp;E155,"N"&amp;B155))</f>
        <v/>
      </c>
      <c r="O155" s="32">
        <f>IF(N155="",0,IF(COUNTIF(N156:N$602,N155)=0,1,0))</f>
        <v/>
      </c>
      <c r="P155" s="32">
        <f>IF(AND(O155=1,E155&lt;&gt;""),E155,"")</f>
        <v/>
      </c>
      <c r="Q155" s="32">
        <f>IF(O155=1,B155,"")</f>
        <v/>
      </c>
      <c r="R155" s="32">
        <f>IF(O155&lt;&gt;1,"",IF(E155&lt;&gt;"",IFERROR(MATCH(E155,Guests!$S$6:$S$505,0)+5,IFERROR(MATCH(B155,Guests!$A$6:$A$505,0)+5,"")),IFERROR(MATCH(B155,Guests!$A$6:$A$505,0)+5,"")))</f>
        <v/>
      </c>
      <c r="S155" s="32">
        <f>IF(R155="","",TRIM(INDEX(Guests!$E$1:$E$505,R155)&amp;""))</f>
        <v/>
      </c>
      <c r="T155" s="32">
        <f>IF(R155="","",IF(S155="",1,COUNTIF(Guests!$E$6:$E$505,S155)))</f>
        <v/>
      </c>
      <c r="U155" s="32">
        <f>IF(R155="","",IF(S155="",1,IF(COUNTIF(S$1:S154,S155)=0,1,0)))</f>
        <v/>
      </c>
      <c r="V155" s="32">
        <f>IF(AND(R155&lt;&gt;"",G155="Attending",U155=1),MAX(0,H155+I155-T155),0)</f>
        <v/>
      </c>
      <c r="W155" s="32">
        <f>IF(AND(O155=1,R155=""),1,0)</f>
        <v/>
      </c>
      <c r="X155" s="32">
        <f>IF(B155="",0,H155+I155)</f>
        <v/>
      </c>
      <c r="Y155" s="32">
        <f>N(Y154)+O155</f>
        <v/>
      </c>
      <c r="Z155" s="32">
        <f>IF(O155=1,Y155,"")</f>
        <v/>
      </c>
      <c r="AA155" s="32">
        <f>IF(AND(W155=1,G155="Not sure yet"),1,0)</f>
        <v/>
      </c>
      <c r="AB155" s="32">
        <f>N(AB154)+AA155</f>
        <v/>
      </c>
      <c r="AC155" s="32">
        <f>IF(AA155=1,AB155,"")</f>
        <v/>
      </c>
      <c r="AD155" s="32">
        <f>IF(D155="","",IF(LEN(D155)=10,"+1"&amp;D155,IF(AND(LEN(D155)=11,LEFT(D155,1)="1"),"+"&amp;D155,IF(LEFT(C155,1)="+","+"&amp;D155,D155))))</f>
        <v/>
      </c>
      <c r="AE155" s="32">
        <f>IF(B155="","",PROPER(IFERROR(LEFT(B155,FIND(" ",B155)-1),B155)))</f>
        <v/>
      </c>
      <c r="AF155" s="32">
        <f>SUBSTITUTE(SUBSTITUTE(SUBSTITUTE(SUBSTITUTE(SUBSTITUTE(SUBSTITUTE(SUBSTITUTE(SUBSTITUTE(SUBSTITUTE(SUBSTITUTE(AE155,"%","%25"),"&amp;","%26"),"#","%23"),"+","%2B"),"=","%3D"),"?","%3F"),CHAR(34),"%22"),CHAR(10),"%0A"),CHAR(13),"")," ","+")</f>
        <v/>
      </c>
      <c r="AG155" s="32">
        <f>IF(OR(AD155="",AE155=""),"",'Start Here'!$B$20&amp;"#p="&amp;SUBSTITUTE(AD155,"+","%2B")&amp;"&amp;n="&amp;AF155&amp;"&amp;m="&amp;SUBSTITUTE('Start Here'!$B$24,"{name}",AF155))</f>
        <v/>
      </c>
      <c r="AH155" s="32">
        <f>N(AH154)+W155</f>
        <v/>
      </c>
      <c r="AI155" s="32">
        <f>IF(W155=1,AH155,"")</f>
        <v/>
      </c>
    </row>
    <row r="156">
      <c r="A156" s="32">
        <f>IF(INDEX('Form Responses'!$A:$A,ROW())="","",INDEX('Form Responses'!$A:$A,ROW()))</f>
        <v/>
      </c>
      <c r="B156" s="32">
        <f>TRIM(INDEX('Form Responses'!$B:$B,ROW())&amp;"")</f>
        <v/>
      </c>
      <c r="C156" s="32">
        <f>IF(B156="","",TRIM(INDEX('Form Responses'!$C:$C,ROW())&amp;""))</f>
        <v/>
      </c>
      <c r="D156" s="32">
        <f>SUBSTITUTE(SUBSTITUTE(SUBSTITUTE(SUBSTITUTE(SUBSTITUTE(SUBSTITUTE(SUBSTITUTE(SUBSTITUTE(C156," ",""),"-",""),"(",""),")",""),".",""),"+",""),"/",""),CHAR(160),"")</f>
        <v/>
      </c>
      <c r="E156" s="32">
        <f>IF(LEN(D156)&gt;=10,RIGHT(D156,10),D156)</f>
        <v/>
      </c>
      <c r="F156" s="32">
        <f>IF(B156="","",TRIM(INDEX('Form Responses'!$D:$D,ROW())&amp;""))</f>
        <v/>
      </c>
      <c r="G156" s="32">
        <f>IF(B156="","",IF(LEFT(TRIM(INDEX('Form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6" s="32">
        <f>IF(B156="","",MAX(0,IFERROR(INT(--(INDEX('Form Responses'!$F:$F,ROW())&amp;"")),1)))</f>
        <v/>
      </c>
      <c r="I156" s="32">
        <f>IF(B156="","",MAX(0,IFERROR(INT(--(INDEX('Form Responses'!$G:$G,ROW())&amp;"")),0)))</f>
        <v/>
      </c>
      <c r="J156" s="32">
        <f>IF(B156="","",TRIM(INDEX('Form Responses'!$H:$H,ROW())&amp;""))</f>
        <v/>
      </c>
      <c r="K156" s="32">
        <f>IF(B156="","",TRIM(INDEX('Form Responses'!$I:$I,ROW())&amp;""))</f>
        <v/>
      </c>
      <c r="L156" s="32">
        <f>IF(B156="","",TRIM(INDEX('Form Responses'!$J:$J,ROW())&amp;""))</f>
        <v/>
      </c>
      <c r="M156" s="32">
        <f>IF(B156="","",TRIM(INDEX('Form Responses'!$K:$K,ROW())&amp;""))</f>
        <v/>
      </c>
      <c r="N156" s="32">
        <f>IF(B156="","",IF(E156&lt;&gt;"","P"&amp;E156,"N"&amp;B156))</f>
        <v/>
      </c>
      <c r="O156" s="32">
        <f>IF(N156="",0,IF(COUNTIF(N157:N$602,N156)=0,1,0))</f>
        <v/>
      </c>
      <c r="P156" s="32">
        <f>IF(AND(O156=1,E156&lt;&gt;""),E156,"")</f>
        <v/>
      </c>
      <c r="Q156" s="32">
        <f>IF(O156=1,B156,"")</f>
        <v/>
      </c>
      <c r="R156" s="32">
        <f>IF(O156&lt;&gt;1,"",IF(E156&lt;&gt;"",IFERROR(MATCH(E156,Guests!$S$6:$S$505,0)+5,IFERROR(MATCH(B156,Guests!$A$6:$A$505,0)+5,"")),IFERROR(MATCH(B156,Guests!$A$6:$A$505,0)+5,"")))</f>
        <v/>
      </c>
      <c r="S156" s="32">
        <f>IF(R156="","",TRIM(INDEX(Guests!$E$1:$E$505,R156)&amp;""))</f>
        <v/>
      </c>
      <c r="T156" s="32">
        <f>IF(R156="","",IF(S156="",1,COUNTIF(Guests!$E$6:$E$505,S156)))</f>
        <v/>
      </c>
      <c r="U156" s="32">
        <f>IF(R156="","",IF(S156="",1,IF(COUNTIF(S$1:S155,S156)=0,1,0)))</f>
        <v/>
      </c>
      <c r="V156" s="32">
        <f>IF(AND(R156&lt;&gt;"",G156="Attending",U156=1),MAX(0,H156+I156-T156),0)</f>
        <v/>
      </c>
      <c r="W156" s="32">
        <f>IF(AND(O156=1,R156=""),1,0)</f>
        <v/>
      </c>
      <c r="X156" s="32">
        <f>IF(B156="",0,H156+I156)</f>
        <v/>
      </c>
      <c r="Y156" s="32">
        <f>N(Y155)+O156</f>
        <v/>
      </c>
      <c r="Z156" s="32">
        <f>IF(O156=1,Y156,"")</f>
        <v/>
      </c>
      <c r="AA156" s="32">
        <f>IF(AND(W156=1,G156="Not sure yet"),1,0)</f>
        <v/>
      </c>
      <c r="AB156" s="32">
        <f>N(AB155)+AA156</f>
        <v/>
      </c>
      <c r="AC156" s="32">
        <f>IF(AA156=1,AB156,"")</f>
        <v/>
      </c>
      <c r="AD156" s="32">
        <f>IF(D156="","",IF(LEN(D156)=10,"+1"&amp;D156,IF(AND(LEN(D156)=11,LEFT(D156,1)="1"),"+"&amp;D156,IF(LEFT(C156,1)="+","+"&amp;D156,D156))))</f>
        <v/>
      </c>
      <c r="AE156" s="32">
        <f>IF(B156="","",PROPER(IFERROR(LEFT(B156,FIND(" ",B156)-1),B156)))</f>
        <v/>
      </c>
      <c r="AF156" s="32">
        <f>SUBSTITUTE(SUBSTITUTE(SUBSTITUTE(SUBSTITUTE(SUBSTITUTE(SUBSTITUTE(SUBSTITUTE(SUBSTITUTE(SUBSTITUTE(SUBSTITUTE(AE156,"%","%25"),"&amp;","%26"),"#","%23"),"+","%2B"),"=","%3D"),"?","%3F"),CHAR(34),"%22"),CHAR(10),"%0A"),CHAR(13),"")," ","+")</f>
        <v/>
      </c>
      <c r="AG156" s="32">
        <f>IF(OR(AD156="",AE156=""),"",'Start Here'!$B$20&amp;"#p="&amp;SUBSTITUTE(AD156,"+","%2B")&amp;"&amp;n="&amp;AF156&amp;"&amp;m="&amp;SUBSTITUTE('Start Here'!$B$24,"{name}",AF156))</f>
        <v/>
      </c>
      <c r="AH156" s="32">
        <f>N(AH155)+W156</f>
        <v/>
      </c>
      <c r="AI156" s="32">
        <f>IF(W156=1,AH156,"")</f>
        <v/>
      </c>
    </row>
    <row r="157">
      <c r="A157" s="32">
        <f>IF(INDEX('Form Responses'!$A:$A,ROW())="","",INDEX('Form Responses'!$A:$A,ROW()))</f>
        <v/>
      </c>
      <c r="B157" s="32">
        <f>TRIM(INDEX('Form Responses'!$B:$B,ROW())&amp;"")</f>
        <v/>
      </c>
      <c r="C157" s="32">
        <f>IF(B157="","",TRIM(INDEX('Form Responses'!$C:$C,ROW())&amp;""))</f>
        <v/>
      </c>
      <c r="D157" s="32">
        <f>SUBSTITUTE(SUBSTITUTE(SUBSTITUTE(SUBSTITUTE(SUBSTITUTE(SUBSTITUTE(SUBSTITUTE(SUBSTITUTE(C157," ",""),"-",""),"(",""),")",""),".",""),"+",""),"/",""),CHAR(160),"")</f>
        <v/>
      </c>
      <c r="E157" s="32">
        <f>IF(LEN(D157)&gt;=10,RIGHT(D157,10),D157)</f>
        <v/>
      </c>
      <c r="F157" s="32">
        <f>IF(B157="","",TRIM(INDEX('Form Responses'!$D:$D,ROW())&amp;""))</f>
        <v/>
      </c>
      <c r="G157" s="32">
        <f>IF(B157="","",IF(LEFT(TRIM(INDEX('Form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7" s="32">
        <f>IF(B157="","",MAX(0,IFERROR(INT(--(INDEX('Form Responses'!$F:$F,ROW())&amp;"")),1)))</f>
        <v/>
      </c>
      <c r="I157" s="32">
        <f>IF(B157="","",MAX(0,IFERROR(INT(--(INDEX('Form Responses'!$G:$G,ROW())&amp;"")),0)))</f>
        <v/>
      </c>
      <c r="J157" s="32">
        <f>IF(B157="","",TRIM(INDEX('Form Responses'!$H:$H,ROW())&amp;""))</f>
        <v/>
      </c>
      <c r="K157" s="32">
        <f>IF(B157="","",TRIM(INDEX('Form Responses'!$I:$I,ROW())&amp;""))</f>
        <v/>
      </c>
      <c r="L157" s="32">
        <f>IF(B157="","",TRIM(INDEX('Form Responses'!$J:$J,ROW())&amp;""))</f>
        <v/>
      </c>
      <c r="M157" s="32">
        <f>IF(B157="","",TRIM(INDEX('Form Responses'!$K:$K,ROW())&amp;""))</f>
        <v/>
      </c>
      <c r="N157" s="32">
        <f>IF(B157="","",IF(E157&lt;&gt;"","P"&amp;E157,"N"&amp;B157))</f>
        <v/>
      </c>
      <c r="O157" s="32">
        <f>IF(N157="",0,IF(COUNTIF(N158:N$602,N157)=0,1,0))</f>
        <v/>
      </c>
      <c r="P157" s="32">
        <f>IF(AND(O157=1,E157&lt;&gt;""),E157,"")</f>
        <v/>
      </c>
      <c r="Q157" s="32">
        <f>IF(O157=1,B157,"")</f>
        <v/>
      </c>
      <c r="R157" s="32">
        <f>IF(O157&lt;&gt;1,"",IF(E157&lt;&gt;"",IFERROR(MATCH(E157,Guests!$S$6:$S$505,0)+5,IFERROR(MATCH(B157,Guests!$A$6:$A$505,0)+5,"")),IFERROR(MATCH(B157,Guests!$A$6:$A$505,0)+5,"")))</f>
        <v/>
      </c>
      <c r="S157" s="32">
        <f>IF(R157="","",TRIM(INDEX(Guests!$E$1:$E$505,R157)&amp;""))</f>
        <v/>
      </c>
      <c r="T157" s="32">
        <f>IF(R157="","",IF(S157="",1,COUNTIF(Guests!$E$6:$E$505,S157)))</f>
        <v/>
      </c>
      <c r="U157" s="32">
        <f>IF(R157="","",IF(S157="",1,IF(COUNTIF(S$1:S156,S157)=0,1,0)))</f>
        <v/>
      </c>
      <c r="V157" s="32">
        <f>IF(AND(R157&lt;&gt;"",G157="Attending",U157=1),MAX(0,H157+I157-T157),0)</f>
        <v/>
      </c>
      <c r="W157" s="32">
        <f>IF(AND(O157=1,R157=""),1,0)</f>
        <v/>
      </c>
      <c r="X157" s="32">
        <f>IF(B157="",0,H157+I157)</f>
        <v/>
      </c>
      <c r="Y157" s="32">
        <f>N(Y156)+O157</f>
        <v/>
      </c>
      <c r="Z157" s="32">
        <f>IF(O157=1,Y157,"")</f>
        <v/>
      </c>
      <c r="AA157" s="32">
        <f>IF(AND(W157=1,G157="Not sure yet"),1,0)</f>
        <v/>
      </c>
      <c r="AB157" s="32">
        <f>N(AB156)+AA157</f>
        <v/>
      </c>
      <c r="AC157" s="32">
        <f>IF(AA157=1,AB157,"")</f>
        <v/>
      </c>
      <c r="AD157" s="32">
        <f>IF(D157="","",IF(LEN(D157)=10,"+1"&amp;D157,IF(AND(LEN(D157)=11,LEFT(D157,1)="1"),"+"&amp;D157,IF(LEFT(C157,1)="+","+"&amp;D157,D157))))</f>
        <v/>
      </c>
      <c r="AE157" s="32">
        <f>IF(B157="","",PROPER(IFERROR(LEFT(B157,FIND(" ",B157)-1),B157)))</f>
        <v/>
      </c>
      <c r="AF157" s="32">
        <f>SUBSTITUTE(SUBSTITUTE(SUBSTITUTE(SUBSTITUTE(SUBSTITUTE(SUBSTITUTE(SUBSTITUTE(SUBSTITUTE(SUBSTITUTE(SUBSTITUTE(AE157,"%","%25"),"&amp;","%26"),"#","%23"),"+","%2B"),"=","%3D"),"?","%3F"),CHAR(34),"%22"),CHAR(10),"%0A"),CHAR(13),"")," ","+")</f>
        <v/>
      </c>
      <c r="AG157" s="32">
        <f>IF(OR(AD157="",AE157=""),"",'Start Here'!$B$20&amp;"#p="&amp;SUBSTITUTE(AD157,"+","%2B")&amp;"&amp;n="&amp;AF157&amp;"&amp;m="&amp;SUBSTITUTE('Start Here'!$B$24,"{name}",AF157))</f>
        <v/>
      </c>
      <c r="AH157" s="32">
        <f>N(AH156)+W157</f>
        <v/>
      </c>
      <c r="AI157" s="32">
        <f>IF(W157=1,AH157,"")</f>
        <v/>
      </c>
    </row>
    <row r="158">
      <c r="A158" s="32">
        <f>IF(INDEX('Form Responses'!$A:$A,ROW())="","",INDEX('Form Responses'!$A:$A,ROW()))</f>
        <v/>
      </c>
      <c r="B158" s="32">
        <f>TRIM(INDEX('Form Responses'!$B:$B,ROW())&amp;"")</f>
        <v/>
      </c>
      <c r="C158" s="32">
        <f>IF(B158="","",TRIM(INDEX('Form Responses'!$C:$C,ROW())&amp;""))</f>
        <v/>
      </c>
      <c r="D158" s="32">
        <f>SUBSTITUTE(SUBSTITUTE(SUBSTITUTE(SUBSTITUTE(SUBSTITUTE(SUBSTITUTE(SUBSTITUTE(SUBSTITUTE(C158," ",""),"-",""),"(",""),")",""),".",""),"+",""),"/",""),CHAR(160),"")</f>
        <v/>
      </c>
      <c r="E158" s="32">
        <f>IF(LEN(D158)&gt;=10,RIGHT(D158,10),D158)</f>
        <v/>
      </c>
      <c r="F158" s="32">
        <f>IF(B158="","",TRIM(INDEX('Form Responses'!$D:$D,ROW())&amp;""))</f>
        <v/>
      </c>
      <c r="G158" s="32">
        <f>IF(B158="","",IF(LEFT(TRIM(INDEX('Form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8" s="32">
        <f>IF(B158="","",MAX(0,IFERROR(INT(--(INDEX('Form Responses'!$F:$F,ROW())&amp;"")),1)))</f>
        <v/>
      </c>
      <c r="I158" s="32">
        <f>IF(B158="","",MAX(0,IFERROR(INT(--(INDEX('Form Responses'!$G:$G,ROW())&amp;"")),0)))</f>
        <v/>
      </c>
      <c r="J158" s="32">
        <f>IF(B158="","",TRIM(INDEX('Form Responses'!$H:$H,ROW())&amp;""))</f>
        <v/>
      </c>
      <c r="K158" s="32">
        <f>IF(B158="","",TRIM(INDEX('Form Responses'!$I:$I,ROW())&amp;""))</f>
        <v/>
      </c>
      <c r="L158" s="32">
        <f>IF(B158="","",TRIM(INDEX('Form Responses'!$J:$J,ROW())&amp;""))</f>
        <v/>
      </c>
      <c r="M158" s="32">
        <f>IF(B158="","",TRIM(INDEX('Form Responses'!$K:$K,ROW())&amp;""))</f>
        <v/>
      </c>
      <c r="N158" s="32">
        <f>IF(B158="","",IF(E158&lt;&gt;"","P"&amp;E158,"N"&amp;B158))</f>
        <v/>
      </c>
      <c r="O158" s="32">
        <f>IF(N158="",0,IF(COUNTIF(N159:N$602,N158)=0,1,0))</f>
        <v/>
      </c>
      <c r="P158" s="32">
        <f>IF(AND(O158=1,E158&lt;&gt;""),E158,"")</f>
        <v/>
      </c>
      <c r="Q158" s="32">
        <f>IF(O158=1,B158,"")</f>
        <v/>
      </c>
      <c r="R158" s="32">
        <f>IF(O158&lt;&gt;1,"",IF(E158&lt;&gt;"",IFERROR(MATCH(E158,Guests!$S$6:$S$505,0)+5,IFERROR(MATCH(B158,Guests!$A$6:$A$505,0)+5,"")),IFERROR(MATCH(B158,Guests!$A$6:$A$505,0)+5,"")))</f>
        <v/>
      </c>
      <c r="S158" s="32">
        <f>IF(R158="","",TRIM(INDEX(Guests!$E$1:$E$505,R158)&amp;""))</f>
        <v/>
      </c>
      <c r="T158" s="32">
        <f>IF(R158="","",IF(S158="",1,COUNTIF(Guests!$E$6:$E$505,S158)))</f>
        <v/>
      </c>
      <c r="U158" s="32">
        <f>IF(R158="","",IF(S158="",1,IF(COUNTIF(S$1:S157,S158)=0,1,0)))</f>
        <v/>
      </c>
      <c r="V158" s="32">
        <f>IF(AND(R158&lt;&gt;"",G158="Attending",U158=1),MAX(0,H158+I158-T158),0)</f>
        <v/>
      </c>
      <c r="W158" s="32">
        <f>IF(AND(O158=1,R158=""),1,0)</f>
        <v/>
      </c>
      <c r="X158" s="32">
        <f>IF(B158="",0,H158+I158)</f>
        <v/>
      </c>
      <c r="Y158" s="32">
        <f>N(Y157)+O158</f>
        <v/>
      </c>
      <c r="Z158" s="32">
        <f>IF(O158=1,Y158,"")</f>
        <v/>
      </c>
      <c r="AA158" s="32">
        <f>IF(AND(W158=1,G158="Not sure yet"),1,0)</f>
        <v/>
      </c>
      <c r="AB158" s="32">
        <f>N(AB157)+AA158</f>
        <v/>
      </c>
      <c r="AC158" s="32">
        <f>IF(AA158=1,AB158,"")</f>
        <v/>
      </c>
      <c r="AD158" s="32">
        <f>IF(D158="","",IF(LEN(D158)=10,"+1"&amp;D158,IF(AND(LEN(D158)=11,LEFT(D158,1)="1"),"+"&amp;D158,IF(LEFT(C158,1)="+","+"&amp;D158,D158))))</f>
        <v/>
      </c>
      <c r="AE158" s="32">
        <f>IF(B158="","",PROPER(IFERROR(LEFT(B158,FIND(" ",B158)-1),B158)))</f>
        <v/>
      </c>
      <c r="AF158" s="32">
        <f>SUBSTITUTE(SUBSTITUTE(SUBSTITUTE(SUBSTITUTE(SUBSTITUTE(SUBSTITUTE(SUBSTITUTE(SUBSTITUTE(SUBSTITUTE(SUBSTITUTE(AE158,"%","%25"),"&amp;","%26"),"#","%23"),"+","%2B"),"=","%3D"),"?","%3F"),CHAR(34),"%22"),CHAR(10),"%0A"),CHAR(13),"")," ","+")</f>
        <v/>
      </c>
      <c r="AG158" s="32">
        <f>IF(OR(AD158="",AE158=""),"",'Start Here'!$B$20&amp;"#p="&amp;SUBSTITUTE(AD158,"+","%2B")&amp;"&amp;n="&amp;AF158&amp;"&amp;m="&amp;SUBSTITUTE('Start Here'!$B$24,"{name}",AF158))</f>
        <v/>
      </c>
      <c r="AH158" s="32">
        <f>N(AH157)+W158</f>
        <v/>
      </c>
      <c r="AI158" s="32">
        <f>IF(W158=1,AH158,"")</f>
        <v/>
      </c>
    </row>
    <row r="159">
      <c r="A159" s="32">
        <f>IF(INDEX('Form Responses'!$A:$A,ROW())="","",INDEX('Form Responses'!$A:$A,ROW()))</f>
        <v/>
      </c>
      <c r="B159" s="32">
        <f>TRIM(INDEX('Form Responses'!$B:$B,ROW())&amp;"")</f>
        <v/>
      </c>
      <c r="C159" s="32">
        <f>IF(B159="","",TRIM(INDEX('Form Responses'!$C:$C,ROW())&amp;""))</f>
        <v/>
      </c>
      <c r="D159" s="32">
        <f>SUBSTITUTE(SUBSTITUTE(SUBSTITUTE(SUBSTITUTE(SUBSTITUTE(SUBSTITUTE(SUBSTITUTE(SUBSTITUTE(C159," ",""),"-",""),"(",""),")",""),".",""),"+",""),"/",""),CHAR(160),"")</f>
        <v/>
      </c>
      <c r="E159" s="32">
        <f>IF(LEN(D159)&gt;=10,RIGHT(D159,10),D159)</f>
        <v/>
      </c>
      <c r="F159" s="32">
        <f>IF(B159="","",TRIM(INDEX('Form Responses'!$D:$D,ROW())&amp;""))</f>
        <v/>
      </c>
      <c r="G159" s="32">
        <f>IF(B159="","",IF(LEFT(TRIM(INDEX('Form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59" s="32">
        <f>IF(B159="","",MAX(0,IFERROR(INT(--(INDEX('Form Responses'!$F:$F,ROW())&amp;"")),1)))</f>
        <v/>
      </c>
      <c r="I159" s="32">
        <f>IF(B159="","",MAX(0,IFERROR(INT(--(INDEX('Form Responses'!$G:$G,ROW())&amp;"")),0)))</f>
        <v/>
      </c>
      <c r="J159" s="32">
        <f>IF(B159="","",TRIM(INDEX('Form Responses'!$H:$H,ROW())&amp;""))</f>
        <v/>
      </c>
      <c r="K159" s="32">
        <f>IF(B159="","",TRIM(INDEX('Form Responses'!$I:$I,ROW())&amp;""))</f>
        <v/>
      </c>
      <c r="L159" s="32">
        <f>IF(B159="","",TRIM(INDEX('Form Responses'!$J:$J,ROW())&amp;""))</f>
        <v/>
      </c>
      <c r="M159" s="32">
        <f>IF(B159="","",TRIM(INDEX('Form Responses'!$K:$K,ROW())&amp;""))</f>
        <v/>
      </c>
      <c r="N159" s="32">
        <f>IF(B159="","",IF(E159&lt;&gt;"","P"&amp;E159,"N"&amp;B159))</f>
        <v/>
      </c>
      <c r="O159" s="32">
        <f>IF(N159="",0,IF(COUNTIF(N160:N$602,N159)=0,1,0))</f>
        <v/>
      </c>
      <c r="P159" s="32">
        <f>IF(AND(O159=1,E159&lt;&gt;""),E159,"")</f>
        <v/>
      </c>
      <c r="Q159" s="32">
        <f>IF(O159=1,B159,"")</f>
        <v/>
      </c>
      <c r="R159" s="32">
        <f>IF(O159&lt;&gt;1,"",IF(E159&lt;&gt;"",IFERROR(MATCH(E159,Guests!$S$6:$S$505,0)+5,IFERROR(MATCH(B159,Guests!$A$6:$A$505,0)+5,"")),IFERROR(MATCH(B159,Guests!$A$6:$A$505,0)+5,"")))</f>
        <v/>
      </c>
      <c r="S159" s="32">
        <f>IF(R159="","",TRIM(INDEX(Guests!$E$1:$E$505,R159)&amp;""))</f>
        <v/>
      </c>
      <c r="T159" s="32">
        <f>IF(R159="","",IF(S159="",1,COUNTIF(Guests!$E$6:$E$505,S159)))</f>
        <v/>
      </c>
      <c r="U159" s="32">
        <f>IF(R159="","",IF(S159="",1,IF(COUNTIF(S$1:S158,S159)=0,1,0)))</f>
        <v/>
      </c>
      <c r="V159" s="32">
        <f>IF(AND(R159&lt;&gt;"",G159="Attending",U159=1),MAX(0,H159+I159-T159),0)</f>
        <v/>
      </c>
      <c r="W159" s="32">
        <f>IF(AND(O159=1,R159=""),1,0)</f>
        <v/>
      </c>
      <c r="X159" s="32">
        <f>IF(B159="",0,H159+I159)</f>
        <v/>
      </c>
      <c r="Y159" s="32">
        <f>N(Y158)+O159</f>
        <v/>
      </c>
      <c r="Z159" s="32">
        <f>IF(O159=1,Y159,"")</f>
        <v/>
      </c>
      <c r="AA159" s="32">
        <f>IF(AND(W159=1,G159="Not sure yet"),1,0)</f>
        <v/>
      </c>
      <c r="AB159" s="32">
        <f>N(AB158)+AA159</f>
        <v/>
      </c>
      <c r="AC159" s="32">
        <f>IF(AA159=1,AB159,"")</f>
        <v/>
      </c>
      <c r="AD159" s="32">
        <f>IF(D159="","",IF(LEN(D159)=10,"+1"&amp;D159,IF(AND(LEN(D159)=11,LEFT(D159,1)="1"),"+"&amp;D159,IF(LEFT(C159,1)="+","+"&amp;D159,D159))))</f>
        <v/>
      </c>
      <c r="AE159" s="32">
        <f>IF(B159="","",PROPER(IFERROR(LEFT(B159,FIND(" ",B159)-1),B159)))</f>
        <v/>
      </c>
      <c r="AF159" s="32">
        <f>SUBSTITUTE(SUBSTITUTE(SUBSTITUTE(SUBSTITUTE(SUBSTITUTE(SUBSTITUTE(SUBSTITUTE(SUBSTITUTE(SUBSTITUTE(SUBSTITUTE(AE159,"%","%25"),"&amp;","%26"),"#","%23"),"+","%2B"),"=","%3D"),"?","%3F"),CHAR(34),"%22"),CHAR(10),"%0A"),CHAR(13),"")," ","+")</f>
        <v/>
      </c>
      <c r="AG159" s="32">
        <f>IF(OR(AD159="",AE159=""),"",'Start Here'!$B$20&amp;"#p="&amp;SUBSTITUTE(AD159,"+","%2B")&amp;"&amp;n="&amp;AF159&amp;"&amp;m="&amp;SUBSTITUTE('Start Here'!$B$24,"{name}",AF159))</f>
        <v/>
      </c>
      <c r="AH159" s="32">
        <f>N(AH158)+W159</f>
        <v/>
      </c>
      <c r="AI159" s="32">
        <f>IF(W159=1,AH159,"")</f>
        <v/>
      </c>
    </row>
    <row r="160">
      <c r="A160" s="32">
        <f>IF(INDEX('Form Responses'!$A:$A,ROW())="","",INDEX('Form Responses'!$A:$A,ROW()))</f>
        <v/>
      </c>
      <c r="B160" s="32">
        <f>TRIM(INDEX('Form Responses'!$B:$B,ROW())&amp;"")</f>
        <v/>
      </c>
      <c r="C160" s="32">
        <f>IF(B160="","",TRIM(INDEX('Form Responses'!$C:$C,ROW())&amp;""))</f>
        <v/>
      </c>
      <c r="D160" s="32">
        <f>SUBSTITUTE(SUBSTITUTE(SUBSTITUTE(SUBSTITUTE(SUBSTITUTE(SUBSTITUTE(SUBSTITUTE(SUBSTITUTE(C160," ",""),"-",""),"(",""),")",""),".",""),"+",""),"/",""),CHAR(160),"")</f>
        <v/>
      </c>
      <c r="E160" s="32">
        <f>IF(LEN(D160)&gt;=10,RIGHT(D160,10),D160)</f>
        <v/>
      </c>
      <c r="F160" s="32">
        <f>IF(B160="","",TRIM(INDEX('Form Responses'!$D:$D,ROW())&amp;""))</f>
        <v/>
      </c>
      <c r="G160" s="32">
        <f>IF(B160="","",IF(LEFT(TRIM(INDEX('Form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0" s="32">
        <f>IF(B160="","",MAX(0,IFERROR(INT(--(INDEX('Form Responses'!$F:$F,ROW())&amp;"")),1)))</f>
        <v/>
      </c>
      <c r="I160" s="32">
        <f>IF(B160="","",MAX(0,IFERROR(INT(--(INDEX('Form Responses'!$G:$G,ROW())&amp;"")),0)))</f>
        <v/>
      </c>
      <c r="J160" s="32">
        <f>IF(B160="","",TRIM(INDEX('Form Responses'!$H:$H,ROW())&amp;""))</f>
        <v/>
      </c>
      <c r="K160" s="32">
        <f>IF(B160="","",TRIM(INDEX('Form Responses'!$I:$I,ROW())&amp;""))</f>
        <v/>
      </c>
      <c r="L160" s="32">
        <f>IF(B160="","",TRIM(INDEX('Form Responses'!$J:$J,ROW())&amp;""))</f>
        <v/>
      </c>
      <c r="M160" s="32">
        <f>IF(B160="","",TRIM(INDEX('Form Responses'!$K:$K,ROW())&amp;""))</f>
        <v/>
      </c>
      <c r="N160" s="32">
        <f>IF(B160="","",IF(E160&lt;&gt;"","P"&amp;E160,"N"&amp;B160))</f>
        <v/>
      </c>
      <c r="O160" s="32">
        <f>IF(N160="",0,IF(COUNTIF(N161:N$602,N160)=0,1,0))</f>
        <v/>
      </c>
      <c r="P160" s="32">
        <f>IF(AND(O160=1,E160&lt;&gt;""),E160,"")</f>
        <v/>
      </c>
      <c r="Q160" s="32">
        <f>IF(O160=1,B160,"")</f>
        <v/>
      </c>
      <c r="R160" s="32">
        <f>IF(O160&lt;&gt;1,"",IF(E160&lt;&gt;"",IFERROR(MATCH(E160,Guests!$S$6:$S$505,0)+5,IFERROR(MATCH(B160,Guests!$A$6:$A$505,0)+5,"")),IFERROR(MATCH(B160,Guests!$A$6:$A$505,0)+5,"")))</f>
        <v/>
      </c>
      <c r="S160" s="32">
        <f>IF(R160="","",TRIM(INDEX(Guests!$E$1:$E$505,R160)&amp;""))</f>
        <v/>
      </c>
      <c r="T160" s="32">
        <f>IF(R160="","",IF(S160="",1,COUNTIF(Guests!$E$6:$E$505,S160)))</f>
        <v/>
      </c>
      <c r="U160" s="32">
        <f>IF(R160="","",IF(S160="",1,IF(COUNTIF(S$1:S159,S160)=0,1,0)))</f>
        <v/>
      </c>
      <c r="V160" s="32">
        <f>IF(AND(R160&lt;&gt;"",G160="Attending",U160=1),MAX(0,H160+I160-T160),0)</f>
        <v/>
      </c>
      <c r="W160" s="32">
        <f>IF(AND(O160=1,R160=""),1,0)</f>
        <v/>
      </c>
      <c r="X160" s="32">
        <f>IF(B160="",0,H160+I160)</f>
        <v/>
      </c>
      <c r="Y160" s="32">
        <f>N(Y159)+O160</f>
        <v/>
      </c>
      <c r="Z160" s="32">
        <f>IF(O160=1,Y160,"")</f>
        <v/>
      </c>
      <c r="AA160" s="32">
        <f>IF(AND(W160=1,G160="Not sure yet"),1,0)</f>
        <v/>
      </c>
      <c r="AB160" s="32">
        <f>N(AB159)+AA160</f>
        <v/>
      </c>
      <c r="AC160" s="32">
        <f>IF(AA160=1,AB160,"")</f>
        <v/>
      </c>
      <c r="AD160" s="32">
        <f>IF(D160="","",IF(LEN(D160)=10,"+1"&amp;D160,IF(AND(LEN(D160)=11,LEFT(D160,1)="1"),"+"&amp;D160,IF(LEFT(C160,1)="+","+"&amp;D160,D160))))</f>
        <v/>
      </c>
      <c r="AE160" s="32">
        <f>IF(B160="","",PROPER(IFERROR(LEFT(B160,FIND(" ",B160)-1),B160)))</f>
        <v/>
      </c>
      <c r="AF160" s="32">
        <f>SUBSTITUTE(SUBSTITUTE(SUBSTITUTE(SUBSTITUTE(SUBSTITUTE(SUBSTITUTE(SUBSTITUTE(SUBSTITUTE(SUBSTITUTE(SUBSTITUTE(AE160,"%","%25"),"&amp;","%26"),"#","%23"),"+","%2B"),"=","%3D"),"?","%3F"),CHAR(34),"%22"),CHAR(10),"%0A"),CHAR(13),"")," ","+")</f>
        <v/>
      </c>
      <c r="AG160" s="32">
        <f>IF(OR(AD160="",AE160=""),"",'Start Here'!$B$20&amp;"#p="&amp;SUBSTITUTE(AD160,"+","%2B")&amp;"&amp;n="&amp;AF160&amp;"&amp;m="&amp;SUBSTITUTE('Start Here'!$B$24,"{name}",AF160))</f>
        <v/>
      </c>
      <c r="AH160" s="32">
        <f>N(AH159)+W160</f>
        <v/>
      </c>
      <c r="AI160" s="32">
        <f>IF(W160=1,AH160,"")</f>
        <v/>
      </c>
    </row>
    <row r="161">
      <c r="A161" s="32">
        <f>IF(INDEX('Form Responses'!$A:$A,ROW())="","",INDEX('Form Responses'!$A:$A,ROW()))</f>
        <v/>
      </c>
      <c r="B161" s="32">
        <f>TRIM(INDEX('Form Responses'!$B:$B,ROW())&amp;"")</f>
        <v/>
      </c>
      <c r="C161" s="32">
        <f>IF(B161="","",TRIM(INDEX('Form Responses'!$C:$C,ROW())&amp;""))</f>
        <v/>
      </c>
      <c r="D161" s="32">
        <f>SUBSTITUTE(SUBSTITUTE(SUBSTITUTE(SUBSTITUTE(SUBSTITUTE(SUBSTITUTE(SUBSTITUTE(SUBSTITUTE(C161," ",""),"-",""),"(",""),")",""),".",""),"+",""),"/",""),CHAR(160),"")</f>
        <v/>
      </c>
      <c r="E161" s="32">
        <f>IF(LEN(D161)&gt;=10,RIGHT(D161,10),D161)</f>
        <v/>
      </c>
      <c r="F161" s="32">
        <f>IF(B161="","",TRIM(INDEX('Form Responses'!$D:$D,ROW())&amp;""))</f>
        <v/>
      </c>
      <c r="G161" s="32">
        <f>IF(B161="","",IF(LEFT(TRIM(INDEX('Form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1" s="32">
        <f>IF(B161="","",MAX(0,IFERROR(INT(--(INDEX('Form Responses'!$F:$F,ROW())&amp;"")),1)))</f>
        <v/>
      </c>
      <c r="I161" s="32">
        <f>IF(B161="","",MAX(0,IFERROR(INT(--(INDEX('Form Responses'!$G:$G,ROW())&amp;"")),0)))</f>
        <v/>
      </c>
      <c r="J161" s="32">
        <f>IF(B161="","",TRIM(INDEX('Form Responses'!$H:$H,ROW())&amp;""))</f>
        <v/>
      </c>
      <c r="K161" s="32">
        <f>IF(B161="","",TRIM(INDEX('Form Responses'!$I:$I,ROW())&amp;""))</f>
        <v/>
      </c>
      <c r="L161" s="32">
        <f>IF(B161="","",TRIM(INDEX('Form Responses'!$J:$J,ROW())&amp;""))</f>
        <v/>
      </c>
      <c r="M161" s="32">
        <f>IF(B161="","",TRIM(INDEX('Form Responses'!$K:$K,ROW())&amp;""))</f>
        <v/>
      </c>
      <c r="N161" s="32">
        <f>IF(B161="","",IF(E161&lt;&gt;"","P"&amp;E161,"N"&amp;B161))</f>
        <v/>
      </c>
      <c r="O161" s="32">
        <f>IF(N161="",0,IF(COUNTIF(N162:N$602,N161)=0,1,0))</f>
        <v/>
      </c>
      <c r="P161" s="32">
        <f>IF(AND(O161=1,E161&lt;&gt;""),E161,"")</f>
        <v/>
      </c>
      <c r="Q161" s="32">
        <f>IF(O161=1,B161,"")</f>
        <v/>
      </c>
      <c r="R161" s="32">
        <f>IF(O161&lt;&gt;1,"",IF(E161&lt;&gt;"",IFERROR(MATCH(E161,Guests!$S$6:$S$505,0)+5,IFERROR(MATCH(B161,Guests!$A$6:$A$505,0)+5,"")),IFERROR(MATCH(B161,Guests!$A$6:$A$505,0)+5,"")))</f>
        <v/>
      </c>
      <c r="S161" s="32">
        <f>IF(R161="","",TRIM(INDEX(Guests!$E$1:$E$505,R161)&amp;""))</f>
        <v/>
      </c>
      <c r="T161" s="32">
        <f>IF(R161="","",IF(S161="",1,COUNTIF(Guests!$E$6:$E$505,S161)))</f>
        <v/>
      </c>
      <c r="U161" s="32">
        <f>IF(R161="","",IF(S161="",1,IF(COUNTIF(S$1:S160,S161)=0,1,0)))</f>
        <v/>
      </c>
      <c r="V161" s="32">
        <f>IF(AND(R161&lt;&gt;"",G161="Attending",U161=1),MAX(0,H161+I161-T161),0)</f>
        <v/>
      </c>
      <c r="W161" s="32">
        <f>IF(AND(O161=1,R161=""),1,0)</f>
        <v/>
      </c>
      <c r="X161" s="32">
        <f>IF(B161="",0,H161+I161)</f>
        <v/>
      </c>
      <c r="Y161" s="32">
        <f>N(Y160)+O161</f>
        <v/>
      </c>
      <c r="Z161" s="32">
        <f>IF(O161=1,Y161,"")</f>
        <v/>
      </c>
      <c r="AA161" s="32">
        <f>IF(AND(W161=1,G161="Not sure yet"),1,0)</f>
        <v/>
      </c>
      <c r="AB161" s="32">
        <f>N(AB160)+AA161</f>
        <v/>
      </c>
      <c r="AC161" s="32">
        <f>IF(AA161=1,AB161,"")</f>
        <v/>
      </c>
      <c r="AD161" s="32">
        <f>IF(D161="","",IF(LEN(D161)=10,"+1"&amp;D161,IF(AND(LEN(D161)=11,LEFT(D161,1)="1"),"+"&amp;D161,IF(LEFT(C161,1)="+","+"&amp;D161,D161))))</f>
        <v/>
      </c>
      <c r="AE161" s="32">
        <f>IF(B161="","",PROPER(IFERROR(LEFT(B161,FIND(" ",B161)-1),B161)))</f>
        <v/>
      </c>
      <c r="AF161" s="32">
        <f>SUBSTITUTE(SUBSTITUTE(SUBSTITUTE(SUBSTITUTE(SUBSTITUTE(SUBSTITUTE(SUBSTITUTE(SUBSTITUTE(SUBSTITUTE(SUBSTITUTE(AE161,"%","%25"),"&amp;","%26"),"#","%23"),"+","%2B"),"=","%3D"),"?","%3F"),CHAR(34),"%22"),CHAR(10),"%0A"),CHAR(13),"")," ","+")</f>
        <v/>
      </c>
      <c r="AG161" s="32">
        <f>IF(OR(AD161="",AE161=""),"",'Start Here'!$B$20&amp;"#p="&amp;SUBSTITUTE(AD161,"+","%2B")&amp;"&amp;n="&amp;AF161&amp;"&amp;m="&amp;SUBSTITUTE('Start Here'!$B$24,"{name}",AF161))</f>
        <v/>
      </c>
      <c r="AH161" s="32">
        <f>N(AH160)+W161</f>
        <v/>
      </c>
      <c r="AI161" s="32">
        <f>IF(W161=1,AH161,"")</f>
        <v/>
      </c>
    </row>
    <row r="162">
      <c r="A162" s="32">
        <f>IF(INDEX('Form Responses'!$A:$A,ROW())="","",INDEX('Form Responses'!$A:$A,ROW()))</f>
        <v/>
      </c>
      <c r="B162" s="32">
        <f>TRIM(INDEX('Form Responses'!$B:$B,ROW())&amp;"")</f>
        <v/>
      </c>
      <c r="C162" s="32">
        <f>IF(B162="","",TRIM(INDEX('Form Responses'!$C:$C,ROW())&amp;""))</f>
        <v/>
      </c>
      <c r="D162" s="32">
        <f>SUBSTITUTE(SUBSTITUTE(SUBSTITUTE(SUBSTITUTE(SUBSTITUTE(SUBSTITUTE(SUBSTITUTE(SUBSTITUTE(C162," ",""),"-",""),"(",""),")",""),".",""),"+",""),"/",""),CHAR(160),"")</f>
        <v/>
      </c>
      <c r="E162" s="32">
        <f>IF(LEN(D162)&gt;=10,RIGHT(D162,10),D162)</f>
        <v/>
      </c>
      <c r="F162" s="32">
        <f>IF(B162="","",TRIM(INDEX('Form Responses'!$D:$D,ROW())&amp;""))</f>
        <v/>
      </c>
      <c r="G162" s="32">
        <f>IF(B162="","",IF(LEFT(TRIM(INDEX('Form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2" s="32">
        <f>IF(B162="","",MAX(0,IFERROR(INT(--(INDEX('Form Responses'!$F:$F,ROW())&amp;"")),1)))</f>
        <v/>
      </c>
      <c r="I162" s="32">
        <f>IF(B162="","",MAX(0,IFERROR(INT(--(INDEX('Form Responses'!$G:$G,ROW())&amp;"")),0)))</f>
        <v/>
      </c>
      <c r="J162" s="32">
        <f>IF(B162="","",TRIM(INDEX('Form Responses'!$H:$H,ROW())&amp;""))</f>
        <v/>
      </c>
      <c r="K162" s="32">
        <f>IF(B162="","",TRIM(INDEX('Form Responses'!$I:$I,ROW())&amp;""))</f>
        <v/>
      </c>
      <c r="L162" s="32">
        <f>IF(B162="","",TRIM(INDEX('Form Responses'!$J:$J,ROW())&amp;""))</f>
        <v/>
      </c>
      <c r="M162" s="32">
        <f>IF(B162="","",TRIM(INDEX('Form Responses'!$K:$K,ROW())&amp;""))</f>
        <v/>
      </c>
      <c r="N162" s="32">
        <f>IF(B162="","",IF(E162&lt;&gt;"","P"&amp;E162,"N"&amp;B162))</f>
        <v/>
      </c>
      <c r="O162" s="32">
        <f>IF(N162="",0,IF(COUNTIF(N163:N$602,N162)=0,1,0))</f>
        <v/>
      </c>
      <c r="P162" s="32">
        <f>IF(AND(O162=1,E162&lt;&gt;""),E162,"")</f>
        <v/>
      </c>
      <c r="Q162" s="32">
        <f>IF(O162=1,B162,"")</f>
        <v/>
      </c>
      <c r="R162" s="32">
        <f>IF(O162&lt;&gt;1,"",IF(E162&lt;&gt;"",IFERROR(MATCH(E162,Guests!$S$6:$S$505,0)+5,IFERROR(MATCH(B162,Guests!$A$6:$A$505,0)+5,"")),IFERROR(MATCH(B162,Guests!$A$6:$A$505,0)+5,"")))</f>
        <v/>
      </c>
      <c r="S162" s="32">
        <f>IF(R162="","",TRIM(INDEX(Guests!$E$1:$E$505,R162)&amp;""))</f>
        <v/>
      </c>
      <c r="T162" s="32">
        <f>IF(R162="","",IF(S162="",1,COUNTIF(Guests!$E$6:$E$505,S162)))</f>
        <v/>
      </c>
      <c r="U162" s="32">
        <f>IF(R162="","",IF(S162="",1,IF(COUNTIF(S$1:S161,S162)=0,1,0)))</f>
        <v/>
      </c>
      <c r="V162" s="32">
        <f>IF(AND(R162&lt;&gt;"",G162="Attending",U162=1),MAX(0,H162+I162-T162),0)</f>
        <v/>
      </c>
      <c r="W162" s="32">
        <f>IF(AND(O162=1,R162=""),1,0)</f>
        <v/>
      </c>
      <c r="X162" s="32">
        <f>IF(B162="",0,H162+I162)</f>
        <v/>
      </c>
      <c r="Y162" s="32">
        <f>N(Y161)+O162</f>
        <v/>
      </c>
      <c r="Z162" s="32">
        <f>IF(O162=1,Y162,"")</f>
        <v/>
      </c>
      <c r="AA162" s="32">
        <f>IF(AND(W162=1,G162="Not sure yet"),1,0)</f>
        <v/>
      </c>
      <c r="AB162" s="32">
        <f>N(AB161)+AA162</f>
        <v/>
      </c>
      <c r="AC162" s="32">
        <f>IF(AA162=1,AB162,"")</f>
        <v/>
      </c>
      <c r="AD162" s="32">
        <f>IF(D162="","",IF(LEN(D162)=10,"+1"&amp;D162,IF(AND(LEN(D162)=11,LEFT(D162,1)="1"),"+"&amp;D162,IF(LEFT(C162,1)="+","+"&amp;D162,D162))))</f>
        <v/>
      </c>
      <c r="AE162" s="32">
        <f>IF(B162="","",PROPER(IFERROR(LEFT(B162,FIND(" ",B162)-1),B162)))</f>
        <v/>
      </c>
      <c r="AF162" s="32">
        <f>SUBSTITUTE(SUBSTITUTE(SUBSTITUTE(SUBSTITUTE(SUBSTITUTE(SUBSTITUTE(SUBSTITUTE(SUBSTITUTE(SUBSTITUTE(SUBSTITUTE(AE162,"%","%25"),"&amp;","%26"),"#","%23"),"+","%2B"),"=","%3D"),"?","%3F"),CHAR(34),"%22"),CHAR(10),"%0A"),CHAR(13),"")," ","+")</f>
        <v/>
      </c>
      <c r="AG162" s="32">
        <f>IF(OR(AD162="",AE162=""),"",'Start Here'!$B$20&amp;"#p="&amp;SUBSTITUTE(AD162,"+","%2B")&amp;"&amp;n="&amp;AF162&amp;"&amp;m="&amp;SUBSTITUTE('Start Here'!$B$24,"{name}",AF162))</f>
        <v/>
      </c>
      <c r="AH162" s="32">
        <f>N(AH161)+W162</f>
        <v/>
      </c>
      <c r="AI162" s="32">
        <f>IF(W162=1,AH162,"")</f>
        <v/>
      </c>
    </row>
    <row r="163">
      <c r="A163" s="32">
        <f>IF(INDEX('Form Responses'!$A:$A,ROW())="","",INDEX('Form Responses'!$A:$A,ROW()))</f>
        <v/>
      </c>
      <c r="B163" s="32">
        <f>TRIM(INDEX('Form Responses'!$B:$B,ROW())&amp;"")</f>
        <v/>
      </c>
      <c r="C163" s="32">
        <f>IF(B163="","",TRIM(INDEX('Form Responses'!$C:$C,ROW())&amp;""))</f>
        <v/>
      </c>
      <c r="D163" s="32">
        <f>SUBSTITUTE(SUBSTITUTE(SUBSTITUTE(SUBSTITUTE(SUBSTITUTE(SUBSTITUTE(SUBSTITUTE(SUBSTITUTE(C163," ",""),"-",""),"(",""),")",""),".",""),"+",""),"/",""),CHAR(160),"")</f>
        <v/>
      </c>
      <c r="E163" s="32">
        <f>IF(LEN(D163)&gt;=10,RIGHT(D163,10),D163)</f>
        <v/>
      </c>
      <c r="F163" s="32">
        <f>IF(B163="","",TRIM(INDEX('Form Responses'!$D:$D,ROW())&amp;""))</f>
        <v/>
      </c>
      <c r="G163" s="32">
        <f>IF(B163="","",IF(LEFT(TRIM(INDEX('Form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3" s="32">
        <f>IF(B163="","",MAX(0,IFERROR(INT(--(INDEX('Form Responses'!$F:$F,ROW())&amp;"")),1)))</f>
        <v/>
      </c>
      <c r="I163" s="32">
        <f>IF(B163="","",MAX(0,IFERROR(INT(--(INDEX('Form Responses'!$G:$G,ROW())&amp;"")),0)))</f>
        <v/>
      </c>
      <c r="J163" s="32">
        <f>IF(B163="","",TRIM(INDEX('Form Responses'!$H:$H,ROW())&amp;""))</f>
        <v/>
      </c>
      <c r="K163" s="32">
        <f>IF(B163="","",TRIM(INDEX('Form Responses'!$I:$I,ROW())&amp;""))</f>
        <v/>
      </c>
      <c r="L163" s="32">
        <f>IF(B163="","",TRIM(INDEX('Form Responses'!$J:$J,ROW())&amp;""))</f>
        <v/>
      </c>
      <c r="M163" s="32">
        <f>IF(B163="","",TRIM(INDEX('Form Responses'!$K:$K,ROW())&amp;""))</f>
        <v/>
      </c>
      <c r="N163" s="32">
        <f>IF(B163="","",IF(E163&lt;&gt;"","P"&amp;E163,"N"&amp;B163))</f>
        <v/>
      </c>
      <c r="O163" s="32">
        <f>IF(N163="",0,IF(COUNTIF(N164:N$602,N163)=0,1,0))</f>
        <v/>
      </c>
      <c r="P163" s="32">
        <f>IF(AND(O163=1,E163&lt;&gt;""),E163,"")</f>
        <v/>
      </c>
      <c r="Q163" s="32">
        <f>IF(O163=1,B163,"")</f>
        <v/>
      </c>
      <c r="R163" s="32">
        <f>IF(O163&lt;&gt;1,"",IF(E163&lt;&gt;"",IFERROR(MATCH(E163,Guests!$S$6:$S$505,0)+5,IFERROR(MATCH(B163,Guests!$A$6:$A$505,0)+5,"")),IFERROR(MATCH(B163,Guests!$A$6:$A$505,0)+5,"")))</f>
        <v/>
      </c>
      <c r="S163" s="32">
        <f>IF(R163="","",TRIM(INDEX(Guests!$E$1:$E$505,R163)&amp;""))</f>
        <v/>
      </c>
      <c r="T163" s="32">
        <f>IF(R163="","",IF(S163="",1,COUNTIF(Guests!$E$6:$E$505,S163)))</f>
        <v/>
      </c>
      <c r="U163" s="32">
        <f>IF(R163="","",IF(S163="",1,IF(COUNTIF(S$1:S162,S163)=0,1,0)))</f>
        <v/>
      </c>
      <c r="V163" s="32">
        <f>IF(AND(R163&lt;&gt;"",G163="Attending",U163=1),MAX(0,H163+I163-T163),0)</f>
        <v/>
      </c>
      <c r="W163" s="32">
        <f>IF(AND(O163=1,R163=""),1,0)</f>
        <v/>
      </c>
      <c r="X163" s="32">
        <f>IF(B163="",0,H163+I163)</f>
        <v/>
      </c>
      <c r="Y163" s="32">
        <f>N(Y162)+O163</f>
        <v/>
      </c>
      <c r="Z163" s="32">
        <f>IF(O163=1,Y163,"")</f>
        <v/>
      </c>
      <c r="AA163" s="32">
        <f>IF(AND(W163=1,G163="Not sure yet"),1,0)</f>
        <v/>
      </c>
      <c r="AB163" s="32">
        <f>N(AB162)+AA163</f>
        <v/>
      </c>
      <c r="AC163" s="32">
        <f>IF(AA163=1,AB163,"")</f>
        <v/>
      </c>
      <c r="AD163" s="32">
        <f>IF(D163="","",IF(LEN(D163)=10,"+1"&amp;D163,IF(AND(LEN(D163)=11,LEFT(D163,1)="1"),"+"&amp;D163,IF(LEFT(C163,1)="+","+"&amp;D163,D163))))</f>
        <v/>
      </c>
      <c r="AE163" s="32">
        <f>IF(B163="","",PROPER(IFERROR(LEFT(B163,FIND(" ",B163)-1),B163)))</f>
        <v/>
      </c>
      <c r="AF163" s="32">
        <f>SUBSTITUTE(SUBSTITUTE(SUBSTITUTE(SUBSTITUTE(SUBSTITUTE(SUBSTITUTE(SUBSTITUTE(SUBSTITUTE(SUBSTITUTE(SUBSTITUTE(AE163,"%","%25"),"&amp;","%26"),"#","%23"),"+","%2B"),"=","%3D"),"?","%3F"),CHAR(34),"%22"),CHAR(10),"%0A"),CHAR(13),"")," ","+")</f>
        <v/>
      </c>
      <c r="AG163" s="32">
        <f>IF(OR(AD163="",AE163=""),"",'Start Here'!$B$20&amp;"#p="&amp;SUBSTITUTE(AD163,"+","%2B")&amp;"&amp;n="&amp;AF163&amp;"&amp;m="&amp;SUBSTITUTE('Start Here'!$B$24,"{name}",AF163))</f>
        <v/>
      </c>
      <c r="AH163" s="32">
        <f>N(AH162)+W163</f>
        <v/>
      </c>
      <c r="AI163" s="32">
        <f>IF(W163=1,AH163,"")</f>
        <v/>
      </c>
    </row>
    <row r="164">
      <c r="A164" s="32">
        <f>IF(INDEX('Form Responses'!$A:$A,ROW())="","",INDEX('Form Responses'!$A:$A,ROW()))</f>
        <v/>
      </c>
      <c r="B164" s="32">
        <f>TRIM(INDEX('Form Responses'!$B:$B,ROW())&amp;"")</f>
        <v/>
      </c>
      <c r="C164" s="32">
        <f>IF(B164="","",TRIM(INDEX('Form Responses'!$C:$C,ROW())&amp;""))</f>
        <v/>
      </c>
      <c r="D164" s="32">
        <f>SUBSTITUTE(SUBSTITUTE(SUBSTITUTE(SUBSTITUTE(SUBSTITUTE(SUBSTITUTE(SUBSTITUTE(SUBSTITUTE(C164," ",""),"-",""),"(",""),")",""),".",""),"+",""),"/",""),CHAR(160),"")</f>
        <v/>
      </c>
      <c r="E164" s="32">
        <f>IF(LEN(D164)&gt;=10,RIGHT(D164,10),D164)</f>
        <v/>
      </c>
      <c r="F164" s="32">
        <f>IF(B164="","",TRIM(INDEX('Form Responses'!$D:$D,ROW())&amp;""))</f>
        <v/>
      </c>
      <c r="G164" s="32">
        <f>IF(B164="","",IF(LEFT(TRIM(INDEX('Form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4" s="32">
        <f>IF(B164="","",MAX(0,IFERROR(INT(--(INDEX('Form Responses'!$F:$F,ROW())&amp;"")),1)))</f>
        <v/>
      </c>
      <c r="I164" s="32">
        <f>IF(B164="","",MAX(0,IFERROR(INT(--(INDEX('Form Responses'!$G:$G,ROW())&amp;"")),0)))</f>
        <v/>
      </c>
      <c r="J164" s="32">
        <f>IF(B164="","",TRIM(INDEX('Form Responses'!$H:$H,ROW())&amp;""))</f>
        <v/>
      </c>
      <c r="K164" s="32">
        <f>IF(B164="","",TRIM(INDEX('Form Responses'!$I:$I,ROW())&amp;""))</f>
        <v/>
      </c>
      <c r="L164" s="32">
        <f>IF(B164="","",TRIM(INDEX('Form Responses'!$J:$J,ROW())&amp;""))</f>
        <v/>
      </c>
      <c r="M164" s="32">
        <f>IF(B164="","",TRIM(INDEX('Form Responses'!$K:$K,ROW())&amp;""))</f>
        <v/>
      </c>
      <c r="N164" s="32">
        <f>IF(B164="","",IF(E164&lt;&gt;"","P"&amp;E164,"N"&amp;B164))</f>
        <v/>
      </c>
      <c r="O164" s="32">
        <f>IF(N164="",0,IF(COUNTIF(N165:N$602,N164)=0,1,0))</f>
        <v/>
      </c>
      <c r="P164" s="32">
        <f>IF(AND(O164=1,E164&lt;&gt;""),E164,"")</f>
        <v/>
      </c>
      <c r="Q164" s="32">
        <f>IF(O164=1,B164,"")</f>
        <v/>
      </c>
      <c r="R164" s="32">
        <f>IF(O164&lt;&gt;1,"",IF(E164&lt;&gt;"",IFERROR(MATCH(E164,Guests!$S$6:$S$505,0)+5,IFERROR(MATCH(B164,Guests!$A$6:$A$505,0)+5,"")),IFERROR(MATCH(B164,Guests!$A$6:$A$505,0)+5,"")))</f>
        <v/>
      </c>
      <c r="S164" s="32">
        <f>IF(R164="","",TRIM(INDEX(Guests!$E$1:$E$505,R164)&amp;""))</f>
        <v/>
      </c>
      <c r="T164" s="32">
        <f>IF(R164="","",IF(S164="",1,COUNTIF(Guests!$E$6:$E$505,S164)))</f>
        <v/>
      </c>
      <c r="U164" s="32">
        <f>IF(R164="","",IF(S164="",1,IF(COUNTIF(S$1:S163,S164)=0,1,0)))</f>
        <v/>
      </c>
      <c r="V164" s="32">
        <f>IF(AND(R164&lt;&gt;"",G164="Attending",U164=1),MAX(0,H164+I164-T164),0)</f>
        <v/>
      </c>
      <c r="W164" s="32">
        <f>IF(AND(O164=1,R164=""),1,0)</f>
        <v/>
      </c>
      <c r="X164" s="32">
        <f>IF(B164="",0,H164+I164)</f>
        <v/>
      </c>
      <c r="Y164" s="32">
        <f>N(Y163)+O164</f>
        <v/>
      </c>
      <c r="Z164" s="32">
        <f>IF(O164=1,Y164,"")</f>
        <v/>
      </c>
      <c r="AA164" s="32">
        <f>IF(AND(W164=1,G164="Not sure yet"),1,0)</f>
        <v/>
      </c>
      <c r="AB164" s="32">
        <f>N(AB163)+AA164</f>
        <v/>
      </c>
      <c r="AC164" s="32">
        <f>IF(AA164=1,AB164,"")</f>
        <v/>
      </c>
      <c r="AD164" s="32">
        <f>IF(D164="","",IF(LEN(D164)=10,"+1"&amp;D164,IF(AND(LEN(D164)=11,LEFT(D164,1)="1"),"+"&amp;D164,IF(LEFT(C164,1)="+","+"&amp;D164,D164))))</f>
        <v/>
      </c>
      <c r="AE164" s="32">
        <f>IF(B164="","",PROPER(IFERROR(LEFT(B164,FIND(" ",B164)-1),B164)))</f>
        <v/>
      </c>
      <c r="AF164" s="32">
        <f>SUBSTITUTE(SUBSTITUTE(SUBSTITUTE(SUBSTITUTE(SUBSTITUTE(SUBSTITUTE(SUBSTITUTE(SUBSTITUTE(SUBSTITUTE(SUBSTITUTE(AE164,"%","%25"),"&amp;","%26"),"#","%23"),"+","%2B"),"=","%3D"),"?","%3F"),CHAR(34),"%22"),CHAR(10),"%0A"),CHAR(13),"")," ","+")</f>
        <v/>
      </c>
      <c r="AG164" s="32">
        <f>IF(OR(AD164="",AE164=""),"",'Start Here'!$B$20&amp;"#p="&amp;SUBSTITUTE(AD164,"+","%2B")&amp;"&amp;n="&amp;AF164&amp;"&amp;m="&amp;SUBSTITUTE('Start Here'!$B$24,"{name}",AF164))</f>
        <v/>
      </c>
      <c r="AH164" s="32">
        <f>N(AH163)+W164</f>
        <v/>
      </c>
      <c r="AI164" s="32">
        <f>IF(W164=1,AH164,"")</f>
        <v/>
      </c>
    </row>
    <row r="165">
      <c r="A165" s="32">
        <f>IF(INDEX('Form Responses'!$A:$A,ROW())="","",INDEX('Form Responses'!$A:$A,ROW()))</f>
        <v/>
      </c>
      <c r="B165" s="32">
        <f>TRIM(INDEX('Form Responses'!$B:$B,ROW())&amp;"")</f>
        <v/>
      </c>
      <c r="C165" s="32">
        <f>IF(B165="","",TRIM(INDEX('Form Responses'!$C:$C,ROW())&amp;""))</f>
        <v/>
      </c>
      <c r="D165" s="32">
        <f>SUBSTITUTE(SUBSTITUTE(SUBSTITUTE(SUBSTITUTE(SUBSTITUTE(SUBSTITUTE(SUBSTITUTE(SUBSTITUTE(C165," ",""),"-",""),"(",""),")",""),".",""),"+",""),"/",""),CHAR(160),"")</f>
        <v/>
      </c>
      <c r="E165" s="32">
        <f>IF(LEN(D165)&gt;=10,RIGHT(D165,10),D165)</f>
        <v/>
      </c>
      <c r="F165" s="32">
        <f>IF(B165="","",TRIM(INDEX('Form Responses'!$D:$D,ROW())&amp;""))</f>
        <v/>
      </c>
      <c r="G165" s="32">
        <f>IF(B165="","",IF(LEFT(TRIM(INDEX('Form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5" s="32">
        <f>IF(B165="","",MAX(0,IFERROR(INT(--(INDEX('Form Responses'!$F:$F,ROW())&amp;"")),1)))</f>
        <v/>
      </c>
      <c r="I165" s="32">
        <f>IF(B165="","",MAX(0,IFERROR(INT(--(INDEX('Form Responses'!$G:$G,ROW())&amp;"")),0)))</f>
        <v/>
      </c>
      <c r="J165" s="32">
        <f>IF(B165="","",TRIM(INDEX('Form Responses'!$H:$H,ROW())&amp;""))</f>
        <v/>
      </c>
      <c r="K165" s="32">
        <f>IF(B165="","",TRIM(INDEX('Form Responses'!$I:$I,ROW())&amp;""))</f>
        <v/>
      </c>
      <c r="L165" s="32">
        <f>IF(B165="","",TRIM(INDEX('Form Responses'!$J:$J,ROW())&amp;""))</f>
        <v/>
      </c>
      <c r="M165" s="32">
        <f>IF(B165="","",TRIM(INDEX('Form Responses'!$K:$K,ROW())&amp;""))</f>
        <v/>
      </c>
      <c r="N165" s="32">
        <f>IF(B165="","",IF(E165&lt;&gt;"","P"&amp;E165,"N"&amp;B165))</f>
        <v/>
      </c>
      <c r="O165" s="32">
        <f>IF(N165="",0,IF(COUNTIF(N166:N$602,N165)=0,1,0))</f>
        <v/>
      </c>
      <c r="P165" s="32">
        <f>IF(AND(O165=1,E165&lt;&gt;""),E165,"")</f>
        <v/>
      </c>
      <c r="Q165" s="32">
        <f>IF(O165=1,B165,"")</f>
        <v/>
      </c>
      <c r="R165" s="32">
        <f>IF(O165&lt;&gt;1,"",IF(E165&lt;&gt;"",IFERROR(MATCH(E165,Guests!$S$6:$S$505,0)+5,IFERROR(MATCH(B165,Guests!$A$6:$A$505,0)+5,"")),IFERROR(MATCH(B165,Guests!$A$6:$A$505,0)+5,"")))</f>
        <v/>
      </c>
      <c r="S165" s="32">
        <f>IF(R165="","",TRIM(INDEX(Guests!$E$1:$E$505,R165)&amp;""))</f>
        <v/>
      </c>
      <c r="T165" s="32">
        <f>IF(R165="","",IF(S165="",1,COUNTIF(Guests!$E$6:$E$505,S165)))</f>
        <v/>
      </c>
      <c r="U165" s="32">
        <f>IF(R165="","",IF(S165="",1,IF(COUNTIF(S$1:S164,S165)=0,1,0)))</f>
        <v/>
      </c>
      <c r="V165" s="32">
        <f>IF(AND(R165&lt;&gt;"",G165="Attending",U165=1),MAX(0,H165+I165-T165),0)</f>
        <v/>
      </c>
      <c r="W165" s="32">
        <f>IF(AND(O165=1,R165=""),1,0)</f>
        <v/>
      </c>
      <c r="X165" s="32">
        <f>IF(B165="",0,H165+I165)</f>
        <v/>
      </c>
      <c r="Y165" s="32">
        <f>N(Y164)+O165</f>
        <v/>
      </c>
      <c r="Z165" s="32">
        <f>IF(O165=1,Y165,"")</f>
        <v/>
      </c>
      <c r="AA165" s="32">
        <f>IF(AND(W165=1,G165="Not sure yet"),1,0)</f>
        <v/>
      </c>
      <c r="AB165" s="32">
        <f>N(AB164)+AA165</f>
        <v/>
      </c>
      <c r="AC165" s="32">
        <f>IF(AA165=1,AB165,"")</f>
        <v/>
      </c>
      <c r="AD165" s="32">
        <f>IF(D165="","",IF(LEN(D165)=10,"+1"&amp;D165,IF(AND(LEN(D165)=11,LEFT(D165,1)="1"),"+"&amp;D165,IF(LEFT(C165,1)="+","+"&amp;D165,D165))))</f>
        <v/>
      </c>
      <c r="AE165" s="32">
        <f>IF(B165="","",PROPER(IFERROR(LEFT(B165,FIND(" ",B165)-1),B165)))</f>
        <v/>
      </c>
      <c r="AF165" s="32">
        <f>SUBSTITUTE(SUBSTITUTE(SUBSTITUTE(SUBSTITUTE(SUBSTITUTE(SUBSTITUTE(SUBSTITUTE(SUBSTITUTE(SUBSTITUTE(SUBSTITUTE(AE165,"%","%25"),"&amp;","%26"),"#","%23"),"+","%2B"),"=","%3D"),"?","%3F"),CHAR(34),"%22"),CHAR(10),"%0A"),CHAR(13),"")," ","+")</f>
        <v/>
      </c>
      <c r="AG165" s="32">
        <f>IF(OR(AD165="",AE165=""),"",'Start Here'!$B$20&amp;"#p="&amp;SUBSTITUTE(AD165,"+","%2B")&amp;"&amp;n="&amp;AF165&amp;"&amp;m="&amp;SUBSTITUTE('Start Here'!$B$24,"{name}",AF165))</f>
        <v/>
      </c>
      <c r="AH165" s="32">
        <f>N(AH164)+W165</f>
        <v/>
      </c>
      <c r="AI165" s="32">
        <f>IF(W165=1,AH165,"")</f>
        <v/>
      </c>
    </row>
    <row r="166">
      <c r="A166" s="32">
        <f>IF(INDEX('Form Responses'!$A:$A,ROW())="","",INDEX('Form Responses'!$A:$A,ROW()))</f>
        <v/>
      </c>
      <c r="B166" s="32">
        <f>TRIM(INDEX('Form Responses'!$B:$B,ROW())&amp;"")</f>
        <v/>
      </c>
      <c r="C166" s="32">
        <f>IF(B166="","",TRIM(INDEX('Form Responses'!$C:$C,ROW())&amp;""))</f>
        <v/>
      </c>
      <c r="D166" s="32">
        <f>SUBSTITUTE(SUBSTITUTE(SUBSTITUTE(SUBSTITUTE(SUBSTITUTE(SUBSTITUTE(SUBSTITUTE(SUBSTITUTE(C166," ",""),"-",""),"(",""),")",""),".",""),"+",""),"/",""),CHAR(160),"")</f>
        <v/>
      </c>
      <c r="E166" s="32">
        <f>IF(LEN(D166)&gt;=10,RIGHT(D166,10),D166)</f>
        <v/>
      </c>
      <c r="F166" s="32">
        <f>IF(B166="","",TRIM(INDEX('Form Responses'!$D:$D,ROW())&amp;""))</f>
        <v/>
      </c>
      <c r="G166" s="32">
        <f>IF(B166="","",IF(LEFT(TRIM(INDEX('Form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6" s="32">
        <f>IF(B166="","",MAX(0,IFERROR(INT(--(INDEX('Form Responses'!$F:$F,ROW())&amp;"")),1)))</f>
        <v/>
      </c>
      <c r="I166" s="32">
        <f>IF(B166="","",MAX(0,IFERROR(INT(--(INDEX('Form Responses'!$G:$G,ROW())&amp;"")),0)))</f>
        <v/>
      </c>
      <c r="J166" s="32">
        <f>IF(B166="","",TRIM(INDEX('Form Responses'!$H:$H,ROW())&amp;""))</f>
        <v/>
      </c>
      <c r="K166" s="32">
        <f>IF(B166="","",TRIM(INDEX('Form Responses'!$I:$I,ROW())&amp;""))</f>
        <v/>
      </c>
      <c r="L166" s="32">
        <f>IF(B166="","",TRIM(INDEX('Form Responses'!$J:$J,ROW())&amp;""))</f>
        <v/>
      </c>
      <c r="M166" s="32">
        <f>IF(B166="","",TRIM(INDEX('Form Responses'!$K:$K,ROW())&amp;""))</f>
        <v/>
      </c>
      <c r="N166" s="32">
        <f>IF(B166="","",IF(E166&lt;&gt;"","P"&amp;E166,"N"&amp;B166))</f>
        <v/>
      </c>
      <c r="O166" s="32">
        <f>IF(N166="",0,IF(COUNTIF(N167:N$602,N166)=0,1,0))</f>
        <v/>
      </c>
      <c r="P166" s="32">
        <f>IF(AND(O166=1,E166&lt;&gt;""),E166,"")</f>
        <v/>
      </c>
      <c r="Q166" s="32">
        <f>IF(O166=1,B166,"")</f>
        <v/>
      </c>
      <c r="R166" s="32">
        <f>IF(O166&lt;&gt;1,"",IF(E166&lt;&gt;"",IFERROR(MATCH(E166,Guests!$S$6:$S$505,0)+5,IFERROR(MATCH(B166,Guests!$A$6:$A$505,0)+5,"")),IFERROR(MATCH(B166,Guests!$A$6:$A$505,0)+5,"")))</f>
        <v/>
      </c>
      <c r="S166" s="32">
        <f>IF(R166="","",TRIM(INDEX(Guests!$E$1:$E$505,R166)&amp;""))</f>
        <v/>
      </c>
      <c r="T166" s="32">
        <f>IF(R166="","",IF(S166="",1,COUNTIF(Guests!$E$6:$E$505,S166)))</f>
        <v/>
      </c>
      <c r="U166" s="32">
        <f>IF(R166="","",IF(S166="",1,IF(COUNTIF(S$1:S165,S166)=0,1,0)))</f>
        <v/>
      </c>
      <c r="V166" s="32">
        <f>IF(AND(R166&lt;&gt;"",G166="Attending",U166=1),MAX(0,H166+I166-T166),0)</f>
        <v/>
      </c>
      <c r="W166" s="32">
        <f>IF(AND(O166=1,R166=""),1,0)</f>
        <v/>
      </c>
      <c r="X166" s="32">
        <f>IF(B166="",0,H166+I166)</f>
        <v/>
      </c>
      <c r="Y166" s="32">
        <f>N(Y165)+O166</f>
        <v/>
      </c>
      <c r="Z166" s="32">
        <f>IF(O166=1,Y166,"")</f>
        <v/>
      </c>
      <c r="AA166" s="32">
        <f>IF(AND(W166=1,G166="Not sure yet"),1,0)</f>
        <v/>
      </c>
      <c r="AB166" s="32">
        <f>N(AB165)+AA166</f>
        <v/>
      </c>
      <c r="AC166" s="32">
        <f>IF(AA166=1,AB166,"")</f>
        <v/>
      </c>
      <c r="AD166" s="32">
        <f>IF(D166="","",IF(LEN(D166)=10,"+1"&amp;D166,IF(AND(LEN(D166)=11,LEFT(D166,1)="1"),"+"&amp;D166,IF(LEFT(C166,1)="+","+"&amp;D166,D166))))</f>
        <v/>
      </c>
      <c r="AE166" s="32">
        <f>IF(B166="","",PROPER(IFERROR(LEFT(B166,FIND(" ",B166)-1),B166)))</f>
        <v/>
      </c>
      <c r="AF166" s="32">
        <f>SUBSTITUTE(SUBSTITUTE(SUBSTITUTE(SUBSTITUTE(SUBSTITUTE(SUBSTITUTE(SUBSTITUTE(SUBSTITUTE(SUBSTITUTE(SUBSTITUTE(AE166,"%","%25"),"&amp;","%26"),"#","%23"),"+","%2B"),"=","%3D"),"?","%3F"),CHAR(34),"%22"),CHAR(10),"%0A"),CHAR(13),"")," ","+")</f>
        <v/>
      </c>
      <c r="AG166" s="32">
        <f>IF(OR(AD166="",AE166=""),"",'Start Here'!$B$20&amp;"#p="&amp;SUBSTITUTE(AD166,"+","%2B")&amp;"&amp;n="&amp;AF166&amp;"&amp;m="&amp;SUBSTITUTE('Start Here'!$B$24,"{name}",AF166))</f>
        <v/>
      </c>
      <c r="AH166" s="32">
        <f>N(AH165)+W166</f>
        <v/>
      </c>
      <c r="AI166" s="32">
        <f>IF(W166=1,AH166,"")</f>
        <v/>
      </c>
    </row>
    <row r="167">
      <c r="A167" s="32">
        <f>IF(INDEX('Form Responses'!$A:$A,ROW())="","",INDEX('Form Responses'!$A:$A,ROW()))</f>
        <v/>
      </c>
      <c r="B167" s="32">
        <f>TRIM(INDEX('Form Responses'!$B:$B,ROW())&amp;"")</f>
        <v/>
      </c>
      <c r="C167" s="32">
        <f>IF(B167="","",TRIM(INDEX('Form Responses'!$C:$C,ROW())&amp;""))</f>
        <v/>
      </c>
      <c r="D167" s="32">
        <f>SUBSTITUTE(SUBSTITUTE(SUBSTITUTE(SUBSTITUTE(SUBSTITUTE(SUBSTITUTE(SUBSTITUTE(SUBSTITUTE(C167," ",""),"-",""),"(",""),")",""),".",""),"+",""),"/",""),CHAR(160),"")</f>
        <v/>
      </c>
      <c r="E167" s="32">
        <f>IF(LEN(D167)&gt;=10,RIGHT(D167,10),D167)</f>
        <v/>
      </c>
      <c r="F167" s="32">
        <f>IF(B167="","",TRIM(INDEX('Form Responses'!$D:$D,ROW())&amp;""))</f>
        <v/>
      </c>
      <c r="G167" s="32">
        <f>IF(B167="","",IF(LEFT(TRIM(INDEX('Form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7" s="32">
        <f>IF(B167="","",MAX(0,IFERROR(INT(--(INDEX('Form Responses'!$F:$F,ROW())&amp;"")),1)))</f>
        <v/>
      </c>
      <c r="I167" s="32">
        <f>IF(B167="","",MAX(0,IFERROR(INT(--(INDEX('Form Responses'!$G:$G,ROW())&amp;"")),0)))</f>
        <v/>
      </c>
      <c r="J167" s="32">
        <f>IF(B167="","",TRIM(INDEX('Form Responses'!$H:$H,ROW())&amp;""))</f>
        <v/>
      </c>
      <c r="K167" s="32">
        <f>IF(B167="","",TRIM(INDEX('Form Responses'!$I:$I,ROW())&amp;""))</f>
        <v/>
      </c>
      <c r="L167" s="32">
        <f>IF(B167="","",TRIM(INDEX('Form Responses'!$J:$J,ROW())&amp;""))</f>
        <v/>
      </c>
      <c r="M167" s="32">
        <f>IF(B167="","",TRIM(INDEX('Form Responses'!$K:$K,ROW())&amp;""))</f>
        <v/>
      </c>
      <c r="N167" s="32">
        <f>IF(B167="","",IF(E167&lt;&gt;"","P"&amp;E167,"N"&amp;B167))</f>
        <v/>
      </c>
      <c r="O167" s="32">
        <f>IF(N167="",0,IF(COUNTIF(N168:N$602,N167)=0,1,0))</f>
        <v/>
      </c>
      <c r="P167" s="32">
        <f>IF(AND(O167=1,E167&lt;&gt;""),E167,"")</f>
        <v/>
      </c>
      <c r="Q167" s="32">
        <f>IF(O167=1,B167,"")</f>
        <v/>
      </c>
      <c r="R167" s="32">
        <f>IF(O167&lt;&gt;1,"",IF(E167&lt;&gt;"",IFERROR(MATCH(E167,Guests!$S$6:$S$505,0)+5,IFERROR(MATCH(B167,Guests!$A$6:$A$505,0)+5,"")),IFERROR(MATCH(B167,Guests!$A$6:$A$505,0)+5,"")))</f>
        <v/>
      </c>
      <c r="S167" s="32">
        <f>IF(R167="","",TRIM(INDEX(Guests!$E$1:$E$505,R167)&amp;""))</f>
        <v/>
      </c>
      <c r="T167" s="32">
        <f>IF(R167="","",IF(S167="",1,COUNTIF(Guests!$E$6:$E$505,S167)))</f>
        <v/>
      </c>
      <c r="U167" s="32">
        <f>IF(R167="","",IF(S167="",1,IF(COUNTIF(S$1:S166,S167)=0,1,0)))</f>
        <v/>
      </c>
      <c r="V167" s="32">
        <f>IF(AND(R167&lt;&gt;"",G167="Attending",U167=1),MAX(0,H167+I167-T167),0)</f>
        <v/>
      </c>
      <c r="W167" s="32">
        <f>IF(AND(O167=1,R167=""),1,0)</f>
        <v/>
      </c>
      <c r="X167" s="32">
        <f>IF(B167="",0,H167+I167)</f>
        <v/>
      </c>
      <c r="Y167" s="32">
        <f>N(Y166)+O167</f>
        <v/>
      </c>
      <c r="Z167" s="32">
        <f>IF(O167=1,Y167,"")</f>
        <v/>
      </c>
      <c r="AA167" s="32">
        <f>IF(AND(W167=1,G167="Not sure yet"),1,0)</f>
        <v/>
      </c>
      <c r="AB167" s="32">
        <f>N(AB166)+AA167</f>
        <v/>
      </c>
      <c r="AC167" s="32">
        <f>IF(AA167=1,AB167,"")</f>
        <v/>
      </c>
      <c r="AD167" s="32">
        <f>IF(D167="","",IF(LEN(D167)=10,"+1"&amp;D167,IF(AND(LEN(D167)=11,LEFT(D167,1)="1"),"+"&amp;D167,IF(LEFT(C167,1)="+","+"&amp;D167,D167))))</f>
        <v/>
      </c>
      <c r="AE167" s="32">
        <f>IF(B167="","",PROPER(IFERROR(LEFT(B167,FIND(" ",B167)-1),B167)))</f>
        <v/>
      </c>
      <c r="AF167" s="32">
        <f>SUBSTITUTE(SUBSTITUTE(SUBSTITUTE(SUBSTITUTE(SUBSTITUTE(SUBSTITUTE(SUBSTITUTE(SUBSTITUTE(SUBSTITUTE(SUBSTITUTE(AE167,"%","%25"),"&amp;","%26"),"#","%23"),"+","%2B"),"=","%3D"),"?","%3F"),CHAR(34),"%22"),CHAR(10),"%0A"),CHAR(13),"")," ","+")</f>
        <v/>
      </c>
      <c r="AG167" s="32">
        <f>IF(OR(AD167="",AE167=""),"",'Start Here'!$B$20&amp;"#p="&amp;SUBSTITUTE(AD167,"+","%2B")&amp;"&amp;n="&amp;AF167&amp;"&amp;m="&amp;SUBSTITUTE('Start Here'!$B$24,"{name}",AF167))</f>
        <v/>
      </c>
      <c r="AH167" s="32">
        <f>N(AH166)+W167</f>
        <v/>
      </c>
      <c r="AI167" s="32">
        <f>IF(W167=1,AH167,"")</f>
        <v/>
      </c>
    </row>
    <row r="168">
      <c r="A168" s="32">
        <f>IF(INDEX('Form Responses'!$A:$A,ROW())="","",INDEX('Form Responses'!$A:$A,ROW()))</f>
        <v/>
      </c>
      <c r="B168" s="32">
        <f>TRIM(INDEX('Form Responses'!$B:$B,ROW())&amp;"")</f>
        <v/>
      </c>
      <c r="C168" s="32">
        <f>IF(B168="","",TRIM(INDEX('Form Responses'!$C:$C,ROW())&amp;""))</f>
        <v/>
      </c>
      <c r="D168" s="32">
        <f>SUBSTITUTE(SUBSTITUTE(SUBSTITUTE(SUBSTITUTE(SUBSTITUTE(SUBSTITUTE(SUBSTITUTE(SUBSTITUTE(C168," ",""),"-",""),"(",""),")",""),".",""),"+",""),"/",""),CHAR(160),"")</f>
        <v/>
      </c>
      <c r="E168" s="32">
        <f>IF(LEN(D168)&gt;=10,RIGHT(D168,10),D168)</f>
        <v/>
      </c>
      <c r="F168" s="32">
        <f>IF(B168="","",TRIM(INDEX('Form Responses'!$D:$D,ROW())&amp;""))</f>
        <v/>
      </c>
      <c r="G168" s="32">
        <f>IF(B168="","",IF(LEFT(TRIM(INDEX('Form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8" s="32">
        <f>IF(B168="","",MAX(0,IFERROR(INT(--(INDEX('Form Responses'!$F:$F,ROW())&amp;"")),1)))</f>
        <v/>
      </c>
      <c r="I168" s="32">
        <f>IF(B168="","",MAX(0,IFERROR(INT(--(INDEX('Form Responses'!$G:$G,ROW())&amp;"")),0)))</f>
        <v/>
      </c>
      <c r="J168" s="32">
        <f>IF(B168="","",TRIM(INDEX('Form Responses'!$H:$H,ROW())&amp;""))</f>
        <v/>
      </c>
      <c r="K168" s="32">
        <f>IF(B168="","",TRIM(INDEX('Form Responses'!$I:$I,ROW())&amp;""))</f>
        <v/>
      </c>
      <c r="L168" s="32">
        <f>IF(B168="","",TRIM(INDEX('Form Responses'!$J:$J,ROW())&amp;""))</f>
        <v/>
      </c>
      <c r="M168" s="32">
        <f>IF(B168="","",TRIM(INDEX('Form Responses'!$K:$K,ROW())&amp;""))</f>
        <v/>
      </c>
      <c r="N168" s="32">
        <f>IF(B168="","",IF(E168&lt;&gt;"","P"&amp;E168,"N"&amp;B168))</f>
        <v/>
      </c>
      <c r="O168" s="32">
        <f>IF(N168="",0,IF(COUNTIF(N169:N$602,N168)=0,1,0))</f>
        <v/>
      </c>
      <c r="P168" s="32">
        <f>IF(AND(O168=1,E168&lt;&gt;""),E168,"")</f>
        <v/>
      </c>
      <c r="Q168" s="32">
        <f>IF(O168=1,B168,"")</f>
        <v/>
      </c>
      <c r="R168" s="32">
        <f>IF(O168&lt;&gt;1,"",IF(E168&lt;&gt;"",IFERROR(MATCH(E168,Guests!$S$6:$S$505,0)+5,IFERROR(MATCH(B168,Guests!$A$6:$A$505,0)+5,"")),IFERROR(MATCH(B168,Guests!$A$6:$A$505,0)+5,"")))</f>
        <v/>
      </c>
      <c r="S168" s="32">
        <f>IF(R168="","",TRIM(INDEX(Guests!$E$1:$E$505,R168)&amp;""))</f>
        <v/>
      </c>
      <c r="T168" s="32">
        <f>IF(R168="","",IF(S168="",1,COUNTIF(Guests!$E$6:$E$505,S168)))</f>
        <v/>
      </c>
      <c r="U168" s="32">
        <f>IF(R168="","",IF(S168="",1,IF(COUNTIF(S$1:S167,S168)=0,1,0)))</f>
        <v/>
      </c>
      <c r="V168" s="32">
        <f>IF(AND(R168&lt;&gt;"",G168="Attending",U168=1),MAX(0,H168+I168-T168),0)</f>
        <v/>
      </c>
      <c r="W168" s="32">
        <f>IF(AND(O168=1,R168=""),1,0)</f>
        <v/>
      </c>
      <c r="X168" s="32">
        <f>IF(B168="",0,H168+I168)</f>
        <v/>
      </c>
      <c r="Y168" s="32">
        <f>N(Y167)+O168</f>
        <v/>
      </c>
      <c r="Z168" s="32">
        <f>IF(O168=1,Y168,"")</f>
        <v/>
      </c>
      <c r="AA168" s="32">
        <f>IF(AND(W168=1,G168="Not sure yet"),1,0)</f>
        <v/>
      </c>
      <c r="AB168" s="32">
        <f>N(AB167)+AA168</f>
        <v/>
      </c>
      <c r="AC168" s="32">
        <f>IF(AA168=1,AB168,"")</f>
        <v/>
      </c>
      <c r="AD168" s="32">
        <f>IF(D168="","",IF(LEN(D168)=10,"+1"&amp;D168,IF(AND(LEN(D168)=11,LEFT(D168,1)="1"),"+"&amp;D168,IF(LEFT(C168,1)="+","+"&amp;D168,D168))))</f>
        <v/>
      </c>
      <c r="AE168" s="32">
        <f>IF(B168="","",PROPER(IFERROR(LEFT(B168,FIND(" ",B168)-1),B168)))</f>
        <v/>
      </c>
      <c r="AF168" s="32">
        <f>SUBSTITUTE(SUBSTITUTE(SUBSTITUTE(SUBSTITUTE(SUBSTITUTE(SUBSTITUTE(SUBSTITUTE(SUBSTITUTE(SUBSTITUTE(SUBSTITUTE(AE168,"%","%25"),"&amp;","%26"),"#","%23"),"+","%2B"),"=","%3D"),"?","%3F"),CHAR(34),"%22"),CHAR(10),"%0A"),CHAR(13),"")," ","+")</f>
        <v/>
      </c>
      <c r="AG168" s="32">
        <f>IF(OR(AD168="",AE168=""),"",'Start Here'!$B$20&amp;"#p="&amp;SUBSTITUTE(AD168,"+","%2B")&amp;"&amp;n="&amp;AF168&amp;"&amp;m="&amp;SUBSTITUTE('Start Here'!$B$24,"{name}",AF168))</f>
        <v/>
      </c>
      <c r="AH168" s="32">
        <f>N(AH167)+W168</f>
        <v/>
      </c>
      <c r="AI168" s="32">
        <f>IF(W168=1,AH168,"")</f>
        <v/>
      </c>
    </row>
    <row r="169">
      <c r="A169" s="32">
        <f>IF(INDEX('Form Responses'!$A:$A,ROW())="","",INDEX('Form Responses'!$A:$A,ROW()))</f>
        <v/>
      </c>
      <c r="B169" s="32">
        <f>TRIM(INDEX('Form Responses'!$B:$B,ROW())&amp;"")</f>
        <v/>
      </c>
      <c r="C169" s="32">
        <f>IF(B169="","",TRIM(INDEX('Form Responses'!$C:$C,ROW())&amp;""))</f>
        <v/>
      </c>
      <c r="D169" s="32">
        <f>SUBSTITUTE(SUBSTITUTE(SUBSTITUTE(SUBSTITUTE(SUBSTITUTE(SUBSTITUTE(SUBSTITUTE(SUBSTITUTE(C169," ",""),"-",""),"(",""),")",""),".",""),"+",""),"/",""),CHAR(160),"")</f>
        <v/>
      </c>
      <c r="E169" s="32">
        <f>IF(LEN(D169)&gt;=10,RIGHT(D169,10),D169)</f>
        <v/>
      </c>
      <c r="F169" s="32">
        <f>IF(B169="","",TRIM(INDEX('Form Responses'!$D:$D,ROW())&amp;""))</f>
        <v/>
      </c>
      <c r="G169" s="32">
        <f>IF(B169="","",IF(LEFT(TRIM(INDEX('Form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69" s="32">
        <f>IF(B169="","",MAX(0,IFERROR(INT(--(INDEX('Form Responses'!$F:$F,ROW())&amp;"")),1)))</f>
        <v/>
      </c>
      <c r="I169" s="32">
        <f>IF(B169="","",MAX(0,IFERROR(INT(--(INDEX('Form Responses'!$G:$G,ROW())&amp;"")),0)))</f>
        <v/>
      </c>
      <c r="J169" s="32">
        <f>IF(B169="","",TRIM(INDEX('Form Responses'!$H:$H,ROW())&amp;""))</f>
        <v/>
      </c>
      <c r="K169" s="32">
        <f>IF(B169="","",TRIM(INDEX('Form Responses'!$I:$I,ROW())&amp;""))</f>
        <v/>
      </c>
      <c r="L169" s="32">
        <f>IF(B169="","",TRIM(INDEX('Form Responses'!$J:$J,ROW())&amp;""))</f>
        <v/>
      </c>
      <c r="M169" s="32">
        <f>IF(B169="","",TRIM(INDEX('Form Responses'!$K:$K,ROW())&amp;""))</f>
        <v/>
      </c>
      <c r="N169" s="32">
        <f>IF(B169="","",IF(E169&lt;&gt;"","P"&amp;E169,"N"&amp;B169))</f>
        <v/>
      </c>
      <c r="O169" s="32">
        <f>IF(N169="",0,IF(COUNTIF(N170:N$602,N169)=0,1,0))</f>
        <v/>
      </c>
      <c r="P169" s="32">
        <f>IF(AND(O169=1,E169&lt;&gt;""),E169,"")</f>
        <v/>
      </c>
      <c r="Q169" s="32">
        <f>IF(O169=1,B169,"")</f>
        <v/>
      </c>
      <c r="R169" s="32">
        <f>IF(O169&lt;&gt;1,"",IF(E169&lt;&gt;"",IFERROR(MATCH(E169,Guests!$S$6:$S$505,0)+5,IFERROR(MATCH(B169,Guests!$A$6:$A$505,0)+5,"")),IFERROR(MATCH(B169,Guests!$A$6:$A$505,0)+5,"")))</f>
        <v/>
      </c>
      <c r="S169" s="32">
        <f>IF(R169="","",TRIM(INDEX(Guests!$E$1:$E$505,R169)&amp;""))</f>
        <v/>
      </c>
      <c r="T169" s="32">
        <f>IF(R169="","",IF(S169="",1,COUNTIF(Guests!$E$6:$E$505,S169)))</f>
        <v/>
      </c>
      <c r="U169" s="32">
        <f>IF(R169="","",IF(S169="",1,IF(COUNTIF(S$1:S168,S169)=0,1,0)))</f>
        <v/>
      </c>
      <c r="V169" s="32">
        <f>IF(AND(R169&lt;&gt;"",G169="Attending",U169=1),MAX(0,H169+I169-T169),0)</f>
        <v/>
      </c>
      <c r="W169" s="32">
        <f>IF(AND(O169=1,R169=""),1,0)</f>
        <v/>
      </c>
      <c r="X169" s="32">
        <f>IF(B169="",0,H169+I169)</f>
        <v/>
      </c>
      <c r="Y169" s="32">
        <f>N(Y168)+O169</f>
        <v/>
      </c>
      <c r="Z169" s="32">
        <f>IF(O169=1,Y169,"")</f>
        <v/>
      </c>
      <c r="AA169" s="32">
        <f>IF(AND(W169=1,G169="Not sure yet"),1,0)</f>
        <v/>
      </c>
      <c r="AB169" s="32">
        <f>N(AB168)+AA169</f>
        <v/>
      </c>
      <c r="AC169" s="32">
        <f>IF(AA169=1,AB169,"")</f>
        <v/>
      </c>
      <c r="AD169" s="32">
        <f>IF(D169="","",IF(LEN(D169)=10,"+1"&amp;D169,IF(AND(LEN(D169)=11,LEFT(D169,1)="1"),"+"&amp;D169,IF(LEFT(C169,1)="+","+"&amp;D169,D169))))</f>
        <v/>
      </c>
      <c r="AE169" s="32">
        <f>IF(B169="","",PROPER(IFERROR(LEFT(B169,FIND(" ",B169)-1),B169)))</f>
        <v/>
      </c>
      <c r="AF169" s="32">
        <f>SUBSTITUTE(SUBSTITUTE(SUBSTITUTE(SUBSTITUTE(SUBSTITUTE(SUBSTITUTE(SUBSTITUTE(SUBSTITUTE(SUBSTITUTE(SUBSTITUTE(AE169,"%","%25"),"&amp;","%26"),"#","%23"),"+","%2B"),"=","%3D"),"?","%3F"),CHAR(34),"%22"),CHAR(10),"%0A"),CHAR(13),"")," ","+")</f>
        <v/>
      </c>
      <c r="AG169" s="32">
        <f>IF(OR(AD169="",AE169=""),"",'Start Here'!$B$20&amp;"#p="&amp;SUBSTITUTE(AD169,"+","%2B")&amp;"&amp;n="&amp;AF169&amp;"&amp;m="&amp;SUBSTITUTE('Start Here'!$B$24,"{name}",AF169))</f>
        <v/>
      </c>
      <c r="AH169" s="32">
        <f>N(AH168)+W169</f>
        <v/>
      </c>
      <c r="AI169" s="32">
        <f>IF(W169=1,AH169,"")</f>
        <v/>
      </c>
    </row>
    <row r="170">
      <c r="A170" s="32">
        <f>IF(INDEX('Form Responses'!$A:$A,ROW())="","",INDEX('Form Responses'!$A:$A,ROW()))</f>
        <v/>
      </c>
      <c r="B170" s="32">
        <f>TRIM(INDEX('Form Responses'!$B:$B,ROW())&amp;"")</f>
        <v/>
      </c>
      <c r="C170" s="32">
        <f>IF(B170="","",TRIM(INDEX('Form Responses'!$C:$C,ROW())&amp;""))</f>
        <v/>
      </c>
      <c r="D170" s="32">
        <f>SUBSTITUTE(SUBSTITUTE(SUBSTITUTE(SUBSTITUTE(SUBSTITUTE(SUBSTITUTE(SUBSTITUTE(SUBSTITUTE(C170," ",""),"-",""),"(",""),")",""),".",""),"+",""),"/",""),CHAR(160),"")</f>
        <v/>
      </c>
      <c r="E170" s="32">
        <f>IF(LEN(D170)&gt;=10,RIGHT(D170,10),D170)</f>
        <v/>
      </c>
      <c r="F170" s="32">
        <f>IF(B170="","",TRIM(INDEX('Form Responses'!$D:$D,ROW())&amp;""))</f>
        <v/>
      </c>
      <c r="G170" s="32">
        <f>IF(B170="","",IF(LEFT(TRIM(INDEX('Form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0" s="32">
        <f>IF(B170="","",MAX(0,IFERROR(INT(--(INDEX('Form Responses'!$F:$F,ROW())&amp;"")),1)))</f>
        <v/>
      </c>
      <c r="I170" s="32">
        <f>IF(B170="","",MAX(0,IFERROR(INT(--(INDEX('Form Responses'!$G:$G,ROW())&amp;"")),0)))</f>
        <v/>
      </c>
      <c r="J170" s="32">
        <f>IF(B170="","",TRIM(INDEX('Form Responses'!$H:$H,ROW())&amp;""))</f>
        <v/>
      </c>
      <c r="K170" s="32">
        <f>IF(B170="","",TRIM(INDEX('Form Responses'!$I:$I,ROW())&amp;""))</f>
        <v/>
      </c>
      <c r="L170" s="32">
        <f>IF(B170="","",TRIM(INDEX('Form Responses'!$J:$J,ROW())&amp;""))</f>
        <v/>
      </c>
      <c r="M170" s="32">
        <f>IF(B170="","",TRIM(INDEX('Form Responses'!$K:$K,ROW())&amp;""))</f>
        <v/>
      </c>
      <c r="N170" s="32">
        <f>IF(B170="","",IF(E170&lt;&gt;"","P"&amp;E170,"N"&amp;B170))</f>
        <v/>
      </c>
      <c r="O170" s="32">
        <f>IF(N170="",0,IF(COUNTIF(N171:N$602,N170)=0,1,0))</f>
        <v/>
      </c>
      <c r="P170" s="32">
        <f>IF(AND(O170=1,E170&lt;&gt;""),E170,"")</f>
        <v/>
      </c>
      <c r="Q170" s="32">
        <f>IF(O170=1,B170,"")</f>
        <v/>
      </c>
      <c r="R170" s="32">
        <f>IF(O170&lt;&gt;1,"",IF(E170&lt;&gt;"",IFERROR(MATCH(E170,Guests!$S$6:$S$505,0)+5,IFERROR(MATCH(B170,Guests!$A$6:$A$505,0)+5,"")),IFERROR(MATCH(B170,Guests!$A$6:$A$505,0)+5,"")))</f>
        <v/>
      </c>
      <c r="S170" s="32">
        <f>IF(R170="","",TRIM(INDEX(Guests!$E$1:$E$505,R170)&amp;""))</f>
        <v/>
      </c>
      <c r="T170" s="32">
        <f>IF(R170="","",IF(S170="",1,COUNTIF(Guests!$E$6:$E$505,S170)))</f>
        <v/>
      </c>
      <c r="U170" s="32">
        <f>IF(R170="","",IF(S170="",1,IF(COUNTIF(S$1:S169,S170)=0,1,0)))</f>
        <v/>
      </c>
      <c r="V170" s="32">
        <f>IF(AND(R170&lt;&gt;"",G170="Attending",U170=1),MAX(0,H170+I170-T170),0)</f>
        <v/>
      </c>
      <c r="W170" s="32">
        <f>IF(AND(O170=1,R170=""),1,0)</f>
        <v/>
      </c>
      <c r="X170" s="32">
        <f>IF(B170="",0,H170+I170)</f>
        <v/>
      </c>
      <c r="Y170" s="32">
        <f>N(Y169)+O170</f>
        <v/>
      </c>
      <c r="Z170" s="32">
        <f>IF(O170=1,Y170,"")</f>
        <v/>
      </c>
      <c r="AA170" s="32">
        <f>IF(AND(W170=1,G170="Not sure yet"),1,0)</f>
        <v/>
      </c>
      <c r="AB170" s="32">
        <f>N(AB169)+AA170</f>
        <v/>
      </c>
      <c r="AC170" s="32">
        <f>IF(AA170=1,AB170,"")</f>
        <v/>
      </c>
      <c r="AD170" s="32">
        <f>IF(D170="","",IF(LEN(D170)=10,"+1"&amp;D170,IF(AND(LEN(D170)=11,LEFT(D170,1)="1"),"+"&amp;D170,IF(LEFT(C170,1)="+","+"&amp;D170,D170))))</f>
        <v/>
      </c>
      <c r="AE170" s="32">
        <f>IF(B170="","",PROPER(IFERROR(LEFT(B170,FIND(" ",B170)-1),B170)))</f>
        <v/>
      </c>
      <c r="AF170" s="32">
        <f>SUBSTITUTE(SUBSTITUTE(SUBSTITUTE(SUBSTITUTE(SUBSTITUTE(SUBSTITUTE(SUBSTITUTE(SUBSTITUTE(SUBSTITUTE(SUBSTITUTE(AE170,"%","%25"),"&amp;","%26"),"#","%23"),"+","%2B"),"=","%3D"),"?","%3F"),CHAR(34),"%22"),CHAR(10),"%0A"),CHAR(13),"")," ","+")</f>
        <v/>
      </c>
      <c r="AG170" s="32">
        <f>IF(OR(AD170="",AE170=""),"",'Start Here'!$B$20&amp;"#p="&amp;SUBSTITUTE(AD170,"+","%2B")&amp;"&amp;n="&amp;AF170&amp;"&amp;m="&amp;SUBSTITUTE('Start Here'!$B$24,"{name}",AF170))</f>
        <v/>
      </c>
      <c r="AH170" s="32">
        <f>N(AH169)+W170</f>
        <v/>
      </c>
      <c r="AI170" s="32">
        <f>IF(W170=1,AH170,"")</f>
        <v/>
      </c>
    </row>
    <row r="171">
      <c r="A171" s="32">
        <f>IF(INDEX('Form Responses'!$A:$A,ROW())="","",INDEX('Form Responses'!$A:$A,ROW()))</f>
        <v/>
      </c>
      <c r="B171" s="32">
        <f>TRIM(INDEX('Form Responses'!$B:$B,ROW())&amp;"")</f>
        <v/>
      </c>
      <c r="C171" s="32">
        <f>IF(B171="","",TRIM(INDEX('Form Responses'!$C:$C,ROW())&amp;""))</f>
        <v/>
      </c>
      <c r="D171" s="32">
        <f>SUBSTITUTE(SUBSTITUTE(SUBSTITUTE(SUBSTITUTE(SUBSTITUTE(SUBSTITUTE(SUBSTITUTE(SUBSTITUTE(C171," ",""),"-",""),"(",""),")",""),".",""),"+",""),"/",""),CHAR(160),"")</f>
        <v/>
      </c>
      <c r="E171" s="32">
        <f>IF(LEN(D171)&gt;=10,RIGHT(D171,10),D171)</f>
        <v/>
      </c>
      <c r="F171" s="32">
        <f>IF(B171="","",TRIM(INDEX('Form Responses'!$D:$D,ROW())&amp;""))</f>
        <v/>
      </c>
      <c r="G171" s="32">
        <f>IF(B171="","",IF(LEFT(TRIM(INDEX('Form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1" s="32">
        <f>IF(B171="","",MAX(0,IFERROR(INT(--(INDEX('Form Responses'!$F:$F,ROW())&amp;"")),1)))</f>
        <v/>
      </c>
      <c r="I171" s="32">
        <f>IF(B171="","",MAX(0,IFERROR(INT(--(INDEX('Form Responses'!$G:$G,ROW())&amp;"")),0)))</f>
        <v/>
      </c>
      <c r="J171" s="32">
        <f>IF(B171="","",TRIM(INDEX('Form Responses'!$H:$H,ROW())&amp;""))</f>
        <v/>
      </c>
      <c r="K171" s="32">
        <f>IF(B171="","",TRIM(INDEX('Form Responses'!$I:$I,ROW())&amp;""))</f>
        <v/>
      </c>
      <c r="L171" s="32">
        <f>IF(B171="","",TRIM(INDEX('Form Responses'!$J:$J,ROW())&amp;""))</f>
        <v/>
      </c>
      <c r="M171" s="32">
        <f>IF(B171="","",TRIM(INDEX('Form Responses'!$K:$K,ROW())&amp;""))</f>
        <v/>
      </c>
      <c r="N171" s="32">
        <f>IF(B171="","",IF(E171&lt;&gt;"","P"&amp;E171,"N"&amp;B171))</f>
        <v/>
      </c>
      <c r="O171" s="32">
        <f>IF(N171="",0,IF(COUNTIF(N172:N$602,N171)=0,1,0))</f>
        <v/>
      </c>
      <c r="P171" s="32">
        <f>IF(AND(O171=1,E171&lt;&gt;""),E171,"")</f>
        <v/>
      </c>
      <c r="Q171" s="32">
        <f>IF(O171=1,B171,"")</f>
        <v/>
      </c>
      <c r="R171" s="32">
        <f>IF(O171&lt;&gt;1,"",IF(E171&lt;&gt;"",IFERROR(MATCH(E171,Guests!$S$6:$S$505,0)+5,IFERROR(MATCH(B171,Guests!$A$6:$A$505,0)+5,"")),IFERROR(MATCH(B171,Guests!$A$6:$A$505,0)+5,"")))</f>
        <v/>
      </c>
      <c r="S171" s="32">
        <f>IF(R171="","",TRIM(INDEX(Guests!$E$1:$E$505,R171)&amp;""))</f>
        <v/>
      </c>
      <c r="T171" s="32">
        <f>IF(R171="","",IF(S171="",1,COUNTIF(Guests!$E$6:$E$505,S171)))</f>
        <v/>
      </c>
      <c r="U171" s="32">
        <f>IF(R171="","",IF(S171="",1,IF(COUNTIF(S$1:S170,S171)=0,1,0)))</f>
        <v/>
      </c>
      <c r="V171" s="32">
        <f>IF(AND(R171&lt;&gt;"",G171="Attending",U171=1),MAX(0,H171+I171-T171),0)</f>
        <v/>
      </c>
      <c r="W171" s="32">
        <f>IF(AND(O171=1,R171=""),1,0)</f>
        <v/>
      </c>
      <c r="X171" s="32">
        <f>IF(B171="",0,H171+I171)</f>
        <v/>
      </c>
      <c r="Y171" s="32">
        <f>N(Y170)+O171</f>
        <v/>
      </c>
      <c r="Z171" s="32">
        <f>IF(O171=1,Y171,"")</f>
        <v/>
      </c>
      <c r="AA171" s="32">
        <f>IF(AND(W171=1,G171="Not sure yet"),1,0)</f>
        <v/>
      </c>
      <c r="AB171" s="32">
        <f>N(AB170)+AA171</f>
        <v/>
      </c>
      <c r="AC171" s="32">
        <f>IF(AA171=1,AB171,"")</f>
        <v/>
      </c>
      <c r="AD171" s="32">
        <f>IF(D171="","",IF(LEN(D171)=10,"+1"&amp;D171,IF(AND(LEN(D171)=11,LEFT(D171,1)="1"),"+"&amp;D171,IF(LEFT(C171,1)="+","+"&amp;D171,D171))))</f>
        <v/>
      </c>
      <c r="AE171" s="32">
        <f>IF(B171="","",PROPER(IFERROR(LEFT(B171,FIND(" ",B171)-1),B171)))</f>
        <v/>
      </c>
      <c r="AF171" s="32">
        <f>SUBSTITUTE(SUBSTITUTE(SUBSTITUTE(SUBSTITUTE(SUBSTITUTE(SUBSTITUTE(SUBSTITUTE(SUBSTITUTE(SUBSTITUTE(SUBSTITUTE(AE171,"%","%25"),"&amp;","%26"),"#","%23"),"+","%2B"),"=","%3D"),"?","%3F"),CHAR(34),"%22"),CHAR(10),"%0A"),CHAR(13),"")," ","+")</f>
        <v/>
      </c>
      <c r="AG171" s="32">
        <f>IF(OR(AD171="",AE171=""),"",'Start Here'!$B$20&amp;"#p="&amp;SUBSTITUTE(AD171,"+","%2B")&amp;"&amp;n="&amp;AF171&amp;"&amp;m="&amp;SUBSTITUTE('Start Here'!$B$24,"{name}",AF171))</f>
        <v/>
      </c>
      <c r="AH171" s="32">
        <f>N(AH170)+W171</f>
        <v/>
      </c>
      <c r="AI171" s="32">
        <f>IF(W171=1,AH171,"")</f>
        <v/>
      </c>
    </row>
    <row r="172">
      <c r="A172" s="32">
        <f>IF(INDEX('Form Responses'!$A:$A,ROW())="","",INDEX('Form Responses'!$A:$A,ROW()))</f>
        <v/>
      </c>
      <c r="B172" s="32">
        <f>TRIM(INDEX('Form Responses'!$B:$B,ROW())&amp;"")</f>
        <v/>
      </c>
      <c r="C172" s="32">
        <f>IF(B172="","",TRIM(INDEX('Form Responses'!$C:$C,ROW())&amp;""))</f>
        <v/>
      </c>
      <c r="D172" s="32">
        <f>SUBSTITUTE(SUBSTITUTE(SUBSTITUTE(SUBSTITUTE(SUBSTITUTE(SUBSTITUTE(SUBSTITUTE(SUBSTITUTE(C172," ",""),"-",""),"(",""),")",""),".",""),"+",""),"/",""),CHAR(160),"")</f>
        <v/>
      </c>
      <c r="E172" s="32">
        <f>IF(LEN(D172)&gt;=10,RIGHT(D172,10),D172)</f>
        <v/>
      </c>
      <c r="F172" s="32">
        <f>IF(B172="","",TRIM(INDEX('Form Responses'!$D:$D,ROW())&amp;""))</f>
        <v/>
      </c>
      <c r="G172" s="32">
        <f>IF(B172="","",IF(LEFT(TRIM(INDEX('Form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2" s="32">
        <f>IF(B172="","",MAX(0,IFERROR(INT(--(INDEX('Form Responses'!$F:$F,ROW())&amp;"")),1)))</f>
        <v/>
      </c>
      <c r="I172" s="32">
        <f>IF(B172="","",MAX(0,IFERROR(INT(--(INDEX('Form Responses'!$G:$G,ROW())&amp;"")),0)))</f>
        <v/>
      </c>
      <c r="J172" s="32">
        <f>IF(B172="","",TRIM(INDEX('Form Responses'!$H:$H,ROW())&amp;""))</f>
        <v/>
      </c>
      <c r="K172" s="32">
        <f>IF(B172="","",TRIM(INDEX('Form Responses'!$I:$I,ROW())&amp;""))</f>
        <v/>
      </c>
      <c r="L172" s="32">
        <f>IF(B172="","",TRIM(INDEX('Form Responses'!$J:$J,ROW())&amp;""))</f>
        <v/>
      </c>
      <c r="M172" s="32">
        <f>IF(B172="","",TRIM(INDEX('Form Responses'!$K:$K,ROW())&amp;""))</f>
        <v/>
      </c>
      <c r="N172" s="32">
        <f>IF(B172="","",IF(E172&lt;&gt;"","P"&amp;E172,"N"&amp;B172))</f>
        <v/>
      </c>
      <c r="O172" s="32">
        <f>IF(N172="",0,IF(COUNTIF(N173:N$602,N172)=0,1,0))</f>
        <v/>
      </c>
      <c r="P172" s="32">
        <f>IF(AND(O172=1,E172&lt;&gt;""),E172,"")</f>
        <v/>
      </c>
      <c r="Q172" s="32">
        <f>IF(O172=1,B172,"")</f>
        <v/>
      </c>
      <c r="R172" s="32">
        <f>IF(O172&lt;&gt;1,"",IF(E172&lt;&gt;"",IFERROR(MATCH(E172,Guests!$S$6:$S$505,0)+5,IFERROR(MATCH(B172,Guests!$A$6:$A$505,0)+5,"")),IFERROR(MATCH(B172,Guests!$A$6:$A$505,0)+5,"")))</f>
        <v/>
      </c>
      <c r="S172" s="32">
        <f>IF(R172="","",TRIM(INDEX(Guests!$E$1:$E$505,R172)&amp;""))</f>
        <v/>
      </c>
      <c r="T172" s="32">
        <f>IF(R172="","",IF(S172="",1,COUNTIF(Guests!$E$6:$E$505,S172)))</f>
        <v/>
      </c>
      <c r="U172" s="32">
        <f>IF(R172="","",IF(S172="",1,IF(COUNTIF(S$1:S171,S172)=0,1,0)))</f>
        <v/>
      </c>
      <c r="V172" s="32">
        <f>IF(AND(R172&lt;&gt;"",G172="Attending",U172=1),MAX(0,H172+I172-T172),0)</f>
        <v/>
      </c>
      <c r="W172" s="32">
        <f>IF(AND(O172=1,R172=""),1,0)</f>
        <v/>
      </c>
      <c r="X172" s="32">
        <f>IF(B172="",0,H172+I172)</f>
        <v/>
      </c>
      <c r="Y172" s="32">
        <f>N(Y171)+O172</f>
        <v/>
      </c>
      <c r="Z172" s="32">
        <f>IF(O172=1,Y172,"")</f>
        <v/>
      </c>
      <c r="AA172" s="32">
        <f>IF(AND(W172=1,G172="Not sure yet"),1,0)</f>
        <v/>
      </c>
      <c r="AB172" s="32">
        <f>N(AB171)+AA172</f>
        <v/>
      </c>
      <c r="AC172" s="32">
        <f>IF(AA172=1,AB172,"")</f>
        <v/>
      </c>
      <c r="AD172" s="32">
        <f>IF(D172="","",IF(LEN(D172)=10,"+1"&amp;D172,IF(AND(LEN(D172)=11,LEFT(D172,1)="1"),"+"&amp;D172,IF(LEFT(C172,1)="+","+"&amp;D172,D172))))</f>
        <v/>
      </c>
      <c r="AE172" s="32">
        <f>IF(B172="","",PROPER(IFERROR(LEFT(B172,FIND(" ",B172)-1),B172)))</f>
        <v/>
      </c>
      <c r="AF172" s="32">
        <f>SUBSTITUTE(SUBSTITUTE(SUBSTITUTE(SUBSTITUTE(SUBSTITUTE(SUBSTITUTE(SUBSTITUTE(SUBSTITUTE(SUBSTITUTE(SUBSTITUTE(AE172,"%","%25"),"&amp;","%26"),"#","%23"),"+","%2B"),"=","%3D"),"?","%3F"),CHAR(34),"%22"),CHAR(10),"%0A"),CHAR(13),"")," ","+")</f>
        <v/>
      </c>
      <c r="AG172" s="32">
        <f>IF(OR(AD172="",AE172=""),"",'Start Here'!$B$20&amp;"#p="&amp;SUBSTITUTE(AD172,"+","%2B")&amp;"&amp;n="&amp;AF172&amp;"&amp;m="&amp;SUBSTITUTE('Start Here'!$B$24,"{name}",AF172))</f>
        <v/>
      </c>
      <c r="AH172" s="32">
        <f>N(AH171)+W172</f>
        <v/>
      </c>
      <c r="AI172" s="32">
        <f>IF(W172=1,AH172,"")</f>
        <v/>
      </c>
    </row>
    <row r="173">
      <c r="A173" s="32">
        <f>IF(INDEX('Form Responses'!$A:$A,ROW())="","",INDEX('Form Responses'!$A:$A,ROW()))</f>
        <v/>
      </c>
      <c r="B173" s="32">
        <f>TRIM(INDEX('Form Responses'!$B:$B,ROW())&amp;"")</f>
        <v/>
      </c>
      <c r="C173" s="32">
        <f>IF(B173="","",TRIM(INDEX('Form Responses'!$C:$C,ROW())&amp;""))</f>
        <v/>
      </c>
      <c r="D173" s="32">
        <f>SUBSTITUTE(SUBSTITUTE(SUBSTITUTE(SUBSTITUTE(SUBSTITUTE(SUBSTITUTE(SUBSTITUTE(SUBSTITUTE(C173," ",""),"-",""),"(",""),")",""),".",""),"+",""),"/",""),CHAR(160),"")</f>
        <v/>
      </c>
      <c r="E173" s="32">
        <f>IF(LEN(D173)&gt;=10,RIGHT(D173,10),D173)</f>
        <v/>
      </c>
      <c r="F173" s="32">
        <f>IF(B173="","",TRIM(INDEX('Form Responses'!$D:$D,ROW())&amp;""))</f>
        <v/>
      </c>
      <c r="G173" s="32">
        <f>IF(B173="","",IF(LEFT(TRIM(INDEX('Form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3" s="32">
        <f>IF(B173="","",MAX(0,IFERROR(INT(--(INDEX('Form Responses'!$F:$F,ROW())&amp;"")),1)))</f>
        <v/>
      </c>
      <c r="I173" s="32">
        <f>IF(B173="","",MAX(0,IFERROR(INT(--(INDEX('Form Responses'!$G:$G,ROW())&amp;"")),0)))</f>
        <v/>
      </c>
      <c r="J173" s="32">
        <f>IF(B173="","",TRIM(INDEX('Form Responses'!$H:$H,ROW())&amp;""))</f>
        <v/>
      </c>
      <c r="K173" s="32">
        <f>IF(B173="","",TRIM(INDEX('Form Responses'!$I:$I,ROW())&amp;""))</f>
        <v/>
      </c>
      <c r="L173" s="32">
        <f>IF(B173="","",TRIM(INDEX('Form Responses'!$J:$J,ROW())&amp;""))</f>
        <v/>
      </c>
      <c r="M173" s="32">
        <f>IF(B173="","",TRIM(INDEX('Form Responses'!$K:$K,ROW())&amp;""))</f>
        <v/>
      </c>
      <c r="N173" s="32">
        <f>IF(B173="","",IF(E173&lt;&gt;"","P"&amp;E173,"N"&amp;B173))</f>
        <v/>
      </c>
      <c r="O173" s="32">
        <f>IF(N173="",0,IF(COUNTIF(N174:N$602,N173)=0,1,0))</f>
        <v/>
      </c>
      <c r="P173" s="32">
        <f>IF(AND(O173=1,E173&lt;&gt;""),E173,"")</f>
        <v/>
      </c>
      <c r="Q173" s="32">
        <f>IF(O173=1,B173,"")</f>
        <v/>
      </c>
      <c r="R173" s="32">
        <f>IF(O173&lt;&gt;1,"",IF(E173&lt;&gt;"",IFERROR(MATCH(E173,Guests!$S$6:$S$505,0)+5,IFERROR(MATCH(B173,Guests!$A$6:$A$505,0)+5,"")),IFERROR(MATCH(B173,Guests!$A$6:$A$505,0)+5,"")))</f>
        <v/>
      </c>
      <c r="S173" s="32">
        <f>IF(R173="","",TRIM(INDEX(Guests!$E$1:$E$505,R173)&amp;""))</f>
        <v/>
      </c>
      <c r="T173" s="32">
        <f>IF(R173="","",IF(S173="",1,COUNTIF(Guests!$E$6:$E$505,S173)))</f>
        <v/>
      </c>
      <c r="U173" s="32">
        <f>IF(R173="","",IF(S173="",1,IF(COUNTIF(S$1:S172,S173)=0,1,0)))</f>
        <v/>
      </c>
      <c r="V173" s="32">
        <f>IF(AND(R173&lt;&gt;"",G173="Attending",U173=1),MAX(0,H173+I173-T173),0)</f>
        <v/>
      </c>
      <c r="W173" s="32">
        <f>IF(AND(O173=1,R173=""),1,0)</f>
        <v/>
      </c>
      <c r="X173" s="32">
        <f>IF(B173="",0,H173+I173)</f>
        <v/>
      </c>
      <c r="Y173" s="32">
        <f>N(Y172)+O173</f>
        <v/>
      </c>
      <c r="Z173" s="32">
        <f>IF(O173=1,Y173,"")</f>
        <v/>
      </c>
      <c r="AA173" s="32">
        <f>IF(AND(W173=1,G173="Not sure yet"),1,0)</f>
        <v/>
      </c>
      <c r="AB173" s="32">
        <f>N(AB172)+AA173</f>
        <v/>
      </c>
      <c r="AC173" s="32">
        <f>IF(AA173=1,AB173,"")</f>
        <v/>
      </c>
      <c r="AD173" s="32">
        <f>IF(D173="","",IF(LEN(D173)=10,"+1"&amp;D173,IF(AND(LEN(D173)=11,LEFT(D173,1)="1"),"+"&amp;D173,IF(LEFT(C173,1)="+","+"&amp;D173,D173))))</f>
        <v/>
      </c>
      <c r="AE173" s="32">
        <f>IF(B173="","",PROPER(IFERROR(LEFT(B173,FIND(" ",B173)-1),B173)))</f>
        <v/>
      </c>
      <c r="AF173" s="32">
        <f>SUBSTITUTE(SUBSTITUTE(SUBSTITUTE(SUBSTITUTE(SUBSTITUTE(SUBSTITUTE(SUBSTITUTE(SUBSTITUTE(SUBSTITUTE(SUBSTITUTE(AE173,"%","%25"),"&amp;","%26"),"#","%23"),"+","%2B"),"=","%3D"),"?","%3F"),CHAR(34),"%22"),CHAR(10),"%0A"),CHAR(13),"")," ","+")</f>
        <v/>
      </c>
      <c r="AG173" s="32">
        <f>IF(OR(AD173="",AE173=""),"",'Start Here'!$B$20&amp;"#p="&amp;SUBSTITUTE(AD173,"+","%2B")&amp;"&amp;n="&amp;AF173&amp;"&amp;m="&amp;SUBSTITUTE('Start Here'!$B$24,"{name}",AF173))</f>
        <v/>
      </c>
      <c r="AH173" s="32">
        <f>N(AH172)+W173</f>
        <v/>
      </c>
      <c r="AI173" s="32">
        <f>IF(W173=1,AH173,"")</f>
        <v/>
      </c>
    </row>
    <row r="174">
      <c r="A174" s="32">
        <f>IF(INDEX('Form Responses'!$A:$A,ROW())="","",INDEX('Form Responses'!$A:$A,ROW()))</f>
        <v/>
      </c>
      <c r="B174" s="32">
        <f>TRIM(INDEX('Form Responses'!$B:$B,ROW())&amp;"")</f>
        <v/>
      </c>
      <c r="C174" s="32">
        <f>IF(B174="","",TRIM(INDEX('Form Responses'!$C:$C,ROW())&amp;""))</f>
        <v/>
      </c>
      <c r="D174" s="32">
        <f>SUBSTITUTE(SUBSTITUTE(SUBSTITUTE(SUBSTITUTE(SUBSTITUTE(SUBSTITUTE(SUBSTITUTE(SUBSTITUTE(C174," ",""),"-",""),"(",""),")",""),".",""),"+",""),"/",""),CHAR(160),"")</f>
        <v/>
      </c>
      <c r="E174" s="32">
        <f>IF(LEN(D174)&gt;=10,RIGHT(D174,10),D174)</f>
        <v/>
      </c>
      <c r="F174" s="32">
        <f>IF(B174="","",TRIM(INDEX('Form Responses'!$D:$D,ROW())&amp;""))</f>
        <v/>
      </c>
      <c r="G174" s="32">
        <f>IF(B174="","",IF(LEFT(TRIM(INDEX('Form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4" s="32">
        <f>IF(B174="","",MAX(0,IFERROR(INT(--(INDEX('Form Responses'!$F:$F,ROW())&amp;"")),1)))</f>
        <v/>
      </c>
      <c r="I174" s="32">
        <f>IF(B174="","",MAX(0,IFERROR(INT(--(INDEX('Form Responses'!$G:$G,ROW())&amp;"")),0)))</f>
        <v/>
      </c>
      <c r="J174" s="32">
        <f>IF(B174="","",TRIM(INDEX('Form Responses'!$H:$H,ROW())&amp;""))</f>
        <v/>
      </c>
      <c r="K174" s="32">
        <f>IF(B174="","",TRIM(INDEX('Form Responses'!$I:$I,ROW())&amp;""))</f>
        <v/>
      </c>
      <c r="L174" s="32">
        <f>IF(B174="","",TRIM(INDEX('Form Responses'!$J:$J,ROW())&amp;""))</f>
        <v/>
      </c>
      <c r="M174" s="32">
        <f>IF(B174="","",TRIM(INDEX('Form Responses'!$K:$K,ROW())&amp;""))</f>
        <v/>
      </c>
      <c r="N174" s="32">
        <f>IF(B174="","",IF(E174&lt;&gt;"","P"&amp;E174,"N"&amp;B174))</f>
        <v/>
      </c>
      <c r="O174" s="32">
        <f>IF(N174="",0,IF(COUNTIF(N175:N$602,N174)=0,1,0))</f>
        <v/>
      </c>
      <c r="P174" s="32">
        <f>IF(AND(O174=1,E174&lt;&gt;""),E174,"")</f>
        <v/>
      </c>
      <c r="Q174" s="32">
        <f>IF(O174=1,B174,"")</f>
        <v/>
      </c>
      <c r="R174" s="32">
        <f>IF(O174&lt;&gt;1,"",IF(E174&lt;&gt;"",IFERROR(MATCH(E174,Guests!$S$6:$S$505,0)+5,IFERROR(MATCH(B174,Guests!$A$6:$A$505,0)+5,"")),IFERROR(MATCH(B174,Guests!$A$6:$A$505,0)+5,"")))</f>
        <v/>
      </c>
      <c r="S174" s="32">
        <f>IF(R174="","",TRIM(INDEX(Guests!$E$1:$E$505,R174)&amp;""))</f>
        <v/>
      </c>
      <c r="T174" s="32">
        <f>IF(R174="","",IF(S174="",1,COUNTIF(Guests!$E$6:$E$505,S174)))</f>
        <v/>
      </c>
      <c r="U174" s="32">
        <f>IF(R174="","",IF(S174="",1,IF(COUNTIF(S$1:S173,S174)=0,1,0)))</f>
        <v/>
      </c>
      <c r="V174" s="32">
        <f>IF(AND(R174&lt;&gt;"",G174="Attending",U174=1),MAX(0,H174+I174-T174),0)</f>
        <v/>
      </c>
      <c r="W174" s="32">
        <f>IF(AND(O174=1,R174=""),1,0)</f>
        <v/>
      </c>
      <c r="X174" s="32">
        <f>IF(B174="",0,H174+I174)</f>
        <v/>
      </c>
      <c r="Y174" s="32">
        <f>N(Y173)+O174</f>
        <v/>
      </c>
      <c r="Z174" s="32">
        <f>IF(O174=1,Y174,"")</f>
        <v/>
      </c>
      <c r="AA174" s="32">
        <f>IF(AND(W174=1,G174="Not sure yet"),1,0)</f>
        <v/>
      </c>
      <c r="AB174" s="32">
        <f>N(AB173)+AA174</f>
        <v/>
      </c>
      <c r="AC174" s="32">
        <f>IF(AA174=1,AB174,"")</f>
        <v/>
      </c>
      <c r="AD174" s="32">
        <f>IF(D174="","",IF(LEN(D174)=10,"+1"&amp;D174,IF(AND(LEN(D174)=11,LEFT(D174,1)="1"),"+"&amp;D174,IF(LEFT(C174,1)="+","+"&amp;D174,D174))))</f>
        <v/>
      </c>
      <c r="AE174" s="32">
        <f>IF(B174="","",PROPER(IFERROR(LEFT(B174,FIND(" ",B174)-1),B174)))</f>
        <v/>
      </c>
      <c r="AF174" s="32">
        <f>SUBSTITUTE(SUBSTITUTE(SUBSTITUTE(SUBSTITUTE(SUBSTITUTE(SUBSTITUTE(SUBSTITUTE(SUBSTITUTE(SUBSTITUTE(SUBSTITUTE(AE174,"%","%25"),"&amp;","%26"),"#","%23"),"+","%2B"),"=","%3D"),"?","%3F"),CHAR(34),"%22"),CHAR(10),"%0A"),CHAR(13),"")," ","+")</f>
        <v/>
      </c>
      <c r="AG174" s="32">
        <f>IF(OR(AD174="",AE174=""),"",'Start Here'!$B$20&amp;"#p="&amp;SUBSTITUTE(AD174,"+","%2B")&amp;"&amp;n="&amp;AF174&amp;"&amp;m="&amp;SUBSTITUTE('Start Here'!$B$24,"{name}",AF174))</f>
        <v/>
      </c>
      <c r="AH174" s="32">
        <f>N(AH173)+W174</f>
        <v/>
      </c>
      <c r="AI174" s="32">
        <f>IF(W174=1,AH174,"")</f>
        <v/>
      </c>
    </row>
    <row r="175">
      <c r="A175" s="32">
        <f>IF(INDEX('Form Responses'!$A:$A,ROW())="","",INDEX('Form Responses'!$A:$A,ROW()))</f>
        <v/>
      </c>
      <c r="B175" s="32">
        <f>TRIM(INDEX('Form Responses'!$B:$B,ROW())&amp;"")</f>
        <v/>
      </c>
      <c r="C175" s="32">
        <f>IF(B175="","",TRIM(INDEX('Form Responses'!$C:$C,ROW())&amp;""))</f>
        <v/>
      </c>
      <c r="D175" s="32">
        <f>SUBSTITUTE(SUBSTITUTE(SUBSTITUTE(SUBSTITUTE(SUBSTITUTE(SUBSTITUTE(SUBSTITUTE(SUBSTITUTE(C175," ",""),"-",""),"(",""),")",""),".",""),"+",""),"/",""),CHAR(160),"")</f>
        <v/>
      </c>
      <c r="E175" s="32">
        <f>IF(LEN(D175)&gt;=10,RIGHT(D175,10),D175)</f>
        <v/>
      </c>
      <c r="F175" s="32">
        <f>IF(B175="","",TRIM(INDEX('Form Responses'!$D:$D,ROW())&amp;""))</f>
        <v/>
      </c>
      <c r="G175" s="32">
        <f>IF(B175="","",IF(LEFT(TRIM(INDEX('Form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5" s="32">
        <f>IF(B175="","",MAX(0,IFERROR(INT(--(INDEX('Form Responses'!$F:$F,ROW())&amp;"")),1)))</f>
        <v/>
      </c>
      <c r="I175" s="32">
        <f>IF(B175="","",MAX(0,IFERROR(INT(--(INDEX('Form Responses'!$G:$G,ROW())&amp;"")),0)))</f>
        <v/>
      </c>
      <c r="J175" s="32">
        <f>IF(B175="","",TRIM(INDEX('Form Responses'!$H:$H,ROW())&amp;""))</f>
        <v/>
      </c>
      <c r="K175" s="32">
        <f>IF(B175="","",TRIM(INDEX('Form Responses'!$I:$I,ROW())&amp;""))</f>
        <v/>
      </c>
      <c r="L175" s="32">
        <f>IF(B175="","",TRIM(INDEX('Form Responses'!$J:$J,ROW())&amp;""))</f>
        <v/>
      </c>
      <c r="M175" s="32">
        <f>IF(B175="","",TRIM(INDEX('Form Responses'!$K:$K,ROW())&amp;""))</f>
        <v/>
      </c>
      <c r="N175" s="32">
        <f>IF(B175="","",IF(E175&lt;&gt;"","P"&amp;E175,"N"&amp;B175))</f>
        <v/>
      </c>
      <c r="O175" s="32">
        <f>IF(N175="",0,IF(COUNTIF(N176:N$602,N175)=0,1,0))</f>
        <v/>
      </c>
      <c r="P175" s="32">
        <f>IF(AND(O175=1,E175&lt;&gt;""),E175,"")</f>
        <v/>
      </c>
      <c r="Q175" s="32">
        <f>IF(O175=1,B175,"")</f>
        <v/>
      </c>
      <c r="R175" s="32">
        <f>IF(O175&lt;&gt;1,"",IF(E175&lt;&gt;"",IFERROR(MATCH(E175,Guests!$S$6:$S$505,0)+5,IFERROR(MATCH(B175,Guests!$A$6:$A$505,0)+5,"")),IFERROR(MATCH(B175,Guests!$A$6:$A$505,0)+5,"")))</f>
        <v/>
      </c>
      <c r="S175" s="32">
        <f>IF(R175="","",TRIM(INDEX(Guests!$E$1:$E$505,R175)&amp;""))</f>
        <v/>
      </c>
      <c r="T175" s="32">
        <f>IF(R175="","",IF(S175="",1,COUNTIF(Guests!$E$6:$E$505,S175)))</f>
        <v/>
      </c>
      <c r="U175" s="32">
        <f>IF(R175="","",IF(S175="",1,IF(COUNTIF(S$1:S174,S175)=0,1,0)))</f>
        <v/>
      </c>
      <c r="V175" s="32">
        <f>IF(AND(R175&lt;&gt;"",G175="Attending",U175=1),MAX(0,H175+I175-T175),0)</f>
        <v/>
      </c>
      <c r="W175" s="32">
        <f>IF(AND(O175=1,R175=""),1,0)</f>
        <v/>
      </c>
      <c r="X175" s="32">
        <f>IF(B175="",0,H175+I175)</f>
        <v/>
      </c>
      <c r="Y175" s="32">
        <f>N(Y174)+O175</f>
        <v/>
      </c>
      <c r="Z175" s="32">
        <f>IF(O175=1,Y175,"")</f>
        <v/>
      </c>
      <c r="AA175" s="32">
        <f>IF(AND(W175=1,G175="Not sure yet"),1,0)</f>
        <v/>
      </c>
      <c r="AB175" s="32">
        <f>N(AB174)+AA175</f>
        <v/>
      </c>
      <c r="AC175" s="32">
        <f>IF(AA175=1,AB175,"")</f>
        <v/>
      </c>
      <c r="AD175" s="32">
        <f>IF(D175="","",IF(LEN(D175)=10,"+1"&amp;D175,IF(AND(LEN(D175)=11,LEFT(D175,1)="1"),"+"&amp;D175,IF(LEFT(C175,1)="+","+"&amp;D175,D175))))</f>
        <v/>
      </c>
      <c r="AE175" s="32">
        <f>IF(B175="","",PROPER(IFERROR(LEFT(B175,FIND(" ",B175)-1),B175)))</f>
        <v/>
      </c>
      <c r="AF175" s="32">
        <f>SUBSTITUTE(SUBSTITUTE(SUBSTITUTE(SUBSTITUTE(SUBSTITUTE(SUBSTITUTE(SUBSTITUTE(SUBSTITUTE(SUBSTITUTE(SUBSTITUTE(AE175,"%","%25"),"&amp;","%26"),"#","%23"),"+","%2B"),"=","%3D"),"?","%3F"),CHAR(34),"%22"),CHAR(10),"%0A"),CHAR(13),"")," ","+")</f>
        <v/>
      </c>
      <c r="AG175" s="32">
        <f>IF(OR(AD175="",AE175=""),"",'Start Here'!$B$20&amp;"#p="&amp;SUBSTITUTE(AD175,"+","%2B")&amp;"&amp;n="&amp;AF175&amp;"&amp;m="&amp;SUBSTITUTE('Start Here'!$B$24,"{name}",AF175))</f>
        <v/>
      </c>
      <c r="AH175" s="32">
        <f>N(AH174)+W175</f>
        <v/>
      </c>
      <c r="AI175" s="32">
        <f>IF(W175=1,AH175,"")</f>
        <v/>
      </c>
    </row>
    <row r="176">
      <c r="A176" s="32">
        <f>IF(INDEX('Form Responses'!$A:$A,ROW())="","",INDEX('Form Responses'!$A:$A,ROW()))</f>
        <v/>
      </c>
      <c r="B176" s="32">
        <f>TRIM(INDEX('Form Responses'!$B:$B,ROW())&amp;"")</f>
        <v/>
      </c>
      <c r="C176" s="32">
        <f>IF(B176="","",TRIM(INDEX('Form Responses'!$C:$C,ROW())&amp;""))</f>
        <v/>
      </c>
      <c r="D176" s="32">
        <f>SUBSTITUTE(SUBSTITUTE(SUBSTITUTE(SUBSTITUTE(SUBSTITUTE(SUBSTITUTE(SUBSTITUTE(SUBSTITUTE(C176," ",""),"-",""),"(",""),")",""),".",""),"+",""),"/",""),CHAR(160),"")</f>
        <v/>
      </c>
      <c r="E176" s="32">
        <f>IF(LEN(D176)&gt;=10,RIGHT(D176,10),D176)</f>
        <v/>
      </c>
      <c r="F176" s="32">
        <f>IF(B176="","",TRIM(INDEX('Form Responses'!$D:$D,ROW())&amp;""))</f>
        <v/>
      </c>
      <c r="G176" s="32">
        <f>IF(B176="","",IF(LEFT(TRIM(INDEX('Form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6" s="32">
        <f>IF(B176="","",MAX(0,IFERROR(INT(--(INDEX('Form Responses'!$F:$F,ROW())&amp;"")),1)))</f>
        <v/>
      </c>
      <c r="I176" s="32">
        <f>IF(B176="","",MAX(0,IFERROR(INT(--(INDEX('Form Responses'!$G:$G,ROW())&amp;"")),0)))</f>
        <v/>
      </c>
      <c r="J176" s="32">
        <f>IF(B176="","",TRIM(INDEX('Form Responses'!$H:$H,ROW())&amp;""))</f>
        <v/>
      </c>
      <c r="K176" s="32">
        <f>IF(B176="","",TRIM(INDEX('Form Responses'!$I:$I,ROW())&amp;""))</f>
        <v/>
      </c>
      <c r="L176" s="32">
        <f>IF(B176="","",TRIM(INDEX('Form Responses'!$J:$J,ROW())&amp;""))</f>
        <v/>
      </c>
      <c r="M176" s="32">
        <f>IF(B176="","",TRIM(INDEX('Form Responses'!$K:$K,ROW())&amp;""))</f>
        <v/>
      </c>
      <c r="N176" s="32">
        <f>IF(B176="","",IF(E176&lt;&gt;"","P"&amp;E176,"N"&amp;B176))</f>
        <v/>
      </c>
      <c r="O176" s="32">
        <f>IF(N176="",0,IF(COUNTIF(N177:N$602,N176)=0,1,0))</f>
        <v/>
      </c>
      <c r="P176" s="32">
        <f>IF(AND(O176=1,E176&lt;&gt;""),E176,"")</f>
        <v/>
      </c>
      <c r="Q176" s="32">
        <f>IF(O176=1,B176,"")</f>
        <v/>
      </c>
      <c r="R176" s="32">
        <f>IF(O176&lt;&gt;1,"",IF(E176&lt;&gt;"",IFERROR(MATCH(E176,Guests!$S$6:$S$505,0)+5,IFERROR(MATCH(B176,Guests!$A$6:$A$505,0)+5,"")),IFERROR(MATCH(B176,Guests!$A$6:$A$505,0)+5,"")))</f>
        <v/>
      </c>
      <c r="S176" s="32">
        <f>IF(R176="","",TRIM(INDEX(Guests!$E$1:$E$505,R176)&amp;""))</f>
        <v/>
      </c>
      <c r="T176" s="32">
        <f>IF(R176="","",IF(S176="",1,COUNTIF(Guests!$E$6:$E$505,S176)))</f>
        <v/>
      </c>
      <c r="U176" s="32">
        <f>IF(R176="","",IF(S176="",1,IF(COUNTIF(S$1:S175,S176)=0,1,0)))</f>
        <v/>
      </c>
      <c r="V176" s="32">
        <f>IF(AND(R176&lt;&gt;"",G176="Attending",U176=1),MAX(0,H176+I176-T176),0)</f>
        <v/>
      </c>
      <c r="W176" s="32">
        <f>IF(AND(O176=1,R176=""),1,0)</f>
        <v/>
      </c>
      <c r="X176" s="32">
        <f>IF(B176="",0,H176+I176)</f>
        <v/>
      </c>
      <c r="Y176" s="32">
        <f>N(Y175)+O176</f>
        <v/>
      </c>
      <c r="Z176" s="32">
        <f>IF(O176=1,Y176,"")</f>
        <v/>
      </c>
      <c r="AA176" s="32">
        <f>IF(AND(W176=1,G176="Not sure yet"),1,0)</f>
        <v/>
      </c>
      <c r="AB176" s="32">
        <f>N(AB175)+AA176</f>
        <v/>
      </c>
      <c r="AC176" s="32">
        <f>IF(AA176=1,AB176,"")</f>
        <v/>
      </c>
      <c r="AD176" s="32">
        <f>IF(D176="","",IF(LEN(D176)=10,"+1"&amp;D176,IF(AND(LEN(D176)=11,LEFT(D176,1)="1"),"+"&amp;D176,IF(LEFT(C176,1)="+","+"&amp;D176,D176))))</f>
        <v/>
      </c>
      <c r="AE176" s="32">
        <f>IF(B176="","",PROPER(IFERROR(LEFT(B176,FIND(" ",B176)-1),B176)))</f>
        <v/>
      </c>
      <c r="AF176" s="32">
        <f>SUBSTITUTE(SUBSTITUTE(SUBSTITUTE(SUBSTITUTE(SUBSTITUTE(SUBSTITUTE(SUBSTITUTE(SUBSTITUTE(SUBSTITUTE(SUBSTITUTE(AE176,"%","%25"),"&amp;","%26"),"#","%23"),"+","%2B"),"=","%3D"),"?","%3F"),CHAR(34),"%22"),CHAR(10),"%0A"),CHAR(13),"")," ","+")</f>
        <v/>
      </c>
      <c r="AG176" s="32">
        <f>IF(OR(AD176="",AE176=""),"",'Start Here'!$B$20&amp;"#p="&amp;SUBSTITUTE(AD176,"+","%2B")&amp;"&amp;n="&amp;AF176&amp;"&amp;m="&amp;SUBSTITUTE('Start Here'!$B$24,"{name}",AF176))</f>
        <v/>
      </c>
      <c r="AH176" s="32">
        <f>N(AH175)+W176</f>
        <v/>
      </c>
      <c r="AI176" s="32">
        <f>IF(W176=1,AH176,"")</f>
        <v/>
      </c>
    </row>
    <row r="177">
      <c r="A177" s="32">
        <f>IF(INDEX('Form Responses'!$A:$A,ROW())="","",INDEX('Form Responses'!$A:$A,ROW()))</f>
        <v/>
      </c>
      <c r="B177" s="32">
        <f>TRIM(INDEX('Form Responses'!$B:$B,ROW())&amp;"")</f>
        <v/>
      </c>
      <c r="C177" s="32">
        <f>IF(B177="","",TRIM(INDEX('Form Responses'!$C:$C,ROW())&amp;""))</f>
        <v/>
      </c>
      <c r="D177" s="32">
        <f>SUBSTITUTE(SUBSTITUTE(SUBSTITUTE(SUBSTITUTE(SUBSTITUTE(SUBSTITUTE(SUBSTITUTE(SUBSTITUTE(C177," ",""),"-",""),"(",""),")",""),".",""),"+",""),"/",""),CHAR(160),"")</f>
        <v/>
      </c>
      <c r="E177" s="32">
        <f>IF(LEN(D177)&gt;=10,RIGHT(D177,10),D177)</f>
        <v/>
      </c>
      <c r="F177" s="32">
        <f>IF(B177="","",TRIM(INDEX('Form Responses'!$D:$D,ROW())&amp;""))</f>
        <v/>
      </c>
      <c r="G177" s="32">
        <f>IF(B177="","",IF(LEFT(TRIM(INDEX('Form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7" s="32">
        <f>IF(B177="","",MAX(0,IFERROR(INT(--(INDEX('Form Responses'!$F:$F,ROW())&amp;"")),1)))</f>
        <v/>
      </c>
      <c r="I177" s="32">
        <f>IF(B177="","",MAX(0,IFERROR(INT(--(INDEX('Form Responses'!$G:$G,ROW())&amp;"")),0)))</f>
        <v/>
      </c>
      <c r="J177" s="32">
        <f>IF(B177="","",TRIM(INDEX('Form Responses'!$H:$H,ROW())&amp;""))</f>
        <v/>
      </c>
      <c r="K177" s="32">
        <f>IF(B177="","",TRIM(INDEX('Form Responses'!$I:$I,ROW())&amp;""))</f>
        <v/>
      </c>
      <c r="L177" s="32">
        <f>IF(B177="","",TRIM(INDEX('Form Responses'!$J:$J,ROW())&amp;""))</f>
        <v/>
      </c>
      <c r="M177" s="32">
        <f>IF(B177="","",TRIM(INDEX('Form Responses'!$K:$K,ROW())&amp;""))</f>
        <v/>
      </c>
      <c r="N177" s="32">
        <f>IF(B177="","",IF(E177&lt;&gt;"","P"&amp;E177,"N"&amp;B177))</f>
        <v/>
      </c>
      <c r="O177" s="32">
        <f>IF(N177="",0,IF(COUNTIF(N178:N$602,N177)=0,1,0))</f>
        <v/>
      </c>
      <c r="P177" s="32">
        <f>IF(AND(O177=1,E177&lt;&gt;""),E177,"")</f>
        <v/>
      </c>
      <c r="Q177" s="32">
        <f>IF(O177=1,B177,"")</f>
        <v/>
      </c>
      <c r="R177" s="32">
        <f>IF(O177&lt;&gt;1,"",IF(E177&lt;&gt;"",IFERROR(MATCH(E177,Guests!$S$6:$S$505,0)+5,IFERROR(MATCH(B177,Guests!$A$6:$A$505,0)+5,"")),IFERROR(MATCH(B177,Guests!$A$6:$A$505,0)+5,"")))</f>
        <v/>
      </c>
      <c r="S177" s="32">
        <f>IF(R177="","",TRIM(INDEX(Guests!$E$1:$E$505,R177)&amp;""))</f>
        <v/>
      </c>
      <c r="T177" s="32">
        <f>IF(R177="","",IF(S177="",1,COUNTIF(Guests!$E$6:$E$505,S177)))</f>
        <v/>
      </c>
      <c r="U177" s="32">
        <f>IF(R177="","",IF(S177="",1,IF(COUNTIF(S$1:S176,S177)=0,1,0)))</f>
        <v/>
      </c>
      <c r="V177" s="32">
        <f>IF(AND(R177&lt;&gt;"",G177="Attending",U177=1),MAX(0,H177+I177-T177),0)</f>
        <v/>
      </c>
      <c r="W177" s="32">
        <f>IF(AND(O177=1,R177=""),1,0)</f>
        <v/>
      </c>
      <c r="X177" s="32">
        <f>IF(B177="",0,H177+I177)</f>
        <v/>
      </c>
      <c r="Y177" s="32">
        <f>N(Y176)+O177</f>
        <v/>
      </c>
      <c r="Z177" s="32">
        <f>IF(O177=1,Y177,"")</f>
        <v/>
      </c>
      <c r="AA177" s="32">
        <f>IF(AND(W177=1,G177="Not sure yet"),1,0)</f>
        <v/>
      </c>
      <c r="AB177" s="32">
        <f>N(AB176)+AA177</f>
        <v/>
      </c>
      <c r="AC177" s="32">
        <f>IF(AA177=1,AB177,"")</f>
        <v/>
      </c>
      <c r="AD177" s="32">
        <f>IF(D177="","",IF(LEN(D177)=10,"+1"&amp;D177,IF(AND(LEN(D177)=11,LEFT(D177,1)="1"),"+"&amp;D177,IF(LEFT(C177,1)="+","+"&amp;D177,D177))))</f>
        <v/>
      </c>
      <c r="AE177" s="32">
        <f>IF(B177="","",PROPER(IFERROR(LEFT(B177,FIND(" ",B177)-1),B177)))</f>
        <v/>
      </c>
      <c r="AF177" s="32">
        <f>SUBSTITUTE(SUBSTITUTE(SUBSTITUTE(SUBSTITUTE(SUBSTITUTE(SUBSTITUTE(SUBSTITUTE(SUBSTITUTE(SUBSTITUTE(SUBSTITUTE(AE177,"%","%25"),"&amp;","%26"),"#","%23"),"+","%2B"),"=","%3D"),"?","%3F"),CHAR(34),"%22"),CHAR(10),"%0A"),CHAR(13),"")," ","+")</f>
        <v/>
      </c>
      <c r="AG177" s="32">
        <f>IF(OR(AD177="",AE177=""),"",'Start Here'!$B$20&amp;"#p="&amp;SUBSTITUTE(AD177,"+","%2B")&amp;"&amp;n="&amp;AF177&amp;"&amp;m="&amp;SUBSTITUTE('Start Here'!$B$24,"{name}",AF177))</f>
        <v/>
      </c>
      <c r="AH177" s="32">
        <f>N(AH176)+W177</f>
        <v/>
      </c>
      <c r="AI177" s="32">
        <f>IF(W177=1,AH177,"")</f>
        <v/>
      </c>
    </row>
    <row r="178">
      <c r="A178" s="32">
        <f>IF(INDEX('Form Responses'!$A:$A,ROW())="","",INDEX('Form Responses'!$A:$A,ROW()))</f>
        <v/>
      </c>
      <c r="B178" s="32">
        <f>TRIM(INDEX('Form Responses'!$B:$B,ROW())&amp;"")</f>
        <v/>
      </c>
      <c r="C178" s="32">
        <f>IF(B178="","",TRIM(INDEX('Form Responses'!$C:$C,ROW())&amp;""))</f>
        <v/>
      </c>
      <c r="D178" s="32">
        <f>SUBSTITUTE(SUBSTITUTE(SUBSTITUTE(SUBSTITUTE(SUBSTITUTE(SUBSTITUTE(SUBSTITUTE(SUBSTITUTE(C178," ",""),"-",""),"(",""),")",""),".",""),"+",""),"/",""),CHAR(160),"")</f>
        <v/>
      </c>
      <c r="E178" s="32">
        <f>IF(LEN(D178)&gt;=10,RIGHT(D178,10),D178)</f>
        <v/>
      </c>
      <c r="F178" s="32">
        <f>IF(B178="","",TRIM(INDEX('Form Responses'!$D:$D,ROW())&amp;""))</f>
        <v/>
      </c>
      <c r="G178" s="32">
        <f>IF(B178="","",IF(LEFT(TRIM(INDEX('Form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8" s="32">
        <f>IF(B178="","",MAX(0,IFERROR(INT(--(INDEX('Form Responses'!$F:$F,ROW())&amp;"")),1)))</f>
        <v/>
      </c>
      <c r="I178" s="32">
        <f>IF(B178="","",MAX(0,IFERROR(INT(--(INDEX('Form Responses'!$G:$G,ROW())&amp;"")),0)))</f>
        <v/>
      </c>
      <c r="J178" s="32">
        <f>IF(B178="","",TRIM(INDEX('Form Responses'!$H:$H,ROW())&amp;""))</f>
        <v/>
      </c>
      <c r="K178" s="32">
        <f>IF(B178="","",TRIM(INDEX('Form Responses'!$I:$I,ROW())&amp;""))</f>
        <v/>
      </c>
      <c r="L178" s="32">
        <f>IF(B178="","",TRIM(INDEX('Form Responses'!$J:$J,ROW())&amp;""))</f>
        <v/>
      </c>
      <c r="M178" s="32">
        <f>IF(B178="","",TRIM(INDEX('Form Responses'!$K:$K,ROW())&amp;""))</f>
        <v/>
      </c>
      <c r="N178" s="32">
        <f>IF(B178="","",IF(E178&lt;&gt;"","P"&amp;E178,"N"&amp;B178))</f>
        <v/>
      </c>
      <c r="O178" s="32">
        <f>IF(N178="",0,IF(COUNTIF(N179:N$602,N178)=0,1,0))</f>
        <v/>
      </c>
      <c r="P178" s="32">
        <f>IF(AND(O178=1,E178&lt;&gt;""),E178,"")</f>
        <v/>
      </c>
      <c r="Q178" s="32">
        <f>IF(O178=1,B178,"")</f>
        <v/>
      </c>
      <c r="R178" s="32">
        <f>IF(O178&lt;&gt;1,"",IF(E178&lt;&gt;"",IFERROR(MATCH(E178,Guests!$S$6:$S$505,0)+5,IFERROR(MATCH(B178,Guests!$A$6:$A$505,0)+5,"")),IFERROR(MATCH(B178,Guests!$A$6:$A$505,0)+5,"")))</f>
        <v/>
      </c>
      <c r="S178" s="32">
        <f>IF(R178="","",TRIM(INDEX(Guests!$E$1:$E$505,R178)&amp;""))</f>
        <v/>
      </c>
      <c r="T178" s="32">
        <f>IF(R178="","",IF(S178="",1,COUNTIF(Guests!$E$6:$E$505,S178)))</f>
        <v/>
      </c>
      <c r="U178" s="32">
        <f>IF(R178="","",IF(S178="",1,IF(COUNTIF(S$1:S177,S178)=0,1,0)))</f>
        <v/>
      </c>
      <c r="V178" s="32">
        <f>IF(AND(R178&lt;&gt;"",G178="Attending",U178=1),MAX(0,H178+I178-T178),0)</f>
        <v/>
      </c>
      <c r="W178" s="32">
        <f>IF(AND(O178=1,R178=""),1,0)</f>
        <v/>
      </c>
      <c r="X178" s="32">
        <f>IF(B178="",0,H178+I178)</f>
        <v/>
      </c>
      <c r="Y178" s="32">
        <f>N(Y177)+O178</f>
        <v/>
      </c>
      <c r="Z178" s="32">
        <f>IF(O178=1,Y178,"")</f>
        <v/>
      </c>
      <c r="AA178" s="32">
        <f>IF(AND(W178=1,G178="Not sure yet"),1,0)</f>
        <v/>
      </c>
      <c r="AB178" s="32">
        <f>N(AB177)+AA178</f>
        <v/>
      </c>
      <c r="AC178" s="32">
        <f>IF(AA178=1,AB178,"")</f>
        <v/>
      </c>
      <c r="AD178" s="32">
        <f>IF(D178="","",IF(LEN(D178)=10,"+1"&amp;D178,IF(AND(LEN(D178)=11,LEFT(D178,1)="1"),"+"&amp;D178,IF(LEFT(C178,1)="+","+"&amp;D178,D178))))</f>
        <v/>
      </c>
      <c r="AE178" s="32">
        <f>IF(B178="","",PROPER(IFERROR(LEFT(B178,FIND(" ",B178)-1),B178)))</f>
        <v/>
      </c>
      <c r="AF178" s="32">
        <f>SUBSTITUTE(SUBSTITUTE(SUBSTITUTE(SUBSTITUTE(SUBSTITUTE(SUBSTITUTE(SUBSTITUTE(SUBSTITUTE(SUBSTITUTE(SUBSTITUTE(AE178,"%","%25"),"&amp;","%26"),"#","%23"),"+","%2B"),"=","%3D"),"?","%3F"),CHAR(34),"%22"),CHAR(10),"%0A"),CHAR(13),"")," ","+")</f>
        <v/>
      </c>
      <c r="AG178" s="32">
        <f>IF(OR(AD178="",AE178=""),"",'Start Here'!$B$20&amp;"#p="&amp;SUBSTITUTE(AD178,"+","%2B")&amp;"&amp;n="&amp;AF178&amp;"&amp;m="&amp;SUBSTITUTE('Start Here'!$B$24,"{name}",AF178))</f>
        <v/>
      </c>
      <c r="AH178" s="32">
        <f>N(AH177)+W178</f>
        <v/>
      </c>
      <c r="AI178" s="32">
        <f>IF(W178=1,AH178,"")</f>
        <v/>
      </c>
    </row>
    <row r="179">
      <c r="A179" s="32">
        <f>IF(INDEX('Form Responses'!$A:$A,ROW())="","",INDEX('Form Responses'!$A:$A,ROW()))</f>
        <v/>
      </c>
      <c r="B179" s="32">
        <f>TRIM(INDEX('Form Responses'!$B:$B,ROW())&amp;"")</f>
        <v/>
      </c>
      <c r="C179" s="32">
        <f>IF(B179="","",TRIM(INDEX('Form Responses'!$C:$C,ROW())&amp;""))</f>
        <v/>
      </c>
      <c r="D179" s="32">
        <f>SUBSTITUTE(SUBSTITUTE(SUBSTITUTE(SUBSTITUTE(SUBSTITUTE(SUBSTITUTE(SUBSTITUTE(SUBSTITUTE(C179," ",""),"-",""),"(",""),")",""),".",""),"+",""),"/",""),CHAR(160),"")</f>
        <v/>
      </c>
      <c r="E179" s="32">
        <f>IF(LEN(D179)&gt;=10,RIGHT(D179,10),D179)</f>
        <v/>
      </c>
      <c r="F179" s="32">
        <f>IF(B179="","",TRIM(INDEX('Form Responses'!$D:$D,ROW())&amp;""))</f>
        <v/>
      </c>
      <c r="G179" s="32">
        <f>IF(B179="","",IF(LEFT(TRIM(INDEX('Form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79" s="32">
        <f>IF(B179="","",MAX(0,IFERROR(INT(--(INDEX('Form Responses'!$F:$F,ROW())&amp;"")),1)))</f>
        <v/>
      </c>
      <c r="I179" s="32">
        <f>IF(B179="","",MAX(0,IFERROR(INT(--(INDEX('Form Responses'!$G:$G,ROW())&amp;"")),0)))</f>
        <v/>
      </c>
      <c r="J179" s="32">
        <f>IF(B179="","",TRIM(INDEX('Form Responses'!$H:$H,ROW())&amp;""))</f>
        <v/>
      </c>
      <c r="K179" s="32">
        <f>IF(B179="","",TRIM(INDEX('Form Responses'!$I:$I,ROW())&amp;""))</f>
        <v/>
      </c>
      <c r="L179" s="32">
        <f>IF(B179="","",TRIM(INDEX('Form Responses'!$J:$J,ROW())&amp;""))</f>
        <v/>
      </c>
      <c r="M179" s="32">
        <f>IF(B179="","",TRIM(INDEX('Form Responses'!$K:$K,ROW())&amp;""))</f>
        <v/>
      </c>
      <c r="N179" s="32">
        <f>IF(B179="","",IF(E179&lt;&gt;"","P"&amp;E179,"N"&amp;B179))</f>
        <v/>
      </c>
      <c r="O179" s="32">
        <f>IF(N179="",0,IF(COUNTIF(N180:N$602,N179)=0,1,0))</f>
        <v/>
      </c>
      <c r="P179" s="32">
        <f>IF(AND(O179=1,E179&lt;&gt;""),E179,"")</f>
        <v/>
      </c>
      <c r="Q179" s="32">
        <f>IF(O179=1,B179,"")</f>
        <v/>
      </c>
      <c r="R179" s="32">
        <f>IF(O179&lt;&gt;1,"",IF(E179&lt;&gt;"",IFERROR(MATCH(E179,Guests!$S$6:$S$505,0)+5,IFERROR(MATCH(B179,Guests!$A$6:$A$505,0)+5,"")),IFERROR(MATCH(B179,Guests!$A$6:$A$505,0)+5,"")))</f>
        <v/>
      </c>
      <c r="S179" s="32">
        <f>IF(R179="","",TRIM(INDEX(Guests!$E$1:$E$505,R179)&amp;""))</f>
        <v/>
      </c>
      <c r="T179" s="32">
        <f>IF(R179="","",IF(S179="",1,COUNTIF(Guests!$E$6:$E$505,S179)))</f>
        <v/>
      </c>
      <c r="U179" s="32">
        <f>IF(R179="","",IF(S179="",1,IF(COUNTIF(S$1:S178,S179)=0,1,0)))</f>
        <v/>
      </c>
      <c r="V179" s="32">
        <f>IF(AND(R179&lt;&gt;"",G179="Attending",U179=1),MAX(0,H179+I179-T179),0)</f>
        <v/>
      </c>
      <c r="W179" s="32">
        <f>IF(AND(O179=1,R179=""),1,0)</f>
        <v/>
      </c>
      <c r="X179" s="32">
        <f>IF(B179="",0,H179+I179)</f>
        <v/>
      </c>
      <c r="Y179" s="32">
        <f>N(Y178)+O179</f>
        <v/>
      </c>
      <c r="Z179" s="32">
        <f>IF(O179=1,Y179,"")</f>
        <v/>
      </c>
      <c r="AA179" s="32">
        <f>IF(AND(W179=1,G179="Not sure yet"),1,0)</f>
        <v/>
      </c>
      <c r="AB179" s="32">
        <f>N(AB178)+AA179</f>
        <v/>
      </c>
      <c r="AC179" s="32">
        <f>IF(AA179=1,AB179,"")</f>
        <v/>
      </c>
      <c r="AD179" s="32">
        <f>IF(D179="","",IF(LEN(D179)=10,"+1"&amp;D179,IF(AND(LEN(D179)=11,LEFT(D179,1)="1"),"+"&amp;D179,IF(LEFT(C179,1)="+","+"&amp;D179,D179))))</f>
        <v/>
      </c>
      <c r="AE179" s="32">
        <f>IF(B179="","",PROPER(IFERROR(LEFT(B179,FIND(" ",B179)-1),B179)))</f>
        <v/>
      </c>
      <c r="AF179" s="32">
        <f>SUBSTITUTE(SUBSTITUTE(SUBSTITUTE(SUBSTITUTE(SUBSTITUTE(SUBSTITUTE(SUBSTITUTE(SUBSTITUTE(SUBSTITUTE(SUBSTITUTE(AE179,"%","%25"),"&amp;","%26"),"#","%23"),"+","%2B"),"=","%3D"),"?","%3F"),CHAR(34),"%22"),CHAR(10),"%0A"),CHAR(13),"")," ","+")</f>
        <v/>
      </c>
      <c r="AG179" s="32">
        <f>IF(OR(AD179="",AE179=""),"",'Start Here'!$B$20&amp;"#p="&amp;SUBSTITUTE(AD179,"+","%2B")&amp;"&amp;n="&amp;AF179&amp;"&amp;m="&amp;SUBSTITUTE('Start Here'!$B$24,"{name}",AF179))</f>
        <v/>
      </c>
      <c r="AH179" s="32">
        <f>N(AH178)+W179</f>
        <v/>
      </c>
      <c r="AI179" s="32">
        <f>IF(W179=1,AH179,"")</f>
        <v/>
      </c>
    </row>
    <row r="180">
      <c r="A180" s="32">
        <f>IF(INDEX('Form Responses'!$A:$A,ROW())="","",INDEX('Form Responses'!$A:$A,ROW()))</f>
        <v/>
      </c>
      <c r="B180" s="32">
        <f>TRIM(INDEX('Form Responses'!$B:$B,ROW())&amp;"")</f>
        <v/>
      </c>
      <c r="C180" s="32">
        <f>IF(B180="","",TRIM(INDEX('Form Responses'!$C:$C,ROW())&amp;""))</f>
        <v/>
      </c>
      <c r="D180" s="32">
        <f>SUBSTITUTE(SUBSTITUTE(SUBSTITUTE(SUBSTITUTE(SUBSTITUTE(SUBSTITUTE(SUBSTITUTE(SUBSTITUTE(C180," ",""),"-",""),"(",""),")",""),".",""),"+",""),"/",""),CHAR(160),"")</f>
        <v/>
      </c>
      <c r="E180" s="32">
        <f>IF(LEN(D180)&gt;=10,RIGHT(D180,10),D180)</f>
        <v/>
      </c>
      <c r="F180" s="32">
        <f>IF(B180="","",TRIM(INDEX('Form Responses'!$D:$D,ROW())&amp;""))</f>
        <v/>
      </c>
      <c r="G180" s="32">
        <f>IF(B180="","",IF(LEFT(TRIM(INDEX('Form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0" s="32">
        <f>IF(B180="","",MAX(0,IFERROR(INT(--(INDEX('Form Responses'!$F:$F,ROW())&amp;"")),1)))</f>
        <v/>
      </c>
      <c r="I180" s="32">
        <f>IF(B180="","",MAX(0,IFERROR(INT(--(INDEX('Form Responses'!$G:$G,ROW())&amp;"")),0)))</f>
        <v/>
      </c>
      <c r="J180" s="32">
        <f>IF(B180="","",TRIM(INDEX('Form Responses'!$H:$H,ROW())&amp;""))</f>
        <v/>
      </c>
      <c r="K180" s="32">
        <f>IF(B180="","",TRIM(INDEX('Form Responses'!$I:$I,ROW())&amp;""))</f>
        <v/>
      </c>
      <c r="L180" s="32">
        <f>IF(B180="","",TRIM(INDEX('Form Responses'!$J:$J,ROW())&amp;""))</f>
        <v/>
      </c>
      <c r="M180" s="32">
        <f>IF(B180="","",TRIM(INDEX('Form Responses'!$K:$K,ROW())&amp;""))</f>
        <v/>
      </c>
      <c r="N180" s="32">
        <f>IF(B180="","",IF(E180&lt;&gt;"","P"&amp;E180,"N"&amp;B180))</f>
        <v/>
      </c>
      <c r="O180" s="32">
        <f>IF(N180="",0,IF(COUNTIF(N181:N$602,N180)=0,1,0))</f>
        <v/>
      </c>
      <c r="P180" s="32">
        <f>IF(AND(O180=1,E180&lt;&gt;""),E180,"")</f>
        <v/>
      </c>
      <c r="Q180" s="32">
        <f>IF(O180=1,B180,"")</f>
        <v/>
      </c>
      <c r="R180" s="32">
        <f>IF(O180&lt;&gt;1,"",IF(E180&lt;&gt;"",IFERROR(MATCH(E180,Guests!$S$6:$S$505,0)+5,IFERROR(MATCH(B180,Guests!$A$6:$A$505,0)+5,"")),IFERROR(MATCH(B180,Guests!$A$6:$A$505,0)+5,"")))</f>
        <v/>
      </c>
      <c r="S180" s="32">
        <f>IF(R180="","",TRIM(INDEX(Guests!$E$1:$E$505,R180)&amp;""))</f>
        <v/>
      </c>
      <c r="T180" s="32">
        <f>IF(R180="","",IF(S180="",1,COUNTIF(Guests!$E$6:$E$505,S180)))</f>
        <v/>
      </c>
      <c r="U180" s="32">
        <f>IF(R180="","",IF(S180="",1,IF(COUNTIF(S$1:S179,S180)=0,1,0)))</f>
        <v/>
      </c>
      <c r="V180" s="32">
        <f>IF(AND(R180&lt;&gt;"",G180="Attending",U180=1),MAX(0,H180+I180-T180),0)</f>
        <v/>
      </c>
      <c r="W180" s="32">
        <f>IF(AND(O180=1,R180=""),1,0)</f>
        <v/>
      </c>
      <c r="X180" s="32">
        <f>IF(B180="",0,H180+I180)</f>
        <v/>
      </c>
      <c r="Y180" s="32">
        <f>N(Y179)+O180</f>
        <v/>
      </c>
      <c r="Z180" s="32">
        <f>IF(O180=1,Y180,"")</f>
        <v/>
      </c>
      <c r="AA180" s="32">
        <f>IF(AND(W180=1,G180="Not sure yet"),1,0)</f>
        <v/>
      </c>
      <c r="AB180" s="32">
        <f>N(AB179)+AA180</f>
        <v/>
      </c>
      <c r="AC180" s="32">
        <f>IF(AA180=1,AB180,"")</f>
        <v/>
      </c>
      <c r="AD180" s="32">
        <f>IF(D180="","",IF(LEN(D180)=10,"+1"&amp;D180,IF(AND(LEN(D180)=11,LEFT(D180,1)="1"),"+"&amp;D180,IF(LEFT(C180,1)="+","+"&amp;D180,D180))))</f>
        <v/>
      </c>
      <c r="AE180" s="32">
        <f>IF(B180="","",PROPER(IFERROR(LEFT(B180,FIND(" ",B180)-1),B180)))</f>
        <v/>
      </c>
      <c r="AF180" s="32">
        <f>SUBSTITUTE(SUBSTITUTE(SUBSTITUTE(SUBSTITUTE(SUBSTITUTE(SUBSTITUTE(SUBSTITUTE(SUBSTITUTE(SUBSTITUTE(SUBSTITUTE(AE180,"%","%25"),"&amp;","%26"),"#","%23"),"+","%2B"),"=","%3D"),"?","%3F"),CHAR(34),"%22"),CHAR(10),"%0A"),CHAR(13),"")," ","+")</f>
        <v/>
      </c>
      <c r="AG180" s="32">
        <f>IF(OR(AD180="",AE180=""),"",'Start Here'!$B$20&amp;"#p="&amp;SUBSTITUTE(AD180,"+","%2B")&amp;"&amp;n="&amp;AF180&amp;"&amp;m="&amp;SUBSTITUTE('Start Here'!$B$24,"{name}",AF180))</f>
        <v/>
      </c>
      <c r="AH180" s="32">
        <f>N(AH179)+W180</f>
        <v/>
      </c>
      <c r="AI180" s="32">
        <f>IF(W180=1,AH180,"")</f>
        <v/>
      </c>
    </row>
    <row r="181">
      <c r="A181" s="32">
        <f>IF(INDEX('Form Responses'!$A:$A,ROW())="","",INDEX('Form Responses'!$A:$A,ROW()))</f>
        <v/>
      </c>
      <c r="B181" s="32">
        <f>TRIM(INDEX('Form Responses'!$B:$B,ROW())&amp;"")</f>
        <v/>
      </c>
      <c r="C181" s="32">
        <f>IF(B181="","",TRIM(INDEX('Form Responses'!$C:$C,ROW())&amp;""))</f>
        <v/>
      </c>
      <c r="D181" s="32">
        <f>SUBSTITUTE(SUBSTITUTE(SUBSTITUTE(SUBSTITUTE(SUBSTITUTE(SUBSTITUTE(SUBSTITUTE(SUBSTITUTE(C181," ",""),"-",""),"(",""),")",""),".",""),"+",""),"/",""),CHAR(160),"")</f>
        <v/>
      </c>
      <c r="E181" s="32">
        <f>IF(LEN(D181)&gt;=10,RIGHT(D181,10),D181)</f>
        <v/>
      </c>
      <c r="F181" s="32">
        <f>IF(B181="","",TRIM(INDEX('Form Responses'!$D:$D,ROW())&amp;""))</f>
        <v/>
      </c>
      <c r="G181" s="32">
        <f>IF(B181="","",IF(LEFT(TRIM(INDEX('Form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1" s="32">
        <f>IF(B181="","",MAX(0,IFERROR(INT(--(INDEX('Form Responses'!$F:$F,ROW())&amp;"")),1)))</f>
        <v/>
      </c>
      <c r="I181" s="32">
        <f>IF(B181="","",MAX(0,IFERROR(INT(--(INDEX('Form Responses'!$G:$G,ROW())&amp;"")),0)))</f>
        <v/>
      </c>
      <c r="J181" s="32">
        <f>IF(B181="","",TRIM(INDEX('Form Responses'!$H:$H,ROW())&amp;""))</f>
        <v/>
      </c>
      <c r="K181" s="32">
        <f>IF(B181="","",TRIM(INDEX('Form Responses'!$I:$I,ROW())&amp;""))</f>
        <v/>
      </c>
      <c r="L181" s="32">
        <f>IF(B181="","",TRIM(INDEX('Form Responses'!$J:$J,ROW())&amp;""))</f>
        <v/>
      </c>
      <c r="M181" s="32">
        <f>IF(B181="","",TRIM(INDEX('Form Responses'!$K:$K,ROW())&amp;""))</f>
        <v/>
      </c>
      <c r="N181" s="32">
        <f>IF(B181="","",IF(E181&lt;&gt;"","P"&amp;E181,"N"&amp;B181))</f>
        <v/>
      </c>
      <c r="O181" s="32">
        <f>IF(N181="",0,IF(COUNTIF(N182:N$602,N181)=0,1,0))</f>
        <v/>
      </c>
      <c r="P181" s="32">
        <f>IF(AND(O181=1,E181&lt;&gt;""),E181,"")</f>
        <v/>
      </c>
      <c r="Q181" s="32">
        <f>IF(O181=1,B181,"")</f>
        <v/>
      </c>
      <c r="R181" s="32">
        <f>IF(O181&lt;&gt;1,"",IF(E181&lt;&gt;"",IFERROR(MATCH(E181,Guests!$S$6:$S$505,0)+5,IFERROR(MATCH(B181,Guests!$A$6:$A$505,0)+5,"")),IFERROR(MATCH(B181,Guests!$A$6:$A$505,0)+5,"")))</f>
        <v/>
      </c>
      <c r="S181" s="32">
        <f>IF(R181="","",TRIM(INDEX(Guests!$E$1:$E$505,R181)&amp;""))</f>
        <v/>
      </c>
      <c r="T181" s="32">
        <f>IF(R181="","",IF(S181="",1,COUNTIF(Guests!$E$6:$E$505,S181)))</f>
        <v/>
      </c>
      <c r="U181" s="32">
        <f>IF(R181="","",IF(S181="",1,IF(COUNTIF(S$1:S180,S181)=0,1,0)))</f>
        <v/>
      </c>
      <c r="V181" s="32">
        <f>IF(AND(R181&lt;&gt;"",G181="Attending",U181=1),MAX(0,H181+I181-T181),0)</f>
        <v/>
      </c>
      <c r="W181" s="32">
        <f>IF(AND(O181=1,R181=""),1,0)</f>
        <v/>
      </c>
      <c r="X181" s="32">
        <f>IF(B181="",0,H181+I181)</f>
        <v/>
      </c>
      <c r="Y181" s="32">
        <f>N(Y180)+O181</f>
        <v/>
      </c>
      <c r="Z181" s="32">
        <f>IF(O181=1,Y181,"")</f>
        <v/>
      </c>
      <c r="AA181" s="32">
        <f>IF(AND(W181=1,G181="Not sure yet"),1,0)</f>
        <v/>
      </c>
      <c r="AB181" s="32">
        <f>N(AB180)+AA181</f>
        <v/>
      </c>
      <c r="AC181" s="32">
        <f>IF(AA181=1,AB181,"")</f>
        <v/>
      </c>
      <c r="AD181" s="32">
        <f>IF(D181="","",IF(LEN(D181)=10,"+1"&amp;D181,IF(AND(LEN(D181)=11,LEFT(D181,1)="1"),"+"&amp;D181,IF(LEFT(C181,1)="+","+"&amp;D181,D181))))</f>
        <v/>
      </c>
      <c r="AE181" s="32">
        <f>IF(B181="","",PROPER(IFERROR(LEFT(B181,FIND(" ",B181)-1),B181)))</f>
        <v/>
      </c>
      <c r="AF181" s="32">
        <f>SUBSTITUTE(SUBSTITUTE(SUBSTITUTE(SUBSTITUTE(SUBSTITUTE(SUBSTITUTE(SUBSTITUTE(SUBSTITUTE(SUBSTITUTE(SUBSTITUTE(AE181,"%","%25"),"&amp;","%26"),"#","%23"),"+","%2B"),"=","%3D"),"?","%3F"),CHAR(34),"%22"),CHAR(10),"%0A"),CHAR(13),"")," ","+")</f>
        <v/>
      </c>
      <c r="AG181" s="32">
        <f>IF(OR(AD181="",AE181=""),"",'Start Here'!$B$20&amp;"#p="&amp;SUBSTITUTE(AD181,"+","%2B")&amp;"&amp;n="&amp;AF181&amp;"&amp;m="&amp;SUBSTITUTE('Start Here'!$B$24,"{name}",AF181))</f>
        <v/>
      </c>
      <c r="AH181" s="32">
        <f>N(AH180)+W181</f>
        <v/>
      </c>
      <c r="AI181" s="32">
        <f>IF(W181=1,AH181,"")</f>
        <v/>
      </c>
    </row>
    <row r="182">
      <c r="A182" s="32">
        <f>IF(INDEX('Form Responses'!$A:$A,ROW())="","",INDEX('Form Responses'!$A:$A,ROW()))</f>
        <v/>
      </c>
      <c r="B182" s="32">
        <f>TRIM(INDEX('Form Responses'!$B:$B,ROW())&amp;"")</f>
        <v/>
      </c>
      <c r="C182" s="32">
        <f>IF(B182="","",TRIM(INDEX('Form Responses'!$C:$C,ROW())&amp;""))</f>
        <v/>
      </c>
      <c r="D182" s="32">
        <f>SUBSTITUTE(SUBSTITUTE(SUBSTITUTE(SUBSTITUTE(SUBSTITUTE(SUBSTITUTE(SUBSTITUTE(SUBSTITUTE(C182," ",""),"-",""),"(",""),")",""),".",""),"+",""),"/",""),CHAR(160),"")</f>
        <v/>
      </c>
      <c r="E182" s="32">
        <f>IF(LEN(D182)&gt;=10,RIGHT(D182,10),D182)</f>
        <v/>
      </c>
      <c r="F182" s="32">
        <f>IF(B182="","",TRIM(INDEX('Form Responses'!$D:$D,ROW())&amp;""))</f>
        <v/>
      </c>
      <c r="G182" s="32">
        <f>IF(B182="","",IF(LEFT(TRIM(INDEX('Form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2" s="32">
        <f>IF(B182="","",MAX(0,IFERROR(INT(--(INDEX('Form Responses'!$F:$F,ROW())&amp;"")),1)))</f>
        <v/>
      </c>
      <c r="I182" s="32">
        <f>IF(B182="","",MAX(0,IFERROR(INT(--(INDEX('Form Responses'!$G:$G,ROW())&amp;"")),0)))</f>
        <v/>
      </c>
      <c r="J182" s="32">
        <f>IF(B182="","",TRIM(INDEX('Form Responses'!$H:$H,ROW())&amp;""))</f>
        <v/>
      </c>
      <c r="K182" s="32">
        <f>IF(B182="","",TRIM(INDEX('Form Responses'!$I:$I,ROW())&amp;""))</f>
        <v/>
      </c>
      <c r="L182" s="32">
        <f>IF(B182="","",TRIM(INDEX('Form Responses'!$J:$J,ROW())&amp;""))</f>
        <v/>
      </c>
      <c r="M182" s="32">
        <f>IF(B182="","",TRIM(INDEX('Form Responses'!$K:$K,ROW())&amp;""))</f>
        <v/>
      </c>
      <c r="N182" s="32">
        <f>IF(B182="","",IF(E182&lt;&gt;"","P"&amp;E182,"N"&amp;B182))</f>
        <v/>
      </c>
      <c r="O182" s="32">
        <f>IF(N182="",0,IF(COUNTIF(N183:N$602,N182)=0,1,0))</f>
        <v/>
      </c>
      <c r="P182" s="32">
        <f>IF(AND(O182=1,E182&lt;&gt;""),E182,"")</f>
        <v/>
      </c>
      <c r="Q182" s="32">
        <f>IF(O182=1,B182,"")</f>
        <v/>
      </c>
      <c r="R182" s="32">
        <f>IF(O182&lt;&gt;1,"",IF(E182&lt;&gt;"",IFERROR(MATCH(E182,Guests!$S$6:$S$505,0)+5,IFERROR(MATCH(B182,Guests!$A$6:$A$505,0)+5,"")),IFERROR(MATCH(B182,Guests!$A$6:$A$505,0)+5,"")))</f>
        <v/>
      </c>
      <c r="S182" s="32">
        <f>IF(R182="","",TRIM(INDEX(Guests!$E$1:$E$505,R182)&amp;""))</f>
        <v/>
      </c>
      <c r="T182" s="32">
        <f>IF(R182="","",IF(S182="",1,COUNTIF(Guests!$E$6:$E$505,S182)))</f>
        <v/>
      </c>
      <c r="U182" s="32">
        <f>IF(R182="","",IF(S182="",1,IF(COUNTIF(S$1:S181,S182)=0,1,0)))</f>
        <v/>
      </c>
      <c r="V182" s="32">
        <f>IF(AND(R182&lt;&gt;"",G182="Attending",U182=1),MAX(0,H182+I182-T182),0)</f>
        <v/>
      </c>
      <c r="W182" s="32">
        <f>IF(AND(O182=1,R182=""),1,0)</f>
        <v/>
      </c>
      <c r="X182" s="32">
        <f>IF(B182="",0,H182+I182)</f>
        <v/>
      </c>
      <c r="Y182" s="32">
        <f>N(Y181)+O182</f>
        <v/>
      </c>
      <c r="Z182" s="32">
        <f>IF(O182=1,Y182,"")</f>
        <v/>
      </c>
      <c r="AA182" s="32">
        <f>IF(AND(W182=1,G182="Not sure yet"),1,0)</f>
        <v/>
      </c>
      <c r="AB182" s="32">
        <f>N(AB181)+AA182</f>
        <v/>
      </c>
      <c r="AC182" s="32">
        <f>IF(AA182=1,AB182,"")</f>
        <v/>
      </c>
      <c r="AD182" s="32">
        <f>IF(D182="","",IF(LEN(D182)=10,"+1"&amp;D182,IF(AND(LEN(D182)=11,LEFT(D182,1)="1"),"+"&amp;D182,IF(LEFT(C182,1)="+","+"&amp;D182,D182))))</f>
        <v/>
      </c>
      <c r="AE182" s="32">
        <f>IF(B182="","",PROPER(IFERROR(LEFT(B182,FIND(" ",B182)-1),B182)))</f>
        <v/>
      </c>
      <c r="AF182" s="32">
        <f>SUBSTITUTE(SUBSTITUTE(SUBSTITUTE(SUBSTITUTE(SUBSTITUTE(SUBSTITUTE(SUBSTITUTE(SUBSTITUTE(SUBSTITUTE(SUBSTITUTE(AE182,"%","%25"),"&amp;","%26"),"#","%23"),"+","%2B"),"=","%3D"),"?","%3F"),CHAR(34),"%22"),CHAR(10),"%0A"),CHAR(13),"")," ","+")</f>
        <v/>
      </c>
      <c r="AG182" s="32">
        <f>IF(OR(AD182="",AE182=""),"",'Start Here'!$B$20&amp;"#p="&amp;SUBSTITUTE(AD182,"+","%2B")&amp;"&amp;n="&amp;AF182&amp;"&amp;m="&amp;SUBSTITUTE('Start Here'!$B$24,"{name}",AF182))</f>
        <v/>
      </c>
      <c r="AH182" s="32">
        <f>N(AH181)+W182</f>
        <v/>
      </c>
      <c r="AI182" s="32">
        <f>IF(W182=1,AH182,"")</f>
        <v/>
      </c>
    </row>
    <row r="183">
      <c r="A183" s="32">
        <f>IF(INDEX('Form Responses'!$A:$A,ROW())="","",INDEX('Form Responses'!$A:$A,ROW()))</f>
        <v/>
      </c>
      <c r="B183" s="32">
        <f>TRIM(INDEX('Form Responses'!$B:$B,ROW())&amp;"")</f>
        <v/>
      </c>
      <c r="C183" s="32">
        <f>IF(B183="","",TRIM(INDEX('Form Responses'!$C:$C,ROW())&amp;""))</f>
        <v/>
      </c>
      <c r="D183" s="32">
        <f>SUBSTITUTE(SUBSTITUTE(SUBSTITUTE(SUBSTITUTE(SUBSTITUTE(SUBSTITUTE(SUBSTITUTE(SUBSTITUTE(C183," ",""),"-",""),"(",""),")",""),".",""),"+",""),"/",""),CHAR(160),"")</f>
        <v/>
      </c>
      <c r="E183" s="32">
        <f>IF(LEN(D183)&gt;=10,RIGHT(D183,10),D183)</f>
        <v/>
      </c>
      <c r="F183" s="32">
        <f>IF(B183="","",TRIM(INDEX('Form Responses'!$D:$D,ROW())&amp;""))</f>
        <v/>
      </c>
      <c r="G183" s="32">
        <f>IF(B183="","",IF(LEFT(TRIM(INDEX('Form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3" s="32">
        <f>IF(B183="","",MAX(0,IFERROR(INT(--(INDEX('Form Responses'!$F:$F,ROW())&amp;"")),1)))</f>
        <v/>
      </c>
      <c r="I183" s="32">
        <f>IF(B183="","",MAX(0,IFERROR(INT(--(INDEX('Form Responses'!$G:$G,ROW())&amp;"")),0)))</f>
        <v/>
      </c>
      <c r="J183" s="32">
        <f>IF(B183="","",TRIM(INDEX('Form Responses'!$H:$H,ROW())&amp;""))</f>
        <v/>
      </c>
      <c r="K183" s="32">
        <f>IF(B183="","",TRIM(INDEX('Form Responses'!$I:$I,ROW())&amp;""))</f>
        <v/>
      </c>
      <c r="L183" s="32">
        <f>IF(B183="","",TRIM(INDEX('Form Responses'!$J:$J,ROW())&amp;""))</f>
        <v/>
      </c>
      <c r="M183" s="32">
        <f>IF(B183="","",TRIM(INDEX('Form Responses'!$K:$K,ROW())&amp;""))</f>
        <v/>
      </c>
      <c r="N183" s="32">
        <f>IF(B183="","",IF(E183&lt;&gt;"","P"&amp;E183,"N"&amp;B183))</f>
        <v/>
      </c>
      <c r="O183" s="32">
        <f>IF(N183="",0,IF(COUNTIF(N184:N$602,N183)=0,1,0))</f>
        <v/>
      </c>
      <c r="P183" s="32">
        <f>IF(AND(O183=1,E183&lt;&gt;""),E183,"")</f>
        <v/>
      </c>
      <c r="Q183" s="32">
        <f>IF(O183=1,B183,"")</f>
        <v/>
      </c>
      <c r="R183" s="32">
        <f>IF(O183&lt;&gt;1,"",IF(E183&lt;&gt;"",IFERROR(MATCH(E183,Guests!$S$6:$S$505,0)+5,IFERROR(MATCH(B183,Guests!$A$6:$A$505,0)+5,"")),IFERROR(MATCH(B183,Guests!$A$6:$A$505,0)+5,"")))</f>
        <v/>
      </c>
      <c r="S183" s="32">
        <f>IF(R183="","",TRIM(INDEX(Guests!$E$1:$E$505,R183)&amp;""))</f>
        <v/>
      </c>
      <c r="T183" s="32">
        <f>IF(R183="","",IF(S183="",1,COUNTIF(Guests!$E$6:$E$505,S183)))</f>
        <v/>
      </c>
      <c r="U183" s="32">
        <f>IF(R183="","",IF(S183="",1,IF(COUNTIF(S$1:S182,S183)=0,1,0)))</f>
        <v/>
      </c>
      <c r="V183" s="32">
        <f>IF(AND(R183&lt;&gt;"",G183="Attending",U183=1),MAX(0,H183+I183-T183),0)</f>
        <v/>
      </c>
      <c r="W183" s="32">
        <f>IF(AND(O183=1,R183=""),1,0)</f>
        <v/>
      </c>
      <c r="X183" s="32">
        <f>IF(B183="",0,H183+I183)</f>
        <v/>
      </c>
      <c r="Y183" s="32">
        <f>N(Y182)+O183</f>
        <v/>
      </c>
      <c r="Z183" s="32">
        <f>IF(O183=1,Y183,"")</f>
        <v/>
      </c>
      <c r="AA183" s="32">
        <f>IF(AND(W183=1,G183="Not sure yet"),1,0)</f>
        <v/>
      </c>
      <c r="AB183" s="32">
        <f>N(AB182)+AA183</f>
        <v/>
      </c>
      <c r="AC183" s="32">
        <f>IF(AA183=1,AB183,"")</f>
        <v/>
      </c>
      <c r="AD183" s="32">
        <f>IF(D183="","",IF(LEN(D183)=10,"+1"&amp;D183,IF(AND(LEN(D183)=11,LEFT(D183,1)="1"),"+"&amp;D183,IF(LEFT(C183,1)="+","+"&amp;D183,D183))))</f>
        <v/>
      </c>
      <c r="AE183" s="32">
        <f>IF(B183="","",PROPER(IFERROR(LEFT(B183,FIND(" ",B183)-1),B183)))</f>
        <v/>
      </c>
      <c r="AF183" s="32">
        <f>SUBSTITUTE(SUBSTITUTE(SUBSTITUTE(SUBSTITUTE(SUBSTITUTE(SUBSTITUTE(SUBSTITUTE(SUBSTITUTE(SUBSTITUTE(SUBSTITUTE(AE183,"%","%25"),"&amp;","%26"),"#","%23"),"+","%2B"),"=","%3D"),"?","%3F"),CHAR(34),"%22"),CHAR(10),"%0A"),CHAR(13),"")," ","+")</f>
        <v/>
      </c>
      <c r="AG183" s="32">
        <f>IF(OR(AD183="",AE183=""),"",'Start Here'!$B$20&amp;"#p="&amp;SUBSTITUTE(AD183,"+","%2B")&amp;"&amp;n="&amp;AF183&amp;"&amp;m="&amp;SUBSTITUTE('Start Here'!$B$24,"{name}",AF183))</f>
        <v/>
      </c>
      <c r="AH183" s="32">
        <f>N(AH182)+W183</f>
        <v/>
      </c>
      <c r="AI183" s="32">
        <f>IF(W183=1,AH183,"")</f>
        <v/>
      </c>
    </row>
    <row r="184">
      <c r="A184" s="32">
        <f>IF(INDEX('Form Responses'!$A:$A,ROW())="","",INDEX('Form Responses'!$A:$A,ROW()))</f>
        <v/>
      </c>
      <c r="B184" s="32">
        <f>TRIM(INDEX('Form Responses'!$B:$B,ROW())&amp;"")</f>
        <v/>
      </c>
      <c r="C184" s="32">
        <f>IF(B184="","",TRIM(INDEX('Form Responses'!$C:$C,ROW())&amp;""))</f>
        <v/>
      </c>
      <c r="D184" s="32">
        <f>SUBSTITUTE(SUBSTITUTE(SUBSTITUTE(SUBSTITUTE(SUBSTITUTE(SUBSTITUTE(SUBSTITUTE(SUBSTITUTE(C184," ",""),"-",""),"(",""),")",""),".",""),"+",""),"/",""),CHAR(160),"")</f>
        <v/>
      </c>
      <c r="E184" s="32">
        <f>IF(LEN(D184)&gt;=10,RIGHT(D184,10),D184)</f>
        <v/>
      </c>
      <c r="F184" s="32">
        <f>IF(B184="","",TRIM(INDEX('Form Responses'!$D:$D,ROW())&amp;""))</f>
        <v/>
      </c>
      <c r="G184" s="32">
        <f>IF(B184="","",IF(LEFT(TRIM(INDEX('Form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4" s="32">
        <f>IF(B184="","",MAX(0,IFERROR(INT(--(INDEX('Form Responses'!$F:$F,ROW())&amp;"")),1)))</f>
        <v/>
      </c>
      <c r="I184" s="32">
        <f>IF(B184="","",MAX(0,IFERROR(INT(--(INDEX('Form Responses'!$G:$G,ROW())&amp;"")),0)))</f>
        <v/>
      </c>
      <c r="J184" s="32">
        <f>IF(B184="","",TRIM(INDEX('Form Responses'!$H:$H,ROW())&amp;""))</f>
        <v/>
      </c>
      <c r="K184" s="32">
        <f>IF(B184="","",TRIM(INDEX('Form Responses'!$I:$I,ROW())&amp;""))</f>
        <v/>
      </c>
      <c r="L184" s="32">
        <f>IF(B184="","",TRIM(INDEX('Form Responses'!$J:$J,ROW())&amp;""))</f>
        <v/>
      </c>
      <c r="M184" s="32">
        <f>IF(B184="","",TRIM(INDEX('Form Responses'!$K:$K,ROW())&amp;""))</f>
        <v/>
      </c>
      <c r="N184" s="32">
        <f>IF(B184="","",IF(E184&lt;&gt;"","P"&amp;E184,"N"&amp;B184))</f>
        <v/>
      </c>
      <c r="O184" s="32">
        <f>IF(N184="",0,IF(COUNTIF(N185:N$602,N184)=0,1,0))</f>
        <v/>
      </c>
      <c r="P184" s="32">
        <f>IF(AND(O184=1,E184&lt;&gt;""),E184,"")</f>
        <v/>
      </c>
      <c r="Q184" s="32">
        <f>IF(O184=1,B184,"")</f>
        <v/>
      </c>
      <c r="R184" s="32">
        <f>IF(O184&lt;&gt;1,"",IF(E184&lt;&gt;"",IFERROR(MATCH(E184,Guests!$S$6:$S$505,0)+5,IFERROR(MATCH(B184,Guests!$A$6:$A$505,0)+5,"")),IFERROR(MATCH(B184,Guests!$A$6:$A$505,0)+5,"")))</f>
        <v/>
      </c>
      <c r="S184" s="32">
        <f>IF(R184="","",TRIM(INDEX(Guests!$E$1:$E$505,R184)&amp;""))</f>
        <v/>
      </c>
      <c r="T184" s="32">
        <f>IF(R184="","",IF(S184="",1,COUNTIF(Guests!$E$6:$E$505,S184)))</f>
        <v/>
      </c>
      <c r="U184" s="32">
        <f>IF(R184="","",IF(S184="",1,IF(COUNTIF(S$1:S183,S184)=0,1,0)))</f>
        <v/>
      </c>
      <c r="V184" s="32">
        <f>IF(AND(R184&lt;&gt;"",G184="Attending",U184=1),MAX(0,H184+I184-T184),0)</f>
        <v/>
      </c>
      <c r="W184" s="32">
        <f>IF(AND(O184=1,R184=""),1,0)</f>
        <v/>
      </c>
      <c r="X184" s="32">
        <f>IF(B184="",0,H184+I184)</f>
        <v/>
      </c>
      <c r="Y184" s="32">
        <f>N(Y183)+O184</f>
        <v/>
      </c>
      <c r="Z184" s="32">
        <f>IF(O184=1,Y184,"")</f>
        <v/>
      </c>
      <c r="AA184" s="32">
        <f>IF(AND(W184=1,G184="Not sure yet"),1,0)</f>
        <v/>
      </c>
      <c r="AB184" s="32">
        <f>N(AB183)+AA184</f>
        <v/>
      </c>
      <c r="AC184" s="32">
        <f>IF(AA184=1,AB184,"")</f>
        <v/>
      </c>
      <c r="AD184" s="32">
        <f>IF(D184="","",IF(LEN(D184)=10,"+1"&amp;D184,IF(AND(LEN(D184)=11,LEFT(D184,1)="1"),"+"&amp;D184,IF(LEFT(C184,1)="+","+"&amp;D184,D184))))</f>
        <v/>
      </c>
      <c r="AE184" s="32">
        <f>IF(B184="","",PROPER(IFERROR(LEFT(B184,FIND(" ",B184)-1),B184)))</f>
        <v/>
      </c>
      <c r="AF184" s="32">
        <f>SUBSTITUTE(SUBSTITUTE(SUBSTITUTE(SUBSTITUTE(SUBSTITUTE(SUBSTITUTE(SUBSTITUTE(SUBSTITUTE(SUBSTITUTE(SUBSTITUTE(AE184,"%","%25"),"&amp;","%26"),"#","%23"),"+","%2B"),"=","%3D"),"?","%3F"),CHAR(34),"%22"),CHAR(10),"%0A"),CHAR(13),"")," ","+")</f>
        <v/>
      </c>
      <c r="AG184" s="32">
        <f>IF(OR(AD184="",AE184=""),"",'Start Here'!$B$20&amp;"#p="&amp;SUBSTITUTE(AD184,"+","%2B")&amp;"&amp;n="&amp;AF184&amp;"&amp;m="&amp;SUBSTITUTE('Start Here'!$B$24,"{name}",AF184))</f>
        <v/>
      </c>
      <c r="AH184" s="32">
        <f>N(AH183)+W184</f>
        <v/>
      </c>
      <c r="AI184" s="32">
        <f>IF(W184=1,AH184,"")</f>
        <v/>
      </c>
    </row>
    <row r="185">
      <c r="A185" s="32">
        <f>IF(INDEX('Form Responses'!$A:$A,ROW())="","",INDEX('Form Responses'!$A:$A,ROW()))</f>
        <v/>
      </c>
      <c r="B185" s="32">
        <f>TRIM(INDEX('Form Responses'!$B:$B,ROW())&amp;"")</f>
        <v/>
      </c>
      <c r="C185" s="32">
        <f>IF(B185="","",TRIM(INDEX('Form Responses'!$C:$C,ROW())&amp;""))</f>
        <v/>
      </c>
      <c r="D185" s="32">
        <f>SUBSTITUTE(SUBSTITUTE(SUBSTITUTE(SUBSTITUTE(SUBSTITUTE(SUBSTITUTE(SUBSTITUTE(SUBSTITUTE(C185," ",""),"-",""),"(",""),")",""),".",""),"+",""),"/",""),CHAR(160),"")</f>
        <v/>
      </c>
      <c r="E185" s="32">
        <f>IF(LEN(D185)&gt;=10,RIGHT(D185,10),D185)</f>
        <v/>
      </c>
      <c r="F185" s="32">
        <f>IF(B185="","",TRIM(INDEX('Form Responses'!$D:$D,ROW())&amp;""))</f>
        <v/>
      </c>
      <c r="G185" s="32">
        <f>IF(B185="","",IF(LEFT(TRIM(INDEX('Form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5" s="32">
        <f>IF(B185="","",MAX(0,IFERROR(INT(--(INDEX('Form Responses'!$F:$F,ROW())&amp;"")),1)))</f>
        <v/>
      </c>
      <c r="I185" s="32">
        <f>IF(B185="","",MAX(0,IFERROR(INT(--(INDEX('Form Responses'!$G:$G,ROW())&amp;"")),0)))</f>
        <v/>
      </c>
      <c r="J185" s="32">
        <f>IF(B185="","",TRIM(INDEX('Form Responses'!$H:$H,ROW())&amp;""))</f>
        <v/>
      </c>
      <c r="K185" s="32">
        <f>IF(B185="","",TRIM(INDEX('Form Responses'!$I:$I,ROW())&amp;""))</f>
        <v/>
      </c>
      <c r="L185" s="32">
        <f>IF(B185="","",TRIM(INDEX('Form Responses'!$J:$J,ROW())&amp;""))</f>
        <v/>
      </c>
      <c r="M185" s="32">
        <f>IF(B185="","",TRIM(INDEX('Form Responses'!$K:$K,ROW())&amp;""))</f>
        <v/>
      </c>
      <c r="N185" s="32">
        <f>IF(B185="","",IF(E185&lt;&gt;"","P"&amp;E185,"N"&amp;B185))</f>
        <v/>
      </c>
      <c r="O185" s="32">
        <f>IF(N185="",0,IF(COUNTIF(N186:N$602,N185)=0,1,0))</f>
        <v/>
      </c>
      <c r="P185" s="32">
        <f>IF(AND(O185=1,E185&lt;&gt;""),E185,"")</f>
        <v/>
      </c>
      <c r="Q185" s="32">
        <f>IF(O185=1,B185,"")</f>
        <v/>
      </c>
      <c r="R185" s="32">
        <f>IF(O185&lt;&gt;1,"",IF(E185&lt;&gt;"",IFERROR(MATCH(E185,Guests!$S$6:$S$505,0)+5,IFERROR(MATCH(B185,Guests!$A$6:$A$505,0)+5,"")),IFERROR(MATCH(B185,Guests!$A$6:$A$505,0)+5,"")))</f>
        <v/>
      </c>
      <c r="S185" s="32">
        <f>IF(R185="","",TRIM(INDEX(Guests!$E$1:$E$505,R185)&amp;""))</f>
        <v/>
      </c>
      <c r="T185" s="32">
        <f>IF(R185="","",IF(S185="",1,COUNTIF(Guests!$E$6:$E$505,S185)))</f>
        <v/>
      </c>
      <c r="U185" s="32">
        <f>IF(R185="","",IF(S185="",1,IF(COUNTIF(S$1:S184,S185)=0,1,0)))</f>
        <v/>
      </c>
      <c r="V185" s="32">
        <f>IF(AND(R185&lt;&gt;"",G185="Attending",U185=1),MAX(0,H185+I185-T185),0)</f>
        <v/>
      </c>
      <c r="W185" s="32">
        <f>IF(AND(O185=1,R185=""),1,0)</f>
        <v/>
      </c>
      <c r="X185" s="32">
        <f>IF(B185="",0,H185+I185)</f>
        <v/>
      </c>
      <c r="Y185" s="32">
        <f>N(Y184)+O185</f>
        <v/>
      </c>
      <c r="Z185" s="32">
        <f>IF(O185=1,Y185,"")</f>
        <v/>
      </c>
      <c r="AA185" s="32">
        <f>IF(AND(W185=1,G185="Not sure yet"),1,0)</f>
        <v/>
      </c>
      <c r="AB185" s="32">
        <f>N(AB184)+AA185</f>
        <v/>
      </c>
      <c r="AC185" s="32">
        <f>IF(AA185=1,AB185,"")</f>
        <v/>
      </c>
      <c r="AD185" s="32">
        <f>IF(D185="","",IF(LEN(D185)=10,"+1"&amp;D185,IF(AND(LEN(D185)=11,LEFT(D185,1)="1"),"+"&amp;D185,IF(LEFT(C185,1)="+","+"&amp;D185,D185))))</f>
        <v/>
      </c>
      <c r="AE185" s="32">
        <f>IF(B185="","",PROPER(IFERROR(LEFT(B185,FIND(" ",B185)-1),B185)))</f>
        <v/>
      </c>
      <c r="AF185" s="32">
        <f>SUBSTITUTE(SUBSTITUTE(SUBSTITUTE(SUBSTITUTE(SUBSTITUTE(SUBSTITUTE(SUBSTITUTE(SUBSTITUTE(SUBSTITUTE(SUBSTITUTE(AE185,"%","%25"),"&amp;","%26"),"#","%23"),"+","%2B"),"=","%3D"),"?","%3F"),CHAR(34),"%22"),CHAR(10),"%0A"),CHAR(13),"")," ","+")</f>
        <v/>
      </c>
      <c r="AG185" s="32">
        <f>IF(OR(AD185="",AE185=""),"",'Start Here'!$B$20&amp;"#p="&amp;SUBSTITUTE(AD185,"+","%2B")&amp;"&amp;n="&amp;AF185&amp;"&amp;m="&amp;SUBSTITUTE('Start Here'!$B$24,"{name}",AF185))</f>
        <v/>
      </c>
      <c r="AH185" s="32">
        <f>N(AH184)+W185</f>
        <v/>
      </c>
      <c r="AI185" s="32">
        <f>IF(W185=1,AH185,"")</f>
        <v/>
      </c>
    </row>
    <row r="186">
      <c r="A186" s="32">
        <f>IF(INDEX('Form Responses'!$A:$A,ROW())="","",INDEX('Form Responses'!$A:$A,ROW()))</f>
        <v/>
      </c>
      <c r="B186" s="32">
        <f>TRIM(INDEX('Form Responses'!$B:$B,ROW())&amp;"")</f>
        <v/>
      </c>
      <c r="C186" s="32">
        <f>IF(B186="","",TRIM(INDEX('Form Responses'!$C:$C,ROW())&amp;""))</f>
        <v/>
      </c>
      <c r="D186" s="32">
        <f>SUBSTITUTE(SUBSTITUTE(SUBSTITUTE(SUBSTITUTE(SUBSTITUTE(SUBSTITUTE(SUBSTITUTE(SUBSTITUTE(C186," ",""),"-",""),"(",""),")",""),".",""),"+",""),"/",""),CHAR(160),"")</f>
        <v/>
      </c>
      <c r="E186" s="32">
        <f>IF(LEN(D186)&gt;=10,RIGHT(D186,10),D186)</f>
        <v/>
      </c>
      <c r="F186" s="32">
        <f>IF(B186="","",TRIM(INDEX('Form Responses'!$D:$D,ROW())&amp;""))</f>
        <v/>
      </c>
      <c r="G186" s="32">
        <f>IF(B186="","",IF(LEFT(TRIM(INDEX('Form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6" s="32">
        <f>IF(B186="","",MAX(0,IFERROR(INT(--(INDEX('Form Responses'!$F:$F,ROW())&amp;"")),1)))</f>
        <v/>
      </c>
      <c r="I186" s="32">
        <f>IF(B186="","",MAX(0,IFERROR(INT(--(INDEX('Form Responses'!$G:$G,ROW())&amp;"")),0)))</f>
        <v/>
      </c>
      <c r="J186" s="32">
        <f>IF(B186="","",TRIM(INDEX('Form Responses'!$H:$H,ROW())&amp;""))</f>
        <v/>
      </c>
      <c r="K186" s="32">
        <f>IF(B186="","",TRIM(INDEX('Form Responses'!$I:$I,ROW())&amp;""))</f>
        <v/>
      </c>
      <c r="L186" s="32">
        <f>IF(B186="","",TRIM(INDEX('Form Responses'!$J:$J,ROW())&amp;""))</f>
        <v/>
      </c>
      <c r="M186" s="32">
        <f>IF(B186="","",TRIM(INDEX('Form Responses'!$K:$K,ROW())&amp;""))</f>
        <v/>
      </c>
      <c r="N186" s="32">
        <f>IF(B186="","",IF(E186&lt;&gt;"","P"&amp;E186,"N"&amp;B186))</f>
        <v/>
      </c>
      <c r="O186" s="32">
        <f>IF(N186="",0,IF(COUNTIF(N187:N$602,N186)=0,1,0))</f>
        <v/>
      </c>
      <c r="P186" s="32">
        <f>IF(AND(O186=1,E186&lt;&gt;""),E186,"")</f>
        <v/>
      </c>
      <c r="Q186" s="32">
        <f>IF(O186=1,B186,"")</f>
        <v/>
      </c>
      <c r="R186" s="32">
        <f>IF(O186&lt;&gt;1,"",IF(E186&lt;&gt;"",IFERROR(MATCH(E186,Guests!$S$6:$S$505,0)+5,IFERROR(MATCH(B186,Guests!$A$6:$A$505,0)+5,"")),IFERROR(MATCH(B186,Guests!$A$6:$A$505,0)+5,"")))</f>
        <v/>
      </c>
      <c r="S186" s="32">
        <f>IF(R186="","",TRIM(INDEX(Guests!$E$1:$E$505,R186)&amp;""))</f>
        <v/>
      </c>
      <c r="T186" s="32">
        <f>IF(R186="","",IF(S186="",1,COUNTIF(Guests!$E$6:$E$505,S186)))</f>
        <v/>
      </c>
      <c r="U186" s="32">
        <f>IF(R186="","",IF(S186="",1,IF(COUNTIF(S$1:S185,S186)=0,1,0)))</f>
        <v/>
      </c>
      <c r="V186" s="32">
        <f>IF(AND(R186&lt;&gt;"",G186="Attending",U186=1),MAX(0,H186+I186-T186),0)</f>
        <v/>
      </c>
      <c r="W186" s="32">
        <f>IF(AND(O186=1,R186=""),1,0)</f>
        <v/>
      </c>
      <c r="X186" s="32">
        <f>IF(B186="",0,H186+I186)</f>
        <v/>
      </c>
      <c r="Y186" s="32">
        <f>N(Y185)+O186</f>
        <v/>
      </c>
      <c r="Z186" s="32">
        <f>IF(O186=1,Y186,"")</f>
        <v/>
      </c>
      <c r="AA186" s="32">
        <f>IF(AND(W186=1,G186="Not sure yet"),1,0)</f>
        <v/>
      </c>
      <c r="AB186" s="32">
        <f>N(AB185)+AA186</f>
        <v/>
      </c>
      <c r="AC186" s="32">
        <f>IF(AA186=1,AB186,"")</f>
        <v/>
      </c>
      <c r="AD186" s="32">
        <f>IF(D186="","",IF(LEN(D186)=10,"+1"&amp;D186,IF(AND(LEN(D186)=11,LEFT(D186,1)="1"),"+"&amp;D186,IF(LEFT(C186,1)="+","+"&amp;D186,D186))))</f>
        <v/>
      </c>
      <c r="AE186" s="32">
        <f>IF(B186="","",PROPER(IFERROR(LEFT(B186,FIND(" ",B186)-1),B186)))</f>
        <v/>
      </c>
      <c r="AF186" s="32">
        <f>SUBSTITUTE(SUBSTITUTE(SUBSTITUTE(SUBSTITUTE(SUBSTITUTE(SUBSTITUTE(SUBSTITUTE(SUBSTITUTE(SUBSTITUTE(SUBSTITUTE(AE186,"%","%25"),"&amp;","%26"),"#","%23"),"+","%2B"),"=","%3D"),"?","%3F"),CHAR(34),"%22"),CHAR(10),"%0A"),CHAR(13),"")," ","+")</f>
        <v/>
      </c>
      <c r="AG186" s="32">
        <f>IF(OR(AD186="",AE186=""),"",'Start Here'!$B$20&amp;"#p="&amp;SUBSTITUTE(AD186,"+","%2B")&amp;"&amp;n="&amp;AF186&amp;"&amp;m="&amp;SUBSTITUTE('Start Here'!$B$24,"{name}",AF186))</f>
        <v/>
      </c>
      <c r="AH186" s="32">
        <f>N(AH185)+W186</f>
        <v/>
      </c>
      <c r="AI186" s="32">
        <f>IF(W186=1,AH186,"")</f>
        <v/>
      </c>
    </row>
    <row r="187">
      <c r="A187" s="32">
        <f>IF(INDEX('Form Responses'!$A:$A,ROW())="","",INDEX('Form Responses'!$A:$A,ROW()))</f>
        <v/>
      </c>
      <c r="B187" s="32">
        <f>TRIM(INDEX('Form Responses'!$B:$B,ROW())&amp;"")</f>
        <v/>
      </c>
      <c r="C187" s="32">
        <f>IF(B187="","",TRIM(INDEX('Form Responses'!$C:$C,ROW())&amp;""))</f>
        <v/>
      </c>
      <c r="D187" s="32">
        <f>SUBSTITUTE(SUBSTITUTE(SUBSTITUTE(SUBSTITUTE(SUBSTITUTE(SUBSTITUTE(SUBSTITUTE(SUBSTITUTE(C187," ",""),"-",""),"(",""),")",""),".",""),"+",""),"/",""),CHAR(160),"")</f>
        <v/>
      </c>
      <c r="E187" s="32">
        <f>IF(LEN(D187)&gt;=10,RIGHT(D187,10),D187)</f>
        <v/>
      </c>
      <c r="F187" s="32">
        <f>IF(B187="","",TRIM(INDEX('Form Responses'!$D:$D,ROW())&amp;""))</f>
        <v/>
      </c>
      <c r="G187" s="32">
        <f>IF(B187="","",IF(LEFT(TRIM(INDEX('Form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7" s="32">
        <f>IF(B187="","",MAX(0,IFERROR(INT(--(INDEX('Form Responses'!$F:$F,ROW())&amp;"")),1)))</f>
        <v/>
      </c>
      <c r="I187" s="32">
        <f>IF(B187="","",MAX(0,IFERROR(INT(--(INDEX('Form Responses'!$G:$G,ROW())&amp;"")),0)))</f>
        <v/>
      </c>
      <c r="J187" s="32">
        <f>IF(B187="","",TRIM(INDEX('Form Responses'!$H:$H,ROW())&amp;""))</f>
        <v/>
      </c>
      <c r="K187" s="32">
        <f>IF(B187="","",TRIM(INDEX('Form Responses'!$I:$I,ROW())&amp;""))</f>
        <v/>
      </c>
      <c r="L187" s="32">
        <f>IF(B187="","",TRIM(INDEX('Form Responses'!$J:$J,ROW())&amp;""))</f>
        <v/>
      </c>
      <c r="M187" s="32">
        <f>IF(B187="","",TRIM(INDEX('Form Responses'!$K:$K,ROW())&amp;""))</f>
        <v/>
      </c>
      <c r="N187" s="32">
        <f>IF(B187="","",IF(E187&lt;&gt;"","P"&amp;E187,"N"&amp;B187))</f>
        <v/>
      </c>
      <c r="O187" s="32">
        <f>IF(N187="",0,IF(COUNTIF(N188:N$602,N187)=0,1,0))</f>
        <v/>
      </c>
      <c r="P187" s="32">
        <f>IF(AND(O187=1,E187&lt;&gt;""),E187,"")</f>
        <v/>
      </c>
      <c r="Q187" s="32">
        <f>IF(O187=1,B187,"")</f>
        <v/>
      </c>
      <c r="R187" s="32">
        <f>IF(O187&lt;&gt;1,"",IF(E187&lt;&gt;"",IFERROR(MATCH(E187,Guests!$S$6:$S$505,0)+5,IFERROR(MATCH(B187,Guests!$A$6:$A$505,0)+5,"")),IFERROR(MATCH(B187,Guests!$A$6:$A$505,0)+5,"")))</f>
        <v/>
      </c>
      <c r="S187" s="32">
        <f>IF(R187="","",TRIM(INDEX(Guests!$E$1:$E$505,R187)&amp;""))</f>
        <v/>
      </c>
      <c r="T187" s="32">
        <f>IF(R187="","",IF(S187="",1,COUNTIF(Guests!$E$6:$E$505,S187)))</f>
        <v/>
      </c>
      <c r="U187" s="32">
        <f>IF(R187="","",IF(S187="",1,IF(COUNTIF(S$1:S186,S187)=0,1,0)))</f>
        <v/>
      </c>
      <c r="V187" s="32">
        <f>IF(AND(R187&lt;&gt;"",G187="Attending",U187=1),MAX(0,H187+I187-T187),0)</f>
        <v/>
      </c>
      <c r="W187" s="32">
        <f>IF(AND(O187=1,R187=""),1,0)</f>
        <v/>
      </c>
      <c r="X187" s="32">
        <f>IF(B187="",0,H187+I187)</f>
        <v/>
      </c>
      <c r="Y187" s="32">
        <f>N(Y186)+O187</f>
        <v/>
      </c>
      <c r="Z187" s="32">
        <f>IF(O187=1,Y187,"")</f>
        <v/>
      </c>
      <c r="AA187" s="32">
        <f>IF(AND(W187=1,G187="Not sure yet"),1,0)</f>
        <v/>
      </c>
      <c r="AB187" s="32">
        <f>N(AB186)+AA187</f>
        <v/>
      </c>
      <c r="AC187" s="32">
        <f>IF(AA187=1,AB187,"")</f>
        <v/>
      </c>
      <c r="AD187" s="32">
        <f>IF(D187="","",IF(LEN(D187)=10,"+1"&amp;D187,IF(AND(LEN(D187)=11,LEFT(D187,1)="1"),"+"&amp;D187,IF(LEFT(C187,1)="+","+"&amp;D187,D187))))</f>
        <v/>
      </c>
      <c r="AE187" s="32">
        <f>IF(B187="","",PROPER(IFERROR(LEFT(B187,FIND(" ",B187)-1),B187)))</f>
        <v/>
      </c>
      <c r="AF187" s="32">
        <f>SUBSTITUTE(SUBSTITUTE(SUBSTITUTE(SUBSTITUTE(SUBSTITUTE(SUBSTITUTE(SUBSTITUTE(SUBSTITUTE(SUBSTITUTE(SUBSTITUTE(AE187,"%","%25"),"&amp;","%26"),"#","%23"),"+","%2B"),"=","%3D"),"?","%3F"),CHAR(34),"%22"),CHAR(10),"%0A"),CHAR(13),"")," ","+")</f>
        <v/>
      </c>
      <c r="AG187" s="32">
        <f>IF(OR(AD187="",AE187=""),"",'Start Here'!$B$20&amp;"#p="&amp;SUBSTITUTE(AD187,"+","%2B")&amp;"&amp;n="&amp;AF187&amp;"&amp;m="&amp;SUBSTITUTE('Start Here'!$B$24,"{name}",AF187))</f>
        <v/>
      </c>
      <c r="AH187" s="32">
        <f>N(AH186)+W187</f>
        <v/>
      </c>
      <c r="AI187" s="32">
        <f>IF(W187=1,AH187,"")</f>
        <v/>
      </c>
    </row>
    <row r="188">
      <c r="A188" s="32">
        <f>IF(INDEX('Form Responses'!$A:$A,ROW())="","",INDEX('Form Responses'!$A:$A,ROW()))</f>
        <v/>
      </c>
      <c r="B188" s="32">
        <f>TRIM(INDEX('Form Responses'!$B:$B,ROW())&amp;"")</f>
        <v/>
      </c>
      <c r="C188" s="32">
        <f>IF(B188="","",TRIM(INDEX('Form Responses'!$C:$C,ROW())&amp;""))</f>
        <v/>
      </c>
      <c r="D188" s="32">
        <f>SUBSTITUTE(SUBSTITUTE(SUBSTITUTE(SUBSTITUTE(SUBSTITUTE(SUBSTITUTE(SUBSTITUTE(SUBSTITUTE(C188," ",""),"-",""),"(",""),")",""),".",""),"+",""),"/",""),CHAR(160),"")</f>
        <v/>
      </c>
      <c r="E188" s="32">
        <f>IF(LEN(D188)&gt;=10,RIGHT(D188,10),D188)</f>
        <v/>
      </c>
      <c r="F188" s="32">
        <f>IF(B188="","",TRIM(INDEX('Form Responses'!$D:$D,ROW())&amp;""))</f>
        <v/>
      </c>
      <c r="G188" s="32">
        <f>IF(B188="","",IF(LEFT(TRIM(INDEX('Form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8" s="32">
        <f>IF(B188="","",MAX(0,IFERROR(INT(--(INDEX('Form Responses'!$F:$F,ROW())&amp;"")),1)))</f>
        <v/>
      </c>
      <c r="I188" s="32">
        <f>IF(B188="","",MAX(0,IFERROR(INT(--(INDEX('Form Responses'!$G:$G,ROW())&amp;"")),0)))</f>
        <v/>
      </c>
      <c r="J188" s="32">
        <f>IF(B188="","",TRIM(INDEX('Form Responses'!$H:$H,ROW())&amp;""))</f>
        <v/>
      </c>
      <c r="K188" s="32">
        <f>IF(B188="","",TRIM(INDEX('Form Responses'!$I:$I,ROW())&amp;""))</f>
        <v/>
      </c>
      <c r="L188" s="32">
        <f>IF(B188="","",TRIM(INDEX('Form Responses'!$J:$J,ROW())&amp;""))</f>
        <v/>
      </c>
      <c r="M188" s="32">
        <f>IF(B188="","",TRIM(INDEX('Form Responses'!$K:$K,ROW())&amp;""))</f>
        <v/>
      </c>
      <c r="N188" s="32">
        <f>IF(B188="","",IF(E188&lt;&gt;"","P"&amp;E188,"N"&amp;B188))</f>
        <v/>
      </c>
      <c r="O188" s="32">
        <f>IF(N188="",0,IF(COUNTIF(N189:N$602,N188)=0,1,0))</f>
        <v/>
      </c>
      <c r="P188" s="32">
        <f>IF(AND(O188=1,E188&lt;&gt;""),E188,"")</f>
        <v/>
      </c>
      <c r="Q188" s="32">
        <f>IF(O188=1,B188,"")</f>
        <v/>
      </c>
      <c r="R188" s="32">
        <f>IF(O188&lt;&gt;1,"",IF(E188&lt;&gt;"",IFERROR(MATCH(E188,Guests!$S$6:$S$505,0)+5,IFERROR(MATCH(B188,Guests!$A$6:$A$505,0)+5,"")),IFERROR(MATCH(B188,Guests!$A$6:$A$505,0)+5,"")))</f>
        <v/>
      </c>
      <c r="S188" s="32">
        <f>IF(R188="","",TRIM(INDEX(Guests!$E$1:$E$505,R188)&amp;""))</f>
        <v/>
      </c>
      <c r="T188" s="32">
        <f>IF(R188="","",IF(S188="",1,COUNTIF(Guests!$E$6:$E$505,S188)))</f>
        <v/>
      </c>
      <c r="U188" s="32">
        <f>IF(R188="","",IF(S188="",1,IF(COUNTIF(S$1:S187,S188)=0,1,0)))</f>
        <v/>
      </c>
      <c r="V188" s="32">
        <f>IF(AND(R188&lt;&gt;"",G188="Attending",U188=1),MAX(0,H188+I188-T188),0)</f>
        <v/>
      </c>
      <c r="W188" s="32">
        <f>IF(AND(O188=1,R188=""),1,0)</f>
        <v/>
      </c>
      <c r="X188" s="32">
        <f>IF(B188="",0,H188+I188)</f>
        <v/>
      </c>
      <c r="Y188" s="32">
        <f>N(Y187)+O188</f>
        <v/>
      </c>
      <c r="Z188" s="32">
        <f>IF(O188=1,Y188,"")</f>
        <v/>
      </c>
      <c r="AA188" s="32">
        <f>IF(AND(W188=1,G188="Not sure yet"),1,0)</f>
        <v/>
      </c>
      <c r="AB188" s="32">
        <f>N(AB187)+AA188</f>
        <v/>
      </c>
      <c r="AC188" s="32">
        <f>IF(AA188=1,AB188,"")</f>
        <v/>
      </c>
      <c r="AD188" s="32">
        <f>IF(D188="","",IF(LEN(D188)=10,"+1"&amp;D188,IF(AND(LEN(D188)=11,LEFT(D188,1)="1"),"+"&amp;D188,IF(LEFT(C188,1)="+","+"&amp;D188,D188))))</f>
        <v/>
      </c>
      <c r="AE188" s="32">
        <f>IF(B188="","",PROPER(IFERROR(LEFT(B188,FIND(" ",B188)-1),B188)))</f>
        <v/>
      </c>
      <c r="AF188" s="32">
        <f>SUBSTITUTE(SUBSTITUTE(SUBSTITUTE(SUBSTITUTE(SUBSTITUTE(SUBSTITUTE(SUBSTITUTE(SUBSTITUTE(SUBSTITUTE(SUBSTITUTE(AE188,"%","%25"),"&amp;","%26"),"#","%23"),"+","%2B"),"=","%3D"),"?","%3F"),CHAR(34),"%22"),CHAR(10),"%0A"),CHAR(13),"")," ","+")</f>
        <v/>
      </c>
      <c r="AG188" s="32">
        <f>IF(OR(AD188="",AE188=""),"",'Start Here'!$B$20&amp;"#p="&amp;SUBSTITUTE(AD188,"+","%2B")&amp;"&amp;n="&amp;AF188&amp;"&amp;m="&amp;SUBSTITUTE('Start Here'!$B$24,"{name}",AF188))</f>
        <v/>
      </c>
      <c r="AH188" s="32">
        <f>N(AH187)+W188</f>
        <v/>
      </c>
      <c r="AI188" s="32">
        <f>IF(W188=1,AH188,"")</f>
        <v/>
      </c>
    </row>
    <row r="189">
      <c r="A189" s="32">
        <f>IF(INDEX('Form Responses'!$A:$A,ROW())="","",INDEX('Form Responses'!$A:$A,ROW()))</f>
        <v/>
      </c>
      <c r="B189" s="32">
        <f>TRIM(INDEX('Form Responses'!$B:$B,ROW())&amp;"")</f>
        <v/>
      </c>
      <c r="C189" s="32">
        <f>IF(B189="","",TRIM(INDEX('Form Responses'!$C:$C,ROW())&amp;""))</f>
        <v/>
      </c>
      <c r="D189" s="32">
        <f>SUBSTITUTE(SUBSTITUTE(SUBSTITUTE(SUBSTITUTE(SUBSTITUTE(SUBSTITUTE(SUBSTITUTE(SUBSTITUTE(C189," ",""),"-",""),"(",""),")",""),".",""),"+",""),"/",""),CHAR(160),"")</f>
        <v/>
      </c>
      <c r="E189" s="32">
        <f>IF(LEN(D189)&gt;=10,RIGHT(D189,10),D189)</f>
        <v/>
      </c>
      <c r="F189" s="32">
        <f>IF(B189="","",TRIM(INDEX('Form Responses'!$D:$D,ROW())&amp;""))</f>
        <v/>
      </c>
      <c r="G189" s="32">
        <f>IF(B189="","",IF(LEFT(TRIM(INDEX('Form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89" s="32">
        <f>IF(B189="","",MAX(0,IFERROR(INT(--(INDEX('Form Responses'!$F:$F,ROW())&amp;"")),1)))</f>
        <v/>
      </c>
      <c r="I189" s="32">
        <f>IF(B189="","",MAX(0,IFERROR(INT(--(INDEX('Form Responses'!$G:$G,ROW())&amp;"")),0)))</f>
        <v/>
      </c>
      <c r="J189" s="32">
        <f>IF(B189="","",TRIM(INDEX('Form Responses'!$H:$H,ROW())&amp;""))</f>
        <v/>
      </c>
      <c r="K189" s="32">
        <f>IF(B189="","",TRIM(INDEX('Form Responses'!$I:$I,ROW())&amp;""))</f>
        <v/>
      </c>
      <c r="L189" s="32">
        <f>IF(B189="","",TRIM(INDEX('Form Responses'!$J:$J,ROW())&amp;""))</f>
        <v/>
      </c>
      <c r="M189" s="32">
        <f>IF(B189="","",TRIM(INDEX('Form Responses'!$K:$K,ROW())&amp;""))</f>
        <v/>
      </c>
      <c r="N189" s="32">
        <f>IF(B189="","",IF(E189&lt;&gt;"","P"&amp;E189,"N"&amp;B189))</f>
        <v/>
      </c>
      <c r="O189" s="32">
        <f>IF(N189="",0,IF(COUNTIF(N190:N$602,N189)=0,1,0))</f>
        <v/>
      </c>
      <c r="P189" s="32">
        <f>IF(AND(O189=1,E189&lt;&gt;""),E189,"")</f>
        <v/>
      </c>
      <c r="Q189" s="32">
        <f>IF(O189=1,B189,"")</f>
        <v/>
      </c>
      <c r="R189" s="32">
        <f>IF(O189&lt;&gt;1,"",IF(E189&lt;&gt;"",IFERROR(MATCH(E189,Guests!$S$6:$S$505,0)+5,IFERROR(MATCH(B189,Guests!$A$6:$A$505,0)+5,"")),IFERROR(MATCH(B189,Guests!$A$6:$A$505,0)+5,"")))</f>
        <v/>
      </c>
      <c r="S189" s="32">
        <f>IF(R189="","",TRIM(INDEX(Guests!$E$1:$E$505,R189)&amp;""))</f>
        <v/>
      </c>
      <c r="T189" s="32">
        <f>IF(R189="","",IF(S189="",1,COUNTIF(Guests!$E$6:$E$505,S189)))</f>
        <v/>
      </c>
      <c r="U189" s="32">
        <f>IF(R189="","",IF(S189="",1,IF(COUNTIF(S$1:S188,S189)=0,1,0)))</f>
        <v/>
      </c>
      <c r="V189" s="32">
        <f>IF(AND(R189&lt;&gt;"",G189="Attending",U189=1),MAX(0,H189+I189-T189),0)</f>
        <v/>
      </c>
      <c r="W189" s="32">
        <f>IF(AND(O189=1,R189=""),1,0)</f>
        <v/>
      </c>
      <c r="X189" s="32">
        <f>IF(B189="",0,H189+I189)</f>
        <v/>
      </c>
      <c r="Y189" s="32">
        <f>N(Y188)+O189</f>
        <v/>
      </c>
      <c r="Z189" s="32">
        <f>IF(O189=1,Y189,"")</f>
        <v/>
      </c>
      <c r="AA189" s="32">
        <f>IF(AND(W189=1,G189="Not sure yet"),1,0)</f>
        <v/>
      </c>
      <c r="AB189" s="32">
        <f>N(AB188)+AA189</f>
        <v/>
      </c>
      <c r="AC189" s="32">
        <f>IF(AA189=1,AB189,"")</f>
        <v/>
      </c>
      <c r="AD189" s="32">
        <f>IF(D189="","",IF(LEN(D189)=10,"+1"&amp;D189,IF(AND(LEN(D189)=11,LEFT(D189,1)="1"),"+"&amp;D189,IF(LEFT(C189,1)="+","+"&amp;D189,D189))))</f>
        <v/>
      </c>
      <c r="AE189" s="32">
        <f>IF(B189="","",PROPER(IFERROR(LEFT(B189,FIND(" ",B189)-1),B189)))</f>
        <v/>
      </c>
      <c r="AF189" s="32">
        <f>SUBSTITUTE(SUBSTITUTE(SUBSTITUTE(SUBSTITUTE(SUBSTITUTE(SUBSTITUTE(SUBSTITUTE(SUBSTITUTE(SUBSTITUTE(SUBSTITUTE(AE189,"%","%25"),"&amp;","%26"),"#","%23"),"+","%2B"),"=","%3D"),"?","%3F"),CHAR(34),"%22"),CHAR(10),"%0A"),CHAR(13),"")," ","+")</f>
        <v/>
      </c>
      <c r="AG189" s="32">
        <f>IF(OR(AD189="",AE189=""),"",'Start Here'!$B$20&amp;"#p="&amp;SUBSTITUTE(AD189,"+","%2B")&amp;"&amp;n="&amp;AF189&amp;"&amp;m="&amp;SUBSTITUTE('Start Here'!$B$24,"{name}",AF189))</f>
        <v/>
      </c>
      <c r="AH189" s="32">
        <f>N(AH188)+W189</f>
        <v/>
      </c>
      <c r="AI189" s="32">
        <f>IF(W189=1,AH189,"")</f>
        <v/>
      </c>
    </row>
    <row r="190">
      <c r="A190" s="32">
        <f>IF(INDEX('Form Responses'!$A:$A,ROW())="","",INDEX('Form Responses'!$A:$A,ROW()))</f>
        <v/>
      </c>
      <c r="B190" s="32">
        <f>TRIM(INDEX('Form Responses'!$B:$B,ROW())&amp;"")</f>
        <v/>
      </c>
      <c r="C190" s="32">
        <f>IF(B190="","",TRIM(INDEX('Form Responses'!$C:$C,ROW())&amp;""))</f>
        <v/>
      </c>
      <c r="D190" s="32">
        <f>SUBSTITUTE(SUBSTITUTE(SUBSTITUTE(SUBSTITUTE(SUBSTITUTE(SUBSTITUTE(SUBSTITUTE(SUBSTITUTE(C190," ",""),"-",""),"(",""),")",""),".",""),"+",""),"/",""),CHAR(160),"")</f>
        <v/>
      </c>
      <c r="E190" s="32">
        <f>IF(LEN(D190)&gt;=10,RIGHT(D190,10),D190)</f>
        <v/>
      </c>
      <c r="F190" s="32">
        <f>IF(B190="","",TRIM(INDEX('Form Responses'!$D:$D,ROW())&amp;""))</f>
        <v/>
      </c>
      <c r="G190" s="32">
        <f>IF(B190="","",IF(LEFT(TRIM(INDEX('Form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0" s="32">
        <f>IF(B190="","",MAX(0,IFERROR(INT(--(INDEX('Form Responses'!$F:$F,ROW())&amp;"")),1)))</f>
        <v/>
      </c>
      <c r="I190" s="32">
        <f>IF(B190="","",MAX(0,IFERROR(INT(--(INDEX('Form Responses'!$G:$G,ROW())&amp;"")),0)))</f>
        <v/>
      </c>
      <c r="J190" s="32">
        <f>IF(B190="","",TRIM(INDEX('Form Responses'!$H:$H,ROW())&amp;""))</f>
        <v/>
      </c>
      <c r="K190" s="32">
        <f>IF(B190="","",TRIM(INDEX('Form Responses'!$I:$I,ROW())&amp;""))</f>
        <v/>
      </c>
      <c r="L190" s="32">
        <f>IF(B190="","",TRIM(INDEX('Form Responses'!$J:$J,ROW())&amp;""))</f>
        <v/>
      </c>
      <c r="M190" s="32">
        <f>IF(B190="","",TRIM(INDEX('Form Responses'!$K:$K,ROW())&amp;""))</f>
        <v/>
      </c>
      <c r="N190" s="32">
        <f>IF(B190="","",IF(E190&lt;&gt;"","P"&amp;E190,"N"&amp;B190))</f>
        <v/>
      </c>
      <c r="O190" s="32">
        <f>IF(N190="",0,IF(COUNTIF(N191:N$602,N190)=0,1,0))</f>
        <v/>
      </c>
      <c r="P190" s="32">
        <f>IF(AND(O190=1,E190&lt;&gt;""),E190,"")</f>
        <v/>
      </c>
      <c r="Q190" s="32">
        <f>IF(O190=1,B190,"")</f>
        <v/>
      </c>
      <c r="R190" s="32">
        <f>IF(O190&lt;&gt;1,"",IF(E190&lt;&gt;"",IFERROR(MATCH(E190,Guests!$S$6:$S$505,0)+5,IFERROR(MATCH(B190,Guests!$A$6:$A$505,0)+5,"")),IFERROR(MATCH(B190,Guests!$A$6:$A$505,0)+5,"")))</f>
        <v/>
      </c>
      <c r="S190" s="32">
        <f>IF(R190="","",TRIM(INDEX(Guests!$E$1:$E$505,R190)&amp;""))</f>
        <v/>
      </c>
      <c r="T190" s="32">
        <f>IF(R190="","",IF(S190="",1,COUNTIF(Guests!$E$6:$E$505,S190)))</f>
        <v/>
      </c>
      <c r="U190" s="32">
        <f>IF(R190="","",IF(S190="",1,IF(COUNTIF(S$1:S189,S190)=0,1,0)))</f>
        <v/>
      </c>
      <c r="V190" s="32">
        <f>IF(AND(R190&lt;&gt;"",G190="Attending",U190=1),MAX(0,H190+I190-T190),0)</f>
        <v/>
      </c>
      <c r="W190" s="32">
        <f>IF(AND(O190=1,R190=""),1,0)</f>
        <v/>
      </c>
      <c r="X190" s="32">
        <f>IF(B190="",0,H190+I190)</f>
        <v/>
      </c>
      <c r="Y190" s="32">
        <f>N(Y189)+O190</f>
        <v/>
      </c>
      <c r="Z190" s="32">
        <f>IF(O190=1,Y190,"")</f>
        <v/>
      </c>
      <c r="AA190" s="32">
        <f>IF(AND(W190=1,G190="Not sure yet"),1,0)</f>
        <v/>
      </c>
      <c r="AB190" s="32">
        <f>N(AB189)+AA190</f>
        <v/>
      </c>
      <c r="AC190" s="32">
        <f>IF(AA190=1,AB190,"")</f>
        <v/>
      </c>
      <c r="AD190" s="32">
        <f>IF(D190="","",IF(LEN(D190)=10,"+1"&amp;D190,IF(AND(LEN(D190)=11,LEFT(D190,1)="1"),"+"&amp;D190,IF(LEFT(C190,1)="+","+"&amp;D190,D190))))</f>
        <v/>
      </c>
      <c r="AE190" s="32">
        <f>IF(B190="","",PROPER(IFERROR(LEFT(B190,FIND(" ",B190)-1),B190)))</f>
        <v/>
      </c>
      <c r="AF190" s="32">
        <f>SUBSTITUTE(SUBSTITUTE(SUBSTITUTE(SUBSTITUTE(SUBSTITUTE(SUBSTITUTE(SUBSTITUTE(SUBSTITUTE(SUBSTITUTE(SUBSTITUTE(AE190,"%","%25"),"&amp;","%26"),"#","%23"),"+","%2B"),"=","%3D"),"?","%3F"),CHAR(34),"%22"),CHAR(10),"%0A"),CHAR(13),"")," ","+")</f>
        <v/>
      </c>
      <c r="AG190" s="32">
        <f>IF(OR(AD190="",AE190=""),"",'Start Here'!$B$20&amp;"#p="&amp;SUBSTITUTE(AD190,"+","%2B")&amp;"&amp;n="&amp;AF190&amp;"&amp;m="&amp;SUBSTITUTE('Start Here'!$B$24,"{name}",AF190))</f>
        <v/>
      </c>
      <c r="AH190" s="32">
        <f>N(AH189)+W190</f>
        <v/>
      </c>
      <c r="AI190" s="32">
        <f>IF(W190=1,AH190,"")</f>
        <v/>
      </c>
    </row>
    <row r="191">
      <c r="A191" s="32">
        <f>IF(INDEX('Form Responses'!$A:$A,ROW())="","",INDEX('Form Responses'!$A:$A,ROW()))</f>
        <v/>
      </c>
      <c r="B191" s="32">
        <f>TRIM(INDEX('Form Responses'!$B:$B,ROW())&amp;"")</f>
        <v/>
      </c>
      <c r="C191" s="32">
        <f>IF(B191="","",TRIM(INDEX('Form Responses'!$C:$C,ROW())&amp;""))</f>
        <v/>
      </c>
      <c r="D191" s="32">
        <f>SUBSTITUTE(SUBSTITUTE(SUBSTITUTE(SUBSTITUTE(SUBSTITUTE(SUBSTITUTE(SUBSTITUTE(SUBSTITUTE(C191," ",""),"-",""),"(",""),")",""),".",""),"+",""),"/",""),CHAR(160),"")</f>
        <v/>
      </c>
      <c r="E191" s="32">
        <f>IF(LEN(D191)&gt;=10,RIGHT(D191,10),D191)</f>
        <v/>
      </c>
      <c r="F191" s="32">
        <f>IF(B191="","",TRIM(INDEX('Form Responses'!$D:$D,ROW())&amp;""))</f>
        <v/>
      </c>
      <c r="G191" s="32">
        <f>IF(B191="","",IF(LEFT(TRIM(INDEX('Form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1" s="32">
        <f>IF(B191="","",MAX(0,IFERROR(INT(--(INDEX('Form Responses'!$F:$F,ROW())&amp;"")),1)))</f>
        <v/>
      </c>
      <c r="I191" s="32">
        <f>IF(B191="","",MAX(0,IFERROR(INT(--(INDEX('Form Responses'!$G:$G,ROW())&amp;"")),0)))</f>
        <v/>
      </c>
      <c r="J191" s="32">
        <f>IF(B191="","",TRIM(INDEX('Form Responses'!$H:$H,ROW())&amp;""))</f>
        <v/>
      </c>
      <c r="K191" s="32">
        <f>IF(B191="","",TRIM(INDEX('Form Responses'!$I:$I,ROW())&amp;""))</f>
        <v/>
      </c>
      <c r="L191" s="32">
        <f>IF(B191="","",TRIM(INDEX('Form Responses'!$J:$J,ROW())&amp;""))</f>
        <v/>
      </c>
      <c r="M191" s="32">
        <f>IF(B191="","",TRIM(INDEX('Form Responses'!$K:$K,ROW())&amp;""))</f>
        <v/>
      </c>
      <c r="N191" s="32">
        <f>IF(B191="","",IF(E191&lt;&gt;"","P"&amp;E191,"N"&amp;B191))</f>
        <v/>
      </c>
      <c r="O191" s="32">
        <f>IF(N191="",0,IF(COUNTIF(N192:N$602,N191)=0,1,0))</f>
        <v/>
      </c>
      <c r="P191" s="32">
        <f>IF(AND(O191=1,E191&lt;&gt;""),E191,"")</f>
        <v/>
      </c>
      <c r="Q191" s="32">
        <f>IF(O191=1,B191,"")</f>
        <v/>
      </c>
      <c r="R191" s="32">
        <f>IF(O191&lt;&gt;1,"",IF(E191&lt;&gt;"",IFERROR(MATCH(E191,Guests!$S$6:$S$505,0)+5,IFERROR(MATCH(B191,Guests!$A$6:$A$505,0)+5,"")),IFERROR(MATCH(B191,Guests!$A$6:$A$505,0)+5,"")))</f>
        <v/>
      </c>
      <c r="S191" s="32">
        <f>IF(R191="","",TRIM(INDEX(Guests!$E$1:$E$505,R191)&amp;""))</f>
        <v/>
      </c>
      <c r="T191" s="32">
        <f>IF(R191="","",IF(S191="",1,COUNTIF(Guests!$E$6:$E$505,S191)))</f>
        <v/>
      </c>
      <c r="U191" s="32">
        <f>IF(R191="","",IF(S191="",1,IF(COUNTIF(S$1:S190,S191)=0,1,0)))</f>
        <v/>
      </c>
      <c r="V191" s="32">
        <f>IF(AND(R191&lt;&gt;"",G191="Attending",U191=1),MAX(0,H191+I191-T191),0)</f>
        <v/>
      </c>
      <c r="W191" s="32">
        <f>IF(AND(O191=1,R191=""),1,0)</f>
        <v/>
      </c>
      <c r="X191" s="32">
        <f>IF(B191="",0,H191+I191)</f>
        <v/>
      </c>
      <c r="Y191" s="32">
        <f>N(Y190)+O191</f>
        <v/>
      </c>
      <c r="Z191" s="32">
        <f>IF(O191=1,Y191,"")</f>
        <v/>
      </c>
      <c r="AA191" s="32">
        <f>IF(AND(W191=1,G191="Not sure yet"),1,0)</f>
        <v/>
      </c>
      <c r="AB191" s="32">
        <f>N(AB190)+AA191</f>
        <v/>
      </c>
      <c r="AC191" s="32">
        <f>IF(AA191=1,AB191,"")</f>
        <v/>
      </c>
      <c r="AD191" s="32">
        <f>IF(D191="","",IF(LEN(D191)=10,"+1"&amp;D191,IF(AND(LEN(D191)=11,LEFT(D191,1)="1"),"+"&amp;D191,IF(LEFT(C191,1)="+","+"&amp;D191,D191))))</f>
        <v/>
      </c>
      <c r="AE191" s="32">
        <f>IF(B191="","",PROPER(IFERROR(LEFT(B191,FIND(" ",B191)-1),B191)))</f>
        <v/>
      </c>
      <c r="AF191" s="32">
        <f>SUBSTITUTE(SUBSTITUTE(SUBSTITUTE(SUBSTITUTE(SUBSTITUTE(SUBSTITUTE(SUBSTITUTE(SUBSTITUTE(SUBSTITUTE(SUBSTITUTE(AE191,"%","%25"),"&amp;","%26"),"#","%23"),"+","%2B"),"=","%3D"),"?","%3F"),CHAR(34),"%22"),CHAR(10),"%0A"),CHAR(13),"")," ","+")</f>
        <v/>
      </c>
      <c r="AG191" s="32">
        <f>IF(OR(AD191="",AE191=""),"",'Start Here'!$B$20&amp;"#p="&amp;SUBSTITUTE(AD191,"+","%2B")&amp;"&amp;n="&amp;AF191&amp;"&amp;m="&amp;SUBSTITUTE('Start Here'!$B$24,"{name}",AF191))</f>
        <v/>
      </c>
      <c r="AH191" s="32">
        <f>N(AH190)+W191</f>
        <v/>
      </c>
      <c r="AI191" s="32">
        <f>IF(W191=1,AH191,"")</f>
        <v/>
      </c>
    </row>
    <row r="192">
      <c r="A192" s="32">
        <f>IF(INDEX('Form Responses'!$A:$A,ROW())="","",INDEX('Form Responses'!$A:$A,ROW()))</f>
        <v/>
      </c>
      <c r="B192" s="32">
        <f>TRIM(INDEX('Form Responses'!$B:$B,ROW())&amp;"")</f>
        <v/>
      </c>
      <c r="C192" s="32">
        <f>IF(B192="","",TRIM(INDEX('Form Responses'!$C:$C,ROW())&amp;""))</f>
        <v/>
      </c>
      <c r="D192" s="32">
        <f>SUBSTITUTE(SUBSTITUTE(SUBSTITUTE(SUBSTITUTE(SUBSTITUTE(SUBSTITUTE(SUBSTITUTE(SUBSTITUTE(C192," ",""),"-",""),"(",""),")",""),".",""),"+",""),"/",""),CHAR(160),"")</f>
        <v/>
      </c>
      <c r="E192" s="32">
        <f>IF(LEN(D192)&gt;=10,RIGHT(D192,10),D192)</f>
        <v/>
      </c>
      <c r="F192" s="32">
        <f>IF(B192="","",TRIM(INDEX('Form Responses'!$D:$D,ROW())&amp;""))</f>
        <v/>
      </c>
      <c r="G192" s="32">
        <f>IF(B192="","",IF(LEFT(TRIM(INDEX('Form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2" s="32">
        <f>IF(B192="","",MAX(0,IFERROR(INT(--(INDEX('Form Responses'!$F:$F,ROW())&amp;"")),1)))</f>
        <v/>
      </c>
      <c r="I192" s="32">
        <f>IF(B192="","",MAX(0,IFERROR(INT(--(INDEX('Form Responses'!$G:$G,ROW())&amp;"")),0)))</f>
        <v/>
      </c>
      <c r="J192" s="32">
        <f>IF(B192="","",TRIM(INDEX('Form Responses'!$H:$H,ROW())&amp;""))</f>
        <v/>
      </c>
      <c r="K192" s="32">
        <f>IF(B192="","",TRIM(INDEX('Form Responses'!$I:$I,ROW())&amp;""))</f>
        <v/>
      </c>
      <c r="L192" s="32">
        <f>IF(B192="","",TRIM(INDEX('Form Responses'!$J:$J,ROW())&amp;""))</f>
        <v/>
      </c>
      <c r="M192" s="32">
        <f>IF(B192="","",TRIM(INDEX('Form Responses'!$K:$K,ROW())&amp;""))</f>
        <v/>
      </c>
      <c r="N192" s="32">
        <f>IF(B192="","",IF(E192&lt;&gt;"","P"&amp;E192,"N"&amp;B192))</f>
        <v/>
      </c>
      <c r="O192" s="32">
        <f>IF(N192="",0,IF(COUNTIF(N193:N$602,N192)=0,1,0))</f>
        <v/>
      </c>
      <c r="P192" s="32">
        <f>IF(AND(O192=1,E192&lt;&gt;""),E192,"")</f>
        <v/>
      </c>
      <c r="Q192" s="32">
        <f>IF(O192=1,B192,"")</f>
        <v/>
      </c>
      <c r="R192" s="32">
        <f>IF(O192&lt;&gt;1,"",IF(E192&lt;&gt;"",IFERROR(MATCH(E192,Guests!$S$6:$S$505,0)+5,IFERROR(MATCH(B192,Guests!$A$6:$A$505,0)+5,"")),IFERROR(MATCH(B192,Guests!$A$6:$A$505,0)+5,"")))</f>
        <v/>
      </c>
      <c r="S192" s="32">
        <f>IF(R192="","",TRIM(INDEX(Guests!$E$1:$E$505,R192)&amp;""))</f>
        <v/>
      </c>
      <c r="T192" s="32">
        <f>IF(R192="","",IF(S192="",1,COUNTIF(Guests!$E$6:$E$505,S192)))</f>
        <v/>
      </c>
      <c r="U192" s="32">
        <f>IF(R192="","",IF(S192="",1,IF(COUNTIF(S$1:S191,S192)=0,1,0)))</f>
        <v/>
      </c>
      <c r="V192" s="32">
        <f>IF(AND(R192&lt;&gt;"",G192="Attending",U192=1),MAX(0,H192+I192-T192),0)</f>
        <v/>
      </c>
      <c r="W192" s="32">
        <f>IF(AND(O192=1,R192=""),1,0)</f>
        <v/>
      </c>
      <c r="X192" s="32">
        <f>IF(B192="",0,H192+I192)</f>
        <v/>
      </c>
      <c r="Y192" s="32">
        <f>N(Y191)+O192</f>
        <v/>
      </c>
      <c r="Z192" s="32">
        <f>IF(O192=1,Y192,"")</f>
        <v/>
      </c>
      <c r="AA192" s="32">
        <f>IF(AND(W192=1,G192="Not sure yet"),1,0)</f>
        <v/>
      </c>
      <c r="AB192" s="32">
        <f>N(AB191)+AA192</f>
        <v/>
      </c>
      <c r="AC192" s="32">
        <f>IF(AA192=1,AB192,"")</f>
        <v/>
      </c>
      <c r="AD192" s="32">
        <f>IF(D192="","",IF(LEN(D192)=10,"+1"&amp;D192,IF(AND(LEN(D192)=11,LEFT(D192,1)="1"),"+"&amp;D192,IF(LEFT(C192,1)="+","+"&amp;D192,D192))))</f>
        <v/>
      </c>
      <c r="AE192" s="32">
        <f>IF(B192="","",PROPER(IFERROR(LEFT(B192,FIND(" ",B192)-1),B192)))</f>
        <v/>
      </c>
      <c r="AF192" s="32">
        <f>SUBSTITUTE(SUBSTITUTE(SUBSTITUTE(SUBSTITUTE(SUBSTITUTE(SUBSTITUTE(SUBSTITUTE(SUBSTITUTE(SUBSTITUTE(SUBSTITUTE(AE192,"%","%25"),"&amp;","%26"),"#","%23"),"+","%2B"),"=","%3D"),"?","%3F"),CHAR(34),"%22"),CHAR(10),"%0A"),CHAR(13),"")," ","+")</f>
        <v/>
      </c>
      <c r="AG192" s="32">
        <f>IF(OR(AD192="",AE192=""),"",'Start Here'!$B$20&amp;"#p="&amp;SUBSTITUTE(AD192,"+","%2B")&amp;"&amp;n="&amp;AF192&amp;"&amp;m="&amp;SUBSTITUTE('Start Here'!$B$24,"{name}",AF192))</f>
        <v/>
      </c>
      <c r="AH192" s="32">
        <f>N(AH191)+W192</f>
        <v/>
      </c>
      <c r="AI192" s="32">
        <f>IF(W192=1,AH192,"")</f>
        <v/>
      </c>
    </row>
    <row r="193">
      <c r="A193" s="32">
        <f>IF(INDEX('Form Responses'!$A:$A,ROW())="","",INDEX('Form Responses'!$A:$A,ROW()))</f>
        <v/>
      </c>
      <c r="B193" s="32">
        <f>TRIM(INDEX('Form Responses'!$B:$B,ROW())&amp;"")</f>
        <v/>
      </c>
      <c r="C193" s="32">
        <f>IF(B193="","",TRIM(INDEX('Form Responses'!$C:$C,ROW())&amp;""))</f>
        <v/>
      </c>
      <c r="D193" s="32">
        <f>SUBSTITUTE(SUBSTITUTE(SUBSTITUTE(SUBSTITUTE(SUBSTITUTE(SUBSTITUTE(SUBSTITUTE(SUBSTITUTE(C193," ",""),"-",""),"(",""),")",""),".",""),"+",""),"/",""),CHAR(160),"")</f>
        <v/>
      </c>
      <c r="E193" s="32">
        <f>IF(LEN(D193)&gt;=10,RIGHT(D193,10),D193)</f>
        <v/>
      </c>
      <c r="F193" s="32">
        <f>IF(B193="","",TRIM(INDEX('Form Responses'!$D:$D,ROW())&amp;""))</f>
        <v/>
      </c>
      <c r="G193" s="32">
        <f>IF(B193="","",IF(LEFT(TRIM(INDEX('Form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3" s="32">
        <f>IF(B193="","",MAX(0,IFERROR(INT(--(INDEX('Form Responses'!$F:$F,ROW())&amp;"")),1)))</f>
        <v/>
      </c>
      <c r="I193" s="32">
        <f>IF(B193="","",MAX(0,IFERROR(INT(--(INDEX('Form Responses'!$G:$G,ROW())&amp;"")),0)))</f>
        <v/>
      </c>
      <c r="J193" s="32">
        <f>IF(B193="","",TRIM(INDEX('Form Responses'!$H:$H,ROW())&amp;""))</f>
        <v/>
      </c>
      <c r="K193" s="32">
        <f>IF(B193="","",TRIM(INDEX('Form Responses'!$I:$I,ROW())&amp;""))</f>
        <v/>
      </c>
      <c r="L193" s="32">
        <f>IF(B193="","",TRIM(INDEX('Form Responses'!$J:$J,ROW())&amp;""))</f>
        <v/>
      </c>
      <c r="M193" s="32">
        <f>IF(B193="","",TRIM(INDEX('Form Responses'!$K:$K,ROW())&amp;""))</f>
        <v/>
      </c>
      <c r="N193" s="32">
        <f>IF(B193="","",IF(E193&lt;&gt;"","P"&amp;E193,"N"&amp;B193))</f>
        <v/>
      </c>
      <c r="O193" s="32">
        <f>IF(N193="",0,IF(COUNTIF(N194:N$602,N193)=0,1,0))</f>
        <v/>
      </c>
      <c r="P193" s="32">
        <f>IF(AND(O193=1,E193&lt;&gt;""),E193,"")</f>
        <v/>
      </c>
      <c r="Q193" s="32">
        <f>IF(O193=1,B193,"")</f>
        <v/>
      </c>
      <c r="R193" s="32">
        <f>IF(O193&lt;&gt;1,"",IF(E193&lt;&gt;"",IFERROR(MATCH(E193,Guests!$S$6:$S$505,0)+5,IFERROR(MATCH(B193,Guests!$A$6:$A$505,0)+5,"")),IFERROR(MATCH(B193,Guests!$A$6:$A$505,0)+5,"")))</f>
        <v/>
      </c>
      <c r="S193" s="32">
        <f>IF(R193="","",TRIM(INDEX(Guests!$E$1:$E$505,R193)&amp;""))</f>
        <v/>
      </c>
      <c r="T193" s="32">
        <f>IF(R193="","",IF(S193="",1,COUNTIF(Guests!$E$6:$E$505,S193)))</f>
        <v/>
      </c>
      <c r="U193" s="32">
        <f>IF(R193="","",IF(S193="",1,IF(COUNTIF(S$1:S192,S193)=0,1,0)))</f>
        <v/>
      </c>
      <c r="V193" s="32">
        <f>IF(AND(R193&lt;&gt;"",G193="Attending",U193=1),MAX(0,H193+I193-T193),0)</f>
        <v/>
      </c>
      <c r="W193" s="32">
        <f>IF(AND(O193=1,R193=""),1,0)</f>
        <v/>
      </c>
      <c r="X193" s="32">
        <f>IF(B193="",0,H193+I193)</f>
        <v/>
      </c>
      <c r="Y193" s="32">
        <f>N(Y192)+O193</f>
        <v/>
      </c>
      <c r="Z193" s="32">
        <f>IF(O193=1,Y193,"")</f>
        <v/>
      </c>
      <c r="AA193" s="32">
        <f>IF(AND(W193=1,G193="Not sure yet"),1,0)</f>
        <v/>
      </c>
      <c r="AB193" s="32">
        <f>N(AB192)+AA193</f>
        <v/>
      </c>
      <c r="AC193" s="32">
        <f>IF(AA193=1,AB193,"")</f>
        <v/>
      </c>
      <c r="AD193" s="32">
        <f>IF(D193="","",IF(LEN(D193)=10,"+1"&amp;D193,IF(AND(LEN(D193)=11,LEFT(D193,1)="1"),"+"&amp;D193,IF(LEFT(C193,1)="+","+"&amp;D193,D193))))</f>
        <v/>
      </c>
      <c r="AE193" s="32">
        <f>IF(B193="","",PROPER(IFERROR(LEFT(B193,FIND(" ",B193)-1),B193)))</f>
        <v/>
      </c>
      <c r="AF193" s="32">
        <f>SUBSTITUTE(SUBSTITUTE(SUBSTITUTE(SUBSTITUTE(SUBSTITUTE(SUBSTITUTE(SUBSTITUTE(SUBSTITUTE(SUBSTITUTE(SUBSTITUTE(AE193,"%","%25"),"&amp;","%26"),"#","%23"),"+","%2B"),"=","%3D"),"?","%3F"),CHAR(34),"%22"),CHAR(10),"%0A"),CHAR(13),"")," ","+")</f>
        <v/>
      </c>
      <c r="AG193" s="32">
        <f>IF(OR(AD193="",AE193=""),"",'Start Here'!$B$20&amp;"#p="&amp;SUBSTITUTE(AD193,"+","%2B")&amp;"&amp;n="&amp;AF193&amp;"&amp;m="&amp;SUBSTITUTE('Start Here'!$B$24,"{name}",AF193))</f>
        <v/>
      </c>
      <c r="AH193" s="32">
        <f>N(AH192)+W193</f>
        <v/>
      </c>
      <c r="AI193" s="32">
        <f>IF(W193=1,AH193,"")</f>
        <v/>
      </c>
    </row>
    <row r="194">
      <c r="A194" s="32">
        <f>IF(INDEX('Form Responses'!$A:$A,ROW())="","",INDEX('Form Responses'!$A:$A,ROW()))</f>
        <v/>
      </c>
      <c r="B194" s="32">
        <f>TRIM(INDEX('Form Responses'!$B:$B,ROW())&amp;"")</f>
        <v/>
      </c>
      <c r="C194" s="32">
        <f>IF(B194="","",TRIM(INDEX('Form Responses'!$C:$C,ROW())&amp;""))</f>
        <v/>
      </c>
      <c r="D194" s="32">
        <f>SUBSTITUTE(SUBSTITUTE(SUBSTITUTE(SUBSTITUTE(SUBSTITUTE(SUBSTITUTE(SUBSTITUTE(SUBSTITUTE(C194," ",""),"-",""),"(",""),")",""),".",""),"+",""),"/",""),CHAR(160),"")</f>
        <v/>
      </c>
      <c r="E194" s="32">
        <f>IF(LEN(D194)&gt;=10,RIGHT(D194,10),D194)</f>
        <v/>
      </c>
      <c r="F194" s="32">
        <f>IF(B194="","",TRIM(INDEX('Form Responses'!$D:$D,ROW())&amp;""))</f>
        <v/>
      </c>
      <c r="G194" s="32">
        <f>IF(B194="","",IF(LEFT(TRIM(INDEX('Form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4" s="32">
        <f>IF(B194="","",MAX(0,IFERROR(INT(--(INDEX('Form Responses'!$F:$F,ROW())&amp;"")),1)))</f>
        <v/>
      </c>
      <c r="I194" s="32">
        <f>IF(B194="","",MAX(0,IFERROR(INT(--(INDEX('Form Responses'!$G:$G,ROW())&amp;"")),0)))</f>
        <v/>
      </c>
      <c r="J194" s="32">
        <f>IF(B194="","",TRIM(INDEX('Form Responses'!$H:$H,ROW())&amp;""))</f>
        <v/>
      </c>
      <c r="K194" s="32">
        <f>IF(B194="","",TRIM(INDEX('Form Responses'!$I:$I,ROW())&amp;""))</f>
        <v/>
      </c>
      <c r="L194" s="32">
        <f>IF(B194="","",TRIM(INDEX('Form Responses'!$J:$J,ROW())&amp;""))</f>
        <v/>
      </c>
      <c r="M194" s="32">
        <f>IF(B194="","",TRIM(INDEX('Form Responses'!$K:$K,ROW())&amp;""))</f>
        <v/>
      </c>
      <c r="N194" s="32">
        <f>IF(B194="","",IF(E194&lt;&gt;"","P"&amp;E194,"N"&amp;B194))</f>
        <v/>
      </c>
      <c r="O194" s="32">
        <f>IF(N194="",0,IF(COUNTIF(N195:N$602,N194)=0,1,0))</f>
        <v/>
      </c>
      <c r="P194" s="32">
        <f>IF(AND(O194=1,E194&lt;&gt;""),E194,"")</f>
        <v/>
      </c>
      <c r="Q194" s="32">
        <f>IF(O194=1,B194,"")</f>
        <v/>
      </c>
      <c r="R194" s="32">
        <f>IF(O194&lt;&gt;1,"",IF(E194&lt;&gt;"",IFERROR(MATCH(E194,Guests!$S$6:$S$505,0)+5,IFERROR(MATCH(B194,Guests!$A$6:$A$505,0)+5,"")),IFERROR(MATCH(B194,Guests!$A$6:$A$505,0)+5,"")))</f>
        <v/>
      </c>
      <c r="S194" s="32">
        <f>IF(R194="","",TRIM(INDEX(Guests!$E$1:$E$505,R194)&amp;""))</f>
        <v/>
      </c>
      <c r="T194" s="32">
        <f>IF(R194="","",IF(S194="",1,COUNTIF(Guests!$E$6:$E$505,S194)))</f>
        <v/>
      </c>
      <c r="U194" s="32">
        <f>IF(R194="","",IF(S194="",1,IF(COUNTIF(S$1:S193,S194)=0,1,0)))</f>
        <v/>
      </c>
      <c r="V194" s="32">
        <f>IF(AND(R194&lt;&gt;"",G194="Attending",U194=1),MAX(0,H194+I194-T194),0)</f>
        <v/>
      </c>
      <c r="W194" s="32">
        <f>IF(AND(O194=1,R194=""),1,0)</f>
        <v/>
      </c>
      <c r="X194" s="32">
        <f>IF(B194="",0,H194+I194)</f>
        <v/>
      </c>
      <c r="Y194" s="32">
        <f>N(Y193)+O194</f>
        <v/>
      </c>
      <c r="Z194" s="32">
        <f>IF(O194=1,Y194,"")</f>
        <v/>
      </c>
      <c r="AA194" s="32">
        <f>IF(AND(W194=1,G194="Not sure yet"),1,0)</f>
        <v/>
      </c>
      <c r="AB194" s="32">
        <f>N(AB193)+AA194</f>
        <v/>
      </c>
      <c r="AC194" s="32">
        <f>IF(AA194=1,AB194,"")</f>
        <v/>
      </c>
      <c r="AD194" s="32">
        <f>IF(D194="","",IF(LEN(D194)=10,"+1"&amp;D194,IF(AND(LEN(D194)=11,LEFT(D194,1)="1"),"+"&amp;D194,IF(LEFT(C194,1)="+","+"&amp;D194,D194))))</f>
        <v/>
      </c>
      <c r="AE194" s="32">
        <f>IF(B194="","",PROPER(IFERROR(LEFT(B194,FIND(" ",B194)-1),B194)))</f>
        <v/>
      </c>
      <c r="AF194" s="32">
        <f>SUBSTITUTE(SUBSTITUTE(SUBSTITUTE(SUBSTITUTE(SUBSTITUTE(SUBSTITUTE(SUBSTITUTE(SUBSTITUTE(SUBSTITUTE(SUBSTITUTE(AE194,"%","%25"),"&amp;","%26"),"#","%23"),"+","%2B"),"=","%3D"),"?","%3F"),CHAR(34),"%22"),CHAR(10),"%0A"),CHAR(13),"")," ","+")</f>
        <v/>
      </c>
      <c r="AG194" s="32">
        <f>IF(OR(AD194="",AE194=""),"",'Start Here'!$B$20&amp;"#p="&amp;SUBSTITUTE(AD194,"+","%2B")&amp;"&amp;n="&amp;AF194&amp;"&amp;m="&amp;SUBSTITUTE('Start Here'!$B$24,"{name}",AF194))</f>
        <v/>
      </c>
      <c r="AH194" s="32">
        <f>N(AH193)+W194</f>
        <v/>
      </c>
      <c r="AI194" s="32">
        <f>IF(W194=1,AH194,"")</f>
        <v/>
      </c>
    </row>
    <row r="195">
      <c r="A195" s="32">
        <f>IF(INDEX('Form Responses'!$A:$A,ROW())="","",INDEX('Form Responses'!$A:$A,ROW()))</f>
        <v/>
      </c>
      <c r="B195" s="32">
        <f>TRIM(INDEX('Form Responses'!$B:$B,ROW())&amp;"")</f>
        <v/>
      </c>
      <c r="C195" s="32">
        <f>IF(B195="","",TRIM(INDEX('Form Responses'!$C:$C,ROW())&amp;""))</f>
        <v/>
      </c>
      <c r="D195" s="32">
        <f>SUBSTITUTE(SUBSTITUTE(SUBSTITUTE(SUBSTITUTE(SUBSTITUTE(SUBSTITUTE(SUBSTITUTE(SUBSTITUTE(C195," ",""),"-",""),"(",""),")",""),".",""),"+",""),"/",""),CHAR(160),"")</f>
        <v/>
      </c>
      <c r="E195" s="32">
        <f>IF(LEN(D195)&gt;=10,RIGHT(D195,10),D195)</f>
        <v/>
      </c>
      <c r="F195" s="32">
        <f>IF(B195="","",TRIM(INDEX('Form Responses'!$D:$D,ROW())&amp;""))</f>
        <v/>
      </c>
      <c r="G195" s="32">
        <f>IF(B195="","",IF(LEFT(TRIM(INDEX('Form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5" s="32">
        <f>IF(B195="","",MAX(0,IFERROR(INT(--(INDEX('Form Responses'!$F:$F,ROW())&amp;"")),1)))</f>
        <v/>
      </c>
      <c r="I195" s="32">
        <f>IF(B195="","",MAX(0,IFERROR(INT(--(INDEX('Form Responses'!$G:$G,ROW())&amp;"")),0)))</f>
        <v/>
      </c>
      <c r="J195" s="32">
        <f>IF(B195="","",TRIM(INDEX('Form Responses'!$H:$H,ROW())&amp;""))</f>
        <v/>
      </c>
      <c r="K195" s="32">
        <f>IF(B195="","",TRIM(INDEX('Form Responses'!$I:$I,ROW())&amp;""))</f>
        <v/>
      </c>
      <c r="L195" s="32">
        <f>IF(B195="","",TRIM(INDEX('Form Responses'!$J:$J,ROW())&amp;""))</f>
        <v/>
      </c>
      <c r="M195" s="32">
        <f>IF(B195="","",TRIM(INDEX('Form Responses'!$K:$K,ROW())&amp;""))</f>
        <v/>
      </c>
      <c r="N195" s="32">
        <f>IF(B195="","",IF(E195&lt;&gt;"","P"&amp;E195,"N"&amp;B195))</f>
        <v/>
      </c>
      <c r="O195" s="32">
        <f>IF(N195="",0,IF(COUNTIF(N196:N$602,N195)=0,1,0))</f>
        <v/>
      </c>
      <c r="P195" s="32">
        <f>IF(AND(O195=1,E195&lt;&gt;""),E195,"")</f>
        <v/>
      </c>
      <c r="Q195" s="32">
        <f>IF(O195=1,B195,"")</f>
        <v/>
      </c>
      <c r="R195" s="32">
        <f>IF(O195&lt;&gt;1,"",IF(E195&lt;&gt;"",IFERROR(MATCH(E195,Guests!$S$6:$S$505,0)+5,IFERROR(MATCH(B195,Guests!$A$6:$A$505,0)+5,"")),IFERROR(MATCH(B195,Guests!$A$6:$A$505,0)+5,"")))</f>
        <v/>
      </c>
      <c r="S195" s="32">
        <f>IF(R195="","",TRIM(INDEX(Guests!$E$1:$E$505,R195)&amp;""))</f>
        <v/>
      </c>
      <c r="T195" s="32">
        <f>IF(R195="","",IF(S195="",1,COUNTIF(Guests!$E$6:$E$505,S195)))</f>
        <v/>
      </c>
      <c r="U195" s="32">
        <f>IF(R195="","",IF(S195="",1,IF(COUNTIF(S$1:S194,S195)=0,1,0)))</f>
        <v/>
      </c>
      <c r="V195" s="32">
        <f>IF(AND(R195&lt;&gt;"",G195="Attending",U195=1),MAX(0,H195+I195-T195),0)</f>
        <v/>
      </c>
      <c r="W195" s="32">
        <f>IF(AND(O195=1,R195=""),1,0)</f>
        <v/>
      </c>
      <c r="X195" s="32">
        <f>IF(B195="",0,H195+I195)</f>
        <v/>
      </c>
      <c r="Y195" s="32">
        <f>N(Y194)+O195</f>
        <v/>
      </c>
      <c r="Z195" s="32">
        <f>IF(O195=1,Y195,"")</f>
        <v/>
      </c>
      <c r="AA195" s="32">
        <f>IF(AND(W195=1,G195="Not sure yet"),1,0)</f>
        <v/>
      </c>
      <c r="AB195" s="32">
        <f>N(AB194)+AA195</f>
        <v/>
      </c>
      <c r="AC195" s="32">
        <f>IF(AA195=1,AB195,"")</f>
        <v/>
      </c>
      <c r="AD195" s="32">
        <f>IF(D195="","",IF(LEN(D195)=10,"+1"&amp;D195,IF(AND(LEN(D195)=11,LEFT(D195,1)="1"),"+"&amp;D195,IF(LEFT(C195,1)="+","+"&amp;D195,D195))))</f>
        <v/>
      </c>
      <c r="AE195" s="32">
        <f>IF(B195="","",PROPER(IFERROR(LEFT(B195,FIND(" ",B195)-1),B195)))</f>
        <v/>
      </c>
      <c r="AF195" s="32">
        <f>SUBSTITUTE(SUBSTITUTE(SUBSTITUTE(SUBSTITUTE(SUBSTITUTE(SUBSTITUTE(SUBSTITUTE(SUBSTITUTE(SUBSTITUTE(SUBSTITUTE(AE195,"%","%25"),"&amp;","%26"),"#","%23"),"+","%2B"),"=","%3D"),"?","%3F"),CHAR(34),"%22"),CHAR(10),"%0A"),CHAR(13),"")," ","+")</f>
        <v/>
      </c>
      <c r="AG195" s="32">
        <f>IF(OR(AD195="",AE195=""),"",'Start Here'!$B$20&amp;"#p="&amp;SUBSTITUTE(AD195,"+","%2B")&amp;"&amp;n="&amp;AF195&amp;"&amp;m="&amp;SUBSTITUTE('Start Here'!$B$24,"{name}",AF195))</f>
        <v/>
      </c>
      <c r="AH195" s="32">
        <f>N(AH194)+W195</f>
        <v/>
      </c>
      <c r="AI195" s="32">
        <f>IF(W195=1,AH195,"")</f>
        <v/>
      </c>
    </row>
    <row r="196">
      <c r="A196" s="32">
        <f>IF(INDEX('Form Responses'!$A:$A,ROW())="","",INDEX('Form Responses'!$A:$A,ROW()))</f>
        <v/>
      </c>
      <c r="B196" s="32">
        <f>TRIM(INDEX('Form Responses'!$B:$B,ROW())&amp;"")</f>
        <v/>
      </c>
      <c r="C196" s="32">
        <f>IF(B196="","",TRIM(INDEX('Form Responses'!$C:$C,ROW())&amp;""))</f>
        <v/>
      </c>
      <c r="D196" s="32">
        <f>SUBSTITUTE(SUBSTITUTE(SUBSTITUTE(SUBSTITUTE(SUBSTITUTE(SUBSTITUTE(SUBSTITUTE(SUBSTITUTE(C196," ",""),"-",""),"(",""),")",""),".",""),"+",""),"/",""),CHAR(160),"")</f>
        <v/>
      </c>
      <c r="E196" s="32">
        <f>IF(LEN(D196)&gt;=10,RIGHT(D196,10),D196)</f>
        <v/>
      </c>
      <c r="F196" s="32">
        <f>IF(B196="","",TRIM(INDEX('Form Responses'!$D:$D,ROW())&amp;""))</f>
        <v/>
      </c>
      <c r="G196" s="32">
        <f>IF(B196="","",IF(LEFT(TRIM(INDEX('Form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6" s="32">
        <f>IF(B196="","",MAX(0,IFERROR(INT(--(INDEX('Form Responses'!$F:$F,ROW())&amp;"")),1)))</f>
        <v/>
      </c>
      <c r="I196" s="32">
        <f>IF(B196="","",MAX(0,IFERROR(INT(--(INDEX('Form Responses'!$G:$G,ROW())&amp;"")),0)))</f>
        <v/>
      </c>
      <c r="J196" s="32">
        <f>IF(B196="","",TRIM(INDEX('Form Responses'!$H:$H,ROW())&amp;""))</f>
        <v/>
      </c>
      <c r="K196" s="32">
        <f>IF(B196="","",TRIM(INDEX('Form Responses'!$I:$I,ROW())&amp;""))</f>
        <v/>
      </c>
      <c r="L196" s="32">
        <f>IF(B196="","",TRIM(INDEX('Form Responses'!$J:$J,ROW())&amp;""))</f>
        <v/>
      </c>
      <c r="M196" s="32">
        <f>IF(B196="","",TRIM(INDEX('Form Responses'!$K:$K,ROW())&amp;""))</f>
        <v/>
      </c>
      <c r="N196" s="32">
        <f>IF(B196="","",IF(E196&lt;&gt;"","P"&amp;E196,"N"&amp;B196))</f>
        <v/>
      </c>
      <c r="O196" s="32">
        <f>IF(N196="",0,IF(COUNTIF(N197:N$602,N196)=0,1,0))</f>
        <v/>
      </c>
      <c r="P196" s="32">
        <f>IF(AND(O196=1,E196&lt;&gt;""),E196,"")</f>
        <v/>
      </c>
      <c r="Q196" s="32">
        <f>IF(O196=1,B196,"")</f>
        <v/>
      </c>
      <c r="R196" s="32">
        <f>IF(O196&lt;&gt;1,"",IF(E196&lt;&gt;"",IFERROR(MATCH(E196,Guests!$S$6:$S$505,0)+5,IFERROR(MATCH(B196,Guests!$A$6:$A$505,0)+5,"")),IFERROR(MATCH(B196,Guests!$A$6:$A$505,0)+5,"")))</f>
        <v/>
      </c>
      <c r="S196" s="32">
        <f>IF(R196="","",TRIM(INDEX(Guests!$E$1:$E$505,R196)&amp;""))</f>
        <v/>
      </c>
      <c r="T196" s="32">
        <f>IF(R196="","",IF(S196="",1,COUNTIF(Guests!$E$6:$E$505,S196)))</f>
        <v/>
      </c>
      <c r="U196" s="32">
        <f>IF(R196="","",IF(S196="",1,IF(COUNTIF(S$1:S195,S196)=0,1,0)))</f>
        <v/>
      </c>
      <c r="V196" s="32">
        <f>IF(AND(R196&lt;&gt;"",G196="Attending",U196=1),MAX(0,H196+I196-T196),0)</f>
        <v/>
      </c>
      <c r="W196" s="32">
        <f>IF(AND(O196=1,R196=""),1,0)</f>
        <v/>
      </c>
      <c r="X196" s="32">
        <f>IF(B196="",0,H196+I196)</f>
        <v/>
      </c>
      <c r="Y196" s="32">
        <f>N(Y195)+O196</f>
        <v/>
      </c>
      <c r="Z196" s="32">
        <f>IF(O196=1,Y196,"")</f>
        <v/>
      </c>
      <c r="AA196" s="32">
        <f>IF(AND(W196=1,G196="Not sure yet"),1,0)</f>
        <v/>
      </c>
      <c r="AB196" s="32">
        <f>N(AB195)+AA196</f>
        <v/>
      </c>
      <c r="AC196" s="32">
        <f>IF(AA196=1,AB196,"")</f>
        <v/>
      </c>
      <c r="AD196" s="32">
        <f>IF(D196="","",IF(LEN(D196)=10,"+1"&amp;D196,IF(AND(LEN(D196)=11,LEFT(D196,1)="1"),"+"&amp;D196,IF(LEFT(C196,1)="+","+"&amp;D196,D196))))</f>
        <v/>
      </c>
      <c r="AE196" s="32">
        <f>IF(B196="","",PROPER(IFERROR(LEFT(B196,FIND(" ",B196)-1),B196)))</f>
        <v/>
      </c>
      <c r="AF196" s="32">
        <f>SUBSTITUTE(SUBSTITUTE(SUBSTITUTE(SUBSTITUTE(SUBSTITUTE(SUBSTITUTE(SUBSTITUTE(SUBSTITUTE(SUBSTITUTE(SUBSTITUTE(AE196,"%","%25"),"&amp;","%26"),"#","%23"),"+","%2B"),"=","%3D"),"?","%3F"),CHAR(34),"%22"),CHAR(10),"%0A"),CHAR(13),"")," ","+")</f>
        <v/>
      </c>
      <c r="AG196" s="32">
        <f>IF(OR(AD196="",AE196=""),"",'Start Here'!$B$20&amp;"#p="&amp;SUBSTITUTE(AD196,"+","%2B")&amp;"&amp;n="&amp;AF196&amp;"&amp;m="&amp;SUBSTITUTE('Start Here'!$B$24,"{name}",AF196))</f>
        <v/>
      </c>
      <c r="AH196" s="32">
        <f>N(AH195)+W196</f>
        <v/>
      </c>
      <c r="AI196" s="32">
        <f>IF(W196=1,AH196,"")</f>
        <v/>
      </c>
    </row>
    <row r="197">
      <c r="A197" s="32">
        <f>IF(INDEX('Form Responses'!$A:$A,ROW())="","",INDEX('Form Responses'!$A:$A,ROW()))</f>
        <v/>
      </c>
      <c r="B197" s="32">
        <f>TRIM(INDEX('Form Responses'!$B:$B,ROW())&amp;"")</f>
        <v/>
      </c>
      <c r="C197" s="32">
        <f>IF(B197="","",TRIM(INDEX('Form Responses'!$C:$C,ROW())&amp;""))</f>
        <v/>
      </c>
      <c r="D197" s="32">
        <f>SUBSTITUTE(SUBSTITUTE(SUBSTITUTE(SUBSTITUTE(SUBSTITUTE(SUBSTITUTE(SUBSTITUTE(SUBSTITUTE(C197," ",""),"-",""),"(",""),")",""),".",""),"+",""),"/",""),CHAR(160),"")</f>
        <v/>
      </c>
      <c r="E197" s="32">
        <f>IF(LEN(D197)&gt;=10,RIGHT(D197,10),D197)</f>
        <v/>
      </c>
      <c r="F197" s="32">
        <f>IF(B197="","",TRIM(INDEX('Form Responses'!$D:$D,ROW())&amp;""))</f>
        <v/>
      </c>
      <c r="G197" s="32">
        <f>IF(B197="","",IF(LEFT(TRIM(INDEX('Form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7" s="32">
        <f>IF(B197="","",MAX(0,IFERROR(INT(--(INDEX('Form Responses'!$F:$F,ROW())&amp;"")),1)))</f>
        <v/>
      </c>
      <c r="I197" s="32">
        <f>IF(B197="","",MAX(0,IFERROR(INT(--(INDEX('Form Responses'!$G:$G,ROW())&amp;"")),0)))</f>
        <v/>
      </c>
      <c r="J197" s="32">
        <f>IF(B197="","",TRIM(INDEX('Form Responses'!$H:$H,ROW())&amp;""))</f>
        <v/>
      </c>
      <c r="K197" s="32">
        <f>IF(B197="","",TRIM(INDEX('Form Responses'!$I:$I,ROW())&amp;""))</f>
        <v/>
      </c>
      <c r="L197" s="32">
        <f>IF(B197="","",TRIM(INDEX('Form Responses'!$J:$J,ROW())&amp;""))</f>
        <v/>
      </c>
      <c r="M197" s="32">
        <f>IF(B197="","",TRIM(INDEX('Form Responses'!$K:$K,ROW())&amp;""))</f>
        <v/>
      </c>
      <c r="N197" s="32">
        <f>IF(B197="","",IF(E197&lt;&gt;"","P"&amp;E197,"N"&amp;B197))</f>
        <v/>
      </c>
      <c r="O197" s="32">
        <f>IF(N197="",0,IF(COUNTIF(N198:N$602,N197)=0,1,0))</f>
        <v/>
      </c>
      <c r="P197" s="32">
        <f>IF(AND(O197=1,E197&lt;&gt;""),E197,"")</f>
        <v/>
      </c>
      <c r="Q197" s="32">
        <f>IF(O197=1,B197,"")</f>
        <v/>
      </c>
      <c r="R197" s="32">
        <f>IF(O197&lt;&gt;1,"",IF(E197&lt;&gt;"",IFERROR(MATCH(E197,Guests!$S$6:$S$505,0)+5,IFERROR(MATCH(B197,Guests!$A$6:$A$505,0)+5,"")),IFERROR(MATCH(B197,Guests!$A$6:$A$505,0)+5,"")))</f>
        <v/>
      </c>
      <c r="S197" s="32">
        <f>IF(R197="","",TRIM(INDEX(Guests!$E$1:$E$505,R197)&amp;""))</f>
        <v/>
      </c>
      <c r="T197" s="32">
        <f>IF(R197="","",IF(S197="",1,COUNTIF(Guests!$E$6:$E$505,S197)))</f>
        <v/>
      </c>
      <c r="U197" s="32">
        <f>IF(R197="","",IF(S197="",1,IF(COUNTIF(S$1:S196,S197)=0,1,0)))</f>
        <v/>
      </c>
      <c r="V197" s="32">
        <f>IF(AND(R197&lt;&gt;"",G197="Attending",U197=1),MAX(0,H197+I197-T197),0)</f>
        <v/>
      </c>
      <c r="W197" s="32">
        <f>IF(AND(O197=1,R197=""),1,0)</f>
        <v/>
      </c>
      <c r="X197" s="32">
        <f>IF(B197="",0,H197+I197)</f>
        <v/>
      </c>
      <c r="Y197" s="32">
        <f>N(Y196)+O197</f>
        <v/>
      </c>
      <c r="Z197" s="32">
        <f>IF(O197=1,Y197,"")</f>
        <v/>
      </c>
      <c r="AA197" s="32">
        <f>IF(AND(W197=1,G197="Not sure yet"),1,0)</f>
        <v/>
      </c>
      <c r="AB197" s="32">
        <f>N(AB196)+AA197</f>
        <v/>
      </c>
      <c r="AC197" s="32">
        <f>IF(AA197=1,AB197,"")</f>
        <v/>
      </c>
      <c r="AD197" s="32">
        <f>IF(D197="","",IF(LEN(D197)=10,"+1"&amp;D197,IF(AND(LEN(D197)=11,LEFT(D197,1)="1"),"+"&amp;D197,IF(LEFT(C197,1)="+","+"&amp;D197,D197))))</f>
        <v/>
      </c>
      <c r="AE197" s="32">
        <f>IF(B197="","",PROPER(IFERROR(LEFT(B197,FIND(" ",B197)-1),B197)))</f>
        <v/>
      </c>
      <c r="AF197" s="32">
        <f>SUBSTITUTE(SUBSTITUTE(SUBSTITUTE(SUBSTITUTE(SUBSTITUTE(SUBSTITUTE(SUBSTITUTE(SUBSTITUTE(SUBSTITUTE(SUBSTITUTE(AE197,"%","%25"),"&amp;","%26"),"#","%23"),"+","%2B"),"=","%3D"),"?","%3F"),CHAR(34),"%22"),CHAR(10),"%0A"),CHAR(13),"")," ","+")</f>
        <v/>
      </c>
      <c r="AG197" s="32">
        <f>IF(OR(AD197="",AE197=""),"",'Start Here'!$B$20&amp;"#p="&amp;SUBSTITUTE(AD197,"+","%2B")&amp;"&amp;n="&amp;AF197&amp;"&amp;m="&amp;SUBSTITUTE('Start Here'!$B$24,"{name}",AF197))</f>
        <v/>
      </c>
      <c r="AH197" s="32">
        <f>N(AH196)+W197</f>
        <v/>
      </c>
      <c r="AI197" s="32">
        <f>IF(W197=1,AH197,"")</f>
        <v/>
      </c>
    </row>
    <row r="198">
      <c r="A198" s="32">
        <f>IF(INDEX('Form Responses'!$A:$A,ROW())="","",INDEX('Form Responses'!$A:$A,ROW()))</f>
        <v/>
      </c>
      <c r="B198" s="32">
        <f>TRIM(INDEX('Form Responses'!$B:$B,ROW())&amp;"")</f>
        <v/>
      </c>
      <c r="C198" s="32">
        <f>IF(B198="","",TRIM(INDEX('Form Responses'!$C:$C,ROW())&amp;""))</f>
        <v/>
      </c>
      <c r="D198" s="32">
        <f>SUBSTITUTE(SUBSTITUTE(SUBSTITUTE(SUBSTITUTE(SUBSTITUTE(SUBSTITUTE(SUBSTITUTE(SUBSTITUTE(C198," ",""),"-",""),"(",""),")",""),".",""),"+",""),"/",""),CHAR(160),"")</f>
        <v/>
      </c>
      <c r="E198" s="32">
        <f>IF(LEN(D198)&gt;=10,RIGHT(D198,10),D198)</f>
        <v/>
      </c>
      <c r="F198" s="32">
        <f>IF(B198="","",TRIM(INDEX('Form Responses'!$D:$D,ROW())&amp;""))</f>
        <v/>
      </c>
      <c r="G198" s="32">
        <f>IF(B198="","",IF(LEFT(TRIM(INDEX('Form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8" s="32">
        <f>IF(B198="","",MAX(0,IFERROR(INT(--(INDEX('Form Responses'!$F:$F,ROW())&amp;"")),1)))</f>
        <v/>
      </c>
      <c r="I198" s="32">
        <f>IF(B198="","",MAX(0,IFERROR(INT(--(INDEX('Form Responses'!$G:$G,ROW())&amp;"")),0)))</f>
        <v/>
      </c>
      <c r="J198" s="32">
        <f>IF(B198="","",TRIM(INDEX('Form Responses'!$H:$H,ROW())&amp;""))</f>
        <v/>
      </c>
      <c r="K198" s="32">
        <f>IF(B198="","",TRIM(INDEX('Form Responses'!$I:$I,ROW())&amp;""))</f>
        <v/>
      </c>
      <c r="L198" s="32">
        <f>IF(B198="","",TRIM(INDEX('Form Responses'!$J:$J,ROW())&amp;""))</f>
        <v/>
      </c>
      <c r="M198" s="32">
        <f>IF(B198="","",TRIM(INDEX('Form Responses'!$K:$K,ROW())&amp;""))</f>
        <v/>
      </c>
      <c r="N198" s="32">
        <f>IF(B198="","",IF(E198&lt;&gt;"","P"&amp;E198,"N"&amp;B198))</f>
        <v/>
      </c>
      <c r="O198" s="32">
        <f>IF(N198="",0,IF(COUNTIF(N199:N$602,N198)=0,1,0))</f>
        <v/>
      </c>
      <c r="P198" s="32">
        <f>IF(AND(O198=1,E198&lt;&gt;""),E198,"")</f>
        <v/>
      </c>
      <c r="Q198" s="32">
        <f>IF(O198=1,B198,"")</f>
        <v/>
      </c>
      <c r="R198" s="32">
        <f>IF(O198&lt;&gt;1,"",IF(E198&lt;&gt;"",IFERROR(MATCH(E198,Guests!$S$6:$S$505,0)+5,IFERROR(MATCH(B198,Guests!$A$6:$A$505,0)+5,"")),IFERROR(MATCH(B198,Guests!$A$6:$A$505,0)+5,"")))</f>
        <v/>
      </c>
      <c r="S198" s="32">
        <f>IF(R198="","",TRIM(INDEX(Guests!$E$1:$E$505,R198)&amp;""))</f>
        <v/>
      </c>
      <c r="T198" s="32">
        <f>IF(R198="","",IF(S198="",1,COUNTIF(Guests!$E$6:$E$505,S198)))</f>
        <v/>
      </c>
      <c r="U198" s="32">
        <f>IF(R198="","",IF(S198="",1,IF(COUNTIF(S$1:S197,S198)=0,1,0)))</f>
        <v/>
      </c>
      <c r="V198" s="32">
        <f>IF(AND(R198&lt;&gt;"",G198="Attending",U198=1),MAX(0,H198+I198-T198),0)</f>
        <v/>
      </c>
      <c r="W198" s="32">
        <f>IF(AND(O198=1,R198=""),1,0)</f>
        <v/>
      </c>
      <c r="X198" s="32">
        <f>IF(B198="",0,H198+I198)</f>
        <v/>
      </c>
      <c r="Y198" s="32">
        <f>N(Y197)+O198</f>
        <v/>
      </c>
      <c r="Z198" s="32">
        <f>IF(O198=1,Y198,"")</f>
        <v/>
      </c>
      <c r="AA198" s="32">
        <f>IF(AND(W198=1,G198="Not sure yet"),1,0)</f>
        <v/>
      </c>
      <c r="AB198" s="32">
        <f>N(AB197)+AA198</f>
        <v/>
      </c>
      <c r="AC198" s="32">
        <f>IF(AA198=1,AB198,"")</f>
        <v/>
      </c>
      <c r="AD198" s="32">
        <f>IF(D198="","",IF(LEN(D198)=10,"+1"&amp;D198,IF(AND(LEN(D198)=11,LEFT(D198,1)="1"),"+"&amp;D198,IF(LEFT(C198,1)="+","+"&amp;D198,D198))))</f>
        <v/>
      </c>
      <c r="AE198" s="32">
        <f>IF(B198="","",PROPER(IFERROR(LEFT(B198,FIND(" ",B198)-1),B198)))</f>
        <v/>
      </c>
      <c r="AF198" s="32">
        <f>SUBSTITUTE(SUBSTITUTE(SUBSTITUTE(SUBSTITUTE(SUBSTITUTE(SUBSTITUTE(SUBSTITUTE(SUBSTITUTE(SUBSTITUTE(SUBSTITUTE(AE198,"%","%25"),"&amp;","%26"),"#","%23"),"+","%2B"),"=","%3D"),"?","%3F"),CHAR(34),"%22"),CHAR(10),"%0A"),CHAR(13),"")," ","+")</f>
        <v/>
      </c>
      <c r="AG198" s="32">
        <f>IF(OR(AD198="",AE198=""),"",'Start Here'!$B$20&amp;"#p="&amp;SUBSTITUTE(AD198,"+","%2B")&amp;"&amp;n="&amp;AF198&amp;"&amp;m="&amp;SUBSTITUTE('Start Here'!$B$24,"{name}",AF198))</f>
        <v/>
      </c>
      <c r="AH198" s="32">
        <f>N(AH197)+W198</f>
        <v/>
      </c>
      <c r="AI198" s="32">
        <f>IF(W198=1,AH198,"")</f>
        <v/>
      </c>
    </row>
    <row r="199">
      <c r="A199" s="32">
        <f>IF(INDEX('Form Responses'!$A:$A,ROW())="","",INDEX('Form Responses'!$A:$A,ROW()))</f>
        <v/>
      </c>
      <c r="B199" s="32">
        <f>TRIM(INDEX('Form Responses'!$B:$B,ROW())&amp;"")</f>
        <v/>
      </c>
      <c r="C199" s="32">
        <f>IF(B199="","",TRIM(INDEX('Form Responses'!$C:$C,ROW())&amp;""))</f>
        <v/>
      </c>
      <c r="D199" s="32">
        <f>SUBSTITUTE(SUBSTITUTE(SUBSTITUTE(SUBSTITUTE(SUBSTITUTE(SUBSTITUTE(SUBSTITUTE(SUBSTITUTE(C199," ",""),"-",""),"(",""),")",""),".",""),"+",""),"/",""),CHAR(160),"")</f>
        <v/>
      </c>
      <c r="E199" s="32">
        <f>IF(LEN(D199)&gt;=10,RIGHT(D199,10),D199)</f>
        <v/>
      </c>
      <c r="F199" s="32">
        <f>IF(B199="","",TRIM(INDEX('Form Responses'!$D:$D,ROW())&amp;""))</f>
        <v/>
      </c>
      <c r="G199" s="32">
        <f>IF(B199="","",IF(LEFT(TRIM(INDEX('Form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199" s="32">
        <f>IF(B199="","",MAX(0,IFERROR(INT(--(INDEX('Form Responses'!$F:$F,ROW())&amp;"")),1)))</f>
        <v/>
      </c>
      <c r="I199" s="32">
        <f>IF(B199="","",MAX(0,IFERROR(INT(--(INDEX('Form Responses'!$G:$G,ROW())&amp;"")),0)))</f>
        <v/>
      </c>
      <c r="J199" s="32">
        <f>IF(B199="","",TRIM(INDEX('Form Responses'!$H:$H,ROW())&amp;""))</f>
        <v/>
      </c>
      <c r="K199" s="32">
        <f>IF(B199="","",TRIM(INDEX('Form Responses'!$I:$I,ROW())&amp;""))</f>
        <v/>
      </c>
      <c r="L199" s="32">
        <f>IF(B199="","",TRIM(INDEX('Form Responses'!$J:$J,ROW())&amp;""))</f>
        <v/>
      </c>
      <c r="M199" s="32">
        <f>IF(B199="","",TRIM(INDEX('Form Responses'!$K:$K,ROW())&amp;""))</f>
        <v/>
      </c>
      <c r="N199" s="32">
        <f>IF(B199="","",IF(E199&lt;&gt;"","P"&amp;E199,"N"&amp;B199))</f>
        <v/>
      </c>
      <c r="O199" s="32">
        <f>IF(N199="",0,IF(COUNTIF(N200:N$602,N199)=0,1,0))</f>
        <v/>
      </c>
      <c r="P199" s="32">
        <f>IF(AND(O199=1,E199&lt;&gt;""),E199,"")</f>
        <v/>
      </c>
      <c r="Q199" s="32">
        <f>IF(O199=1,B199,"")</f>
        <v/>
      </c>
      <c r="R199" s="32">
        <f>IF(O199&lt;&gt;1,"",IF(E199&lt;&gt;"",IFERROR(MATCH(E199,Guests!$S$6:$S$505,0)+5,IFERROR(MATCH(B199,Guests!$A$6:$A$505,0)+5,"")),IFERROR(MATCH(B199,Guests!$A$6:$A$505,0)+5,"")))</f>
        <v/>
      </c>
      <c r="S199" s="32">
        <f>IF(R199="","",TRIM(INDEX(Guests!$E$1:$E$505,R199)&amp;""))</f>
        <v/>
      </c>
      <c r="T199" s="32">
        <f>IF(R199="","",IF(S199="",1,COUNTIF(Guests!$E$6:$E$505,S199)))</f>
        <v/>
      </c>
      <c r="U199" s="32">
        <f>IF(R199="","",IF(S199="",1,IF(COUNTIF(S$1:S198,S199)=0,1,0)))</f>
        <v/>
      </c>
      <c r="V199" s="32">
        <f>IF(AND(R199&lt;&gt;"",G199="Attending",U199=1),MAX(0,H199+I199-T199),0)</f>
        <v/>
      </c>
      <c r="W199" s="32">
        <f>IF(AND(O199=1,R199=""),1,0)</f>
        <v/>
      </c>
      <c r="X199" s="32">
        <f>IF(B199="",0,H199+I199)</f>
        <v/>
      </c>
      <c r="Y199" s="32">
        <f>N(Y198)+O199</f>
        <v/>
      </c>
      <c r="Z199" s="32">
        <f>IF(O199=1,Y199,"")</f>
        <v/>
      </c>
      <c r="AA199" s="32">
        <f>IF(AND(W199=1,G199="Not sure yet"),1,0)</f>
        <v/>
      </c>
      <c r="AB199" s="32">
        <f>N(AB198)+AA199</f>
        <v/>
      </c>
      <c r="AC199" s="32">
        <f>IF(AA199=1,AB199,"")</f>
        <v/>
      </c>
      <c r="AD199" s="32">
        <f>IF(D199="","",IF(LEN(D199)=10,"+1"&amp;D199,IF(AND(LEN(D199)=11,LEFT(D199,1)="1"),"+"&amp;D199,IF(LEFT(C199,1)="+","+"&amp;D199,D199))))</f>
        <v/>
      </c>
      <c r="AE199" s="32">
        <f>IF(B199="","",PROPER(IFERROR(LEFT(B199,FIND(" ",B199)-1),B199)))</f>
        <v/>
      </c>
      <c r="AF199" s="32">
        <f>SUBSTITUTE(SUBSTITUTE(SUBSTITUTE(SUBSTITUTE(SUBSTITUTE(SUBSTITUTE(SUBSTITUTE(SUBSTITUTE(SUBSTITUTE(SUBSTITUTE(AE199,"%","%25"),"&amp;","%26"),"#","%23"),"+","%2B"),"=","%3D"),"?","%3F"),CHAR(34),"%22"),CHAR(10),"%0A"),CHAR(13),"")," ","+")</f>
        <v/>
      </c>
      <c r="AG199" s="32">
        <f>IF(OR(AD199="",AE199=""),"",'Start Here'!$B$20&amp;"#p="&amp;SUBSTITUTE(AD199,"+","%2B")&amp;"&amp;n="&amp;AF199&amp;"&amp;m="&amp;SUBSTITUTE('Start Here'!$B$24,"{name}",AF199))</f>
        <v/>
      </c>
      <c r="AH199" s="32">
        <f>N(AH198)+W199</f>
        <v/>
      </c>
      <c r="AI199" s="32">
        <f>IF(W199=1,AH199,"")</f>
        <v/>
      </c>
    </row>
    <row r="200">
      <c r="A200" s="32">
        <f>IF(INDEX('Form Responses'!$A:$A,ROW())="","",INDEX('Form Responses'!$A:$A,ROW()))</f>
        <v/>
      </c>
      <c r="B200" s="32">
        <f>TRIM(INDEX('Form Responses'!$B:$B,ROW())&amp;"")</f>
        <v/>
      </c>
      <c r="C200" s="32">
        <f>IF(B200="","",TRIM(INDEX('Form Responses'!$C:$C,ROW())&amp;""))</f>
        <v/>
      </c>
      <c r="D200" s="32">
        <f>SUBSTITUTE(SUBSTITUTE(SUBSTITUTE(SUBSTITUTE(SUBSTITUTE(SUBSTITUTE(SUBSTITUTE(SUBSTITUTE(C200," ",""),"-",""),"(",""),")",""),".",""),"+",""),"/",""),CHAR(160),"")</f>
        <v/>
      </c>
      <c r="E200" s="32">
        <f>IF(LEN(D200)&gt;=10,RIGHT(D200,10),D200)</f>
        <v/>
      </c>
      <c r="F200" s="32">
        <f>IF(B200="","",TRIM(INDEX('Form Responses'!$D:$D,ROW())&amp;""))</f>
        <v/>
      </c>
      <c r="G200" s="32">
        <f>IF(B200="","",IF(LEFT(TRIM(INDEX('Form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0" s="32">
        <f>IF(B200="","",MAX(0,IFERROR(INT(--(INDEX('Form Responses'!$F:$F,ROW())&amp;"")),1)))</f>
        <v/>
      </c>
      <c r="I200" s="32">
        <f>IF(B200="","",MAX(0,IFERROR(INT(--(INDEX('Form Responses'!$G:$G,ROW())&amp;"")),0)))</f>
        <v/>
      </c>
      <c r="J200" s="32">
        <f>IF(B200="","",TRIM(INDEX('Form Responses'!$H:$H,ROW())&amp;""))</f>
        <v/>
      </c>
      <c r="K200" s="32">
        <f>IF(B200="","",TRIM(INDEX('Form Responses'!$I:$I,ROW())&amp;""))</f>
        <v/>
      </c>
      <c r="L200" s="32">
        <f>IF(B200="","",TRIM(INDEX('Form Responses'!$J:$J,ROW())&amp;""))</f>
        <v/>
      </c>
      <c r="M200" s="32">
        <f>IF(B200="","",TRIM(INDEX('Form Responses'!$K:$K,ROW())&amp;""))</f>
        <v/>
      </c>
      <c r="N200" s="32">
        <f>IF(B200="","",IF(E200&lt;&gt;"","P"&amp;E200,"N"&amp;B200))</f>
        <v/>
      </c>
      <c r="O200" s="32">
        <f>IF(N200="",0,IF(COUNTIF(N201:N$602,N200)=0,1,0))</f>
        <v/>
      </c>
      <c r="P200" s="32">
        <f>IF(AND(O200=1,E200&lt;&gt;""),E200,"")</f>
        <v/>
      </c>
      <c r="Q200" s="32">
        <f>IF(O200=1,B200,"")</f>
        <v/>
      </c>
      <c r="R200" s="32">
        <f>IF(O200&lt;&gt;1,"",IF(E200&lt;&gt;"",IFERROR(MATCH(E200,Guests!$S$6:$S$505,0)+5,IFERROR(MATCH(B200,Guests!$A$6:$A$505,0)+5,"")),IFERROR(MATCH(B200,Guests!$A$6:$A$505,0)+5,"")))</f>
        <v/>
      </c>
      <c r="S200" s="32">
        <f>IF(R200="","",TRIM(INDEX(Guests!$E$1:$E$505,R200)&amp;""))</f>
        <v/>
      </c>
      <c r="T200" s="32">
        <f>IF(R200="","",IF(S200="",1,COUNTIF(Guests!$E$6:$E$505,S200)))</f>
        <v/>
      </c>
      <c r="U200" s="32">
        <f>IF(R200="","",IF(S200="",1,IF(COUNTIF(S$1:S199,S200)=0,1,0)))</f>
        <v/>
      </c>
      <c r="V200" s="32">
        <f>IF(AND(R200&lt;&gt;"",G200="Attending",U200=1),MAX(0,H200+I200-T200),0)</f>
        <v/>
      </c>
      <c r="W200" s="32">
        <f>IF(AND(O200=1,R200=""),1,0)</f>
        <v/>
      </c>
      <c r="X200" s="32">
        <f>IF(B200="",0,H200+I200)</f>
        <v/>
      </c>
      <c r="Y200" s="32">
        <f>N(Y199)+O200</f>
        <v/>
      </c>
      <c r="Z200" s="32">
        <f>IF(O200=1,Y200,"")</f>
        <v/>
      </c>
      <c r="AA200" s="32">
        <f>IF(AND(W200=1,G200="Not sure yet"),1,0)</f>
        <v/>
      </c>
      <c r="AB200" s="32">
        <f>N(AB199)+AA200</f>
        <v/>
      </c>
      <c r="AC200" s="32">
        <f>IF(AA200=1,AB200,"")</f>
        <v/>
      </c>
      <c r="AD200" s="32">
        <f>IF(D200="","",IF(LEN(D200)=10,"+1"&amp;D200,IF(AND(LEN(D200)=11,LEFT(D200,1)="1"),"+"&amp;D200,IF(LEFT(C200,1)="+","+"&amp;D200,D200))))</f>
        <v/>
      </c>
      <c r="AE200" s="32">
        <f>IF(B200="","",PROPER(IFERROR(LEFT(B200,FIND(" ",B200)-1),B200)))</f>
        <v/>
      </c>
      <c r="AF200" s="32">
        <f>SUBSTITUTE(SUBSTITUTE(SUBSTITUTE(SUBSTITUTE(SUBSTITUTE(SUBSTITUTE(SUBSTITUTE(SUBSTITUTE(SUBSTITUTE(SUBSTITUTE(AE200,"%","%25"),"&amp;","%26"),"#","%23"),"+","%2B"),"=","%3D"),"?","%3F"),CHAR(34),"%22"),CHAR(10),"%0A"),CHAR(13),"")," ","+")</f>
        <v/>
      </c>
      <c r="AG200" s="32">
        <f>IF(OR(AD200="",AE200=""),"",'Start Here'!$B$20&amp;"#p="&amp;SUBSTITUTE(AD200,"+","%2B")&amp;"&amp;n="&amp;AF200&amp;"&amp;m="&amp;SUBSTITUTE('Start Here'!$B$24,"{name}",AF200))</f>
        <v/>
      </c>
      <c r="AH200" s="32">
        <f>N(AH199)+W200</f>
        <v/>
      </c>
      <c r="AI200" s="32">
        <f>IF(W200=1,AH200,"")</f>
        <v/>
      </c>
    </row>
    <row r="201">
      <c r="A201" s="32">
        <f>IF(INDEX('Form Responses'!$A:$A,ROW())="","",INDEX('Form Responses'!$A:$A,ROW()))</f>
        <v/>
      </c>
      <c r="B201" s="32">
        <f>TRIM(INDEX('Form Responses'!$B:$B,ROW())&amp;"")</f>
        <v/>
      </c>
      <c r="C201" s="32">
        <f>IF(B201="","",TRIM(INDEX('Form Responses'!$C:$C,ROW())&amp;""))</f>
        <v/>
      </c>
      <c r="D201" s="32">
        <f>SUBSTITUTE(SUBSTITUTE(SUBSTITUTE(SUBSTITUTE(SUBSTITUTE(SUBSTITUTE(SUBSTITUTE(SUBSTITUTE(C201," ",""),"-",""),"(",""),")",""),".",""),"+",""),"/",""),CHAR(160),"")</f>
        <v/>
      </c>
      <c r="E201" s="32">
        <f>IF(LEN(D201)&gt;=10,RIGHT(D201,10),D201)</f>
        <v/>
      </c>
      <c r="F201" s="32">
        <f>IF(B201="","",TRIM(INDEX('Form Responses'!$D:$D,ROW())&amp;""))</f>
        <v/>
      </c>
      <c r="G201" s="32">
        <f>IF(B201="","",IF(LEFT(TRIM(INDEX('Form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1" s="32">
        <f>IF(B201="","",MAX(0,IFERROR(INT(--(INDEX('Form Responses'!$F:$F,ROW())&amp;"")),1)))</f>
        <v/>
      </c>
      <c r="I201" s="32">
        <f>IF(B201="","",MAX(0,IFERROR(INT(--(INDEX('Form Responses'!$G:$G,ROW())&amp;"")),0)))</f>
        <v/>
      </c>
      <c r="J201" s="32">
        <f>IF(B201="","",TRIM(INDEX('Form Responses'!$H:$H,ROW())&amp;""))</f>
        <v/>
      </c>
      <c r="K201" s="32">
        <f>IF(B201="","",TRIM(INDEX('Form Responses'!$I:$I,ROW())&amp;""))</f>
        <v/>
      </c>
      <c r="L201" s="32">
        <f>IF(B201="","",TRIM(INDEX('Form Responses'!$J:$J,ROW())&amp;""))</f>
        <v/>
      </c>
      <c r="M201" s="32">
        <f>IF(B201="","",TRIM(INDEX('Form Responses'!$K:$K,ROW())&amp;""))</f>
        <v/>
      </c>
      <c r="N201" s="32">
        <f>IF(B201="","",IF(E201&lt;&gt;"","P"&amp;E201,"N"&amp;B201))</f>
        <v/>
      </c>
      <c r="O201" s="32">
        <f>IF(N201="",0,IF(COUNTIF(N202:N$602,N201)=0,1,0))</f>
        <v/>
      </c>
      <c r="P201" s="32">
        <f>IF(AND(O201=1,E201&lt;&gt;""),E201,"")</f>
        <v/>
      </c>
      <c r="Q201" s="32">
        <f>IF(O201=1,B201,"")</f>
        <v/>
      </c>
      <c r="R201" s="32">
        <f>IF(O201&lt;&gt;1,"",IF(E201&lt;&gt;"",IFERROR(MATCH(E201,Guests!$S$6:$S$505,0)+5,IFERROR(MATCH(B201,Guests!$A$6:$A$505,0)+5,"")),IFERROR(MATCH(B201,Guests!$A$6:$A$505,0)+5,"")))</f>
        <v/>
      </c>
      <c r="S201" s="32">
        <f>IF(R201="","",TRIM(INDEX(Guests!$E$1:$E$505,R201)&amp;""))</f>
        <v/>
      </c>
      <c r="T201" s="32">
        <f>IF(R201="","",IF(S201="",1,COUNTIF(Guests!$E$6:$E$505,S201)))</f>
        <v/>
      </c>
      <c r="U201" s="32">
        <f>IF(R201="","",IF(S201="",1,IF(COUNTIF(S$1:S200,S201)=0,1,0)))</f>
        <v/>
      </c>
      <c r="V201" s="32">
        <f>IF(AND(R201&lt;&gt;"",G201="Attending",U201=1),MAX(0,H201+I201-T201),0)</f>
        <v/>
      </c>
      <c r="W201" s="32">
        <f>IF(AND(O201=1,R201=""),1,0)</f>
        <v/>
      </c>
      <c r="X201" s="32">
        <f>IF(B201="",0,H201+I201)</f>
        <v/>
      </c>
      <c r="Y201" s="32">
        <f>N(Y200)+O201</f>
        <v/>
      </c>
      <c r="Z201" s="32">
        <f>IF(O201=1,Y201,"")</f>
        <v/>
      </c>
      <c r="AA201" s="32">
        <f>IF(AND(W201=1,G201="Not sure yet"),1,0)</f>
        <v/>
      </c>
      <c r="AB201" s="32">
        <f>N(AB200)+AA201</f>
        <v/>
      </c>
      <c r="AC201" s="32">
        <f>IF(AA201=1,AB201,"")</f>
        <v/>
      </c>
      <c r="AD201" s="32">
        <f>IF(D201="","",IF(LEN(D201)=10,"+1"&amp;D201,IF(AND(LEN(D201)=11,LEFT(D201,1)="1"),"+"&amp;D201,IF(LEFT(C201,1)="+","+"&amp;D201,D201))))</f>
        <v/>
      </c>
      <c r="AE201" s="32">
        <f>IF(B201="","",PROPER(IFERROR(LEFT(B201,FIND(" ",B201)-1),B201)))</f>
        <v/>
      </c>
      <c r="AF201" s="32">
        <f>SUBSTITUTE(SUBSTITUTE(SUBSTITUTE(SUBSTITUTE(SUBSTITUTE(SUBSTITUTE(SUBSTITUTE(SUBSTITUTE(SUBSTITUTE(SUBSTITUTE(AE201,"%","%25"),"&amp;","%26"),"#","%23"),"+","%2B"),"=","%3D"),"?","%3F"),CHAR(34),"%22"),CHAR(10),"%0A"),CHAR(13),"")," ","+")</f>
        <v/>
      </c>
      <c r="AG201" s="32">
        <f>IF(OR(AD201="",AE201=""),"",'Start Here'!$B$20&amp;"#p="&amp;SUBSTITUTE(AD201,"+","%2B")&amp;"&amp;n="&amp;AF201&amp;"&amp;m="&amp;SUBSTITUTE('Start Here'!$B$24,"{name}",AF201))</f>
        <v/>
      </c>
      <c r="AH201" s="32">
        <f>N(AH200)+W201</f>
        <v/>
      </c>
      <c r="AI201" s="32">
        <f>IF(W201=1,AH201,"")</f>
        <v/>
      </c>
    </row>
    <row r="202">
      <c r="A202" s="32">
        <f>IF(INDEX('Form Responses'!$A:$A,ROW())="","",INDEX('Form Responses'!$A:$A,ROW()))</f>
        <v/>
      </c>
      <c r="B202" s="32">
        <f>TRIM(INDEX('Form Responses'!$B:$B,ROW())&amp;"")</f>
        <v/>
      </c>
      <c r="C202" s="32">
        <f>IF(B202="","",TRIM(INDEX('Form Responses'!$C:$C,ROW())&amp;""))</f>
        <v/>
      </c>
      <c r="D202" s="32">
        <f>SUBSTITUTE(SUBSTITUTE(SUBSTITUTE(SUBSTITUTE(SUBSTITUTE(SUBSTITUTE(SUBSTITUTE(SUBSTITUTE(C202," ",""),"-",""),"(",""),")",""),".",""),"+",""),"/",""),CHAR(160),"")</f>
        <v/>
      </c>
      <c r="E202" s="32">
        <f>IF(LEN(D202)&gt;=10,RIGHT(D202,10),D202)</f>
        <v/>
      </c>
      <c r="F202" s="32">
        <f>IF(B202="","",TRIM(INDEX('Form Responses'!$D:$D,ROW())&amp;""))</f>
        <v/>
      </c>
      <c r="G202" s="32">
        <f>IF(B202="","",IF(LEFT(TRIM(INDEX('Form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2" s="32">
        <f>IF(B202="","",MAX(0,IFERROR(INT(--(INDEX('Form Responses'!$F:$F,ROW())&amp;"")),1)))</f>
        <v/>
      </c>
      <c r="I202" s="32">
        <f>IF(B202="","",MAX(0,IFERROR(INT(--(INDEX('Form Responses'!$G:$G,ROW())&amp;"")),0)))</f>
        <v/>
      </c>
      <c r="J202" s="32">
        <f>IF(B202="","",TRIM(INDEX('Form Responses'!$H:$H,ROW())&amp;""))</f>
        <v/>
      </c>
      <c r="K202" s="32">
        <f>IF(B202="","",TRIM(INDEX('Form Responses'!$I:$I,ROW())&amp;""))</f>
        <v/>
      </c>
      <c r="L202" s="32">
        <f>IF(B202="","",TRIM(INDEX('Form Responses'!$J:$J,ROW())&amp;""))</f>
        <v/>
      </c>
      <c r="M202" s="32">
        <f>IF(B202="","",TRIM(INDEX('Form Responses'!$K:$K,ROW())&amp;""))</f>
        <v/>
      </c>
      <c r="N202" s="32">
        <f>IF(B202="","",IF(E202&lt;&gt;"","P"&amp;E202,"N"&amp;B202))</f>
        <v/>
      </c>
      <c r="O202" s="32">
        <f>IF(N202="",0,IF(COUNTIF(N203:N$602,N202)=0,1,0))</f>
        <v/>
      </c>
      <c r="P202" s="32">
        <f>IF(AND(O202=1,E202&lt;&gt;""),E202,"")</f>
        <v/>
      </c>
      <c r="Q202" s="32">
        <f>IF(O202=1,B202,"")</f>
        <v/>
      </c>
      <c r="R202" s="32">
        <f>IF(O202&lt;&gt;1,"",IF(E202&lt;&gt;"",IFERROR(MATCH(E202,Guests!$S$6:$S$505,0)+5,IFERROR(MATCH(B202,Guests!$A$6:$A$505,0)+5,"")),IFERROR(MATCH(B202,Guests!$A$6:$A$505,0)+5,"")))</f>
        <v/>
      </c>
      <c r="S202" s="32">
        <f>IF(R202="","",TRIM(INDEX(Guests!$E$1:$E$505,R202)&amp;""))</f>
        <v/>
      </c>
      <c r="T202" s="32">
        <f>IF(R202="","",IF(S202="",1,COUNTIF(Guests!$E$6:$E$505,S202)))</f>
        <v/>
      </c>
      <c r="U202" s="32">
        <f>IF(R202="","",IF(S202="",1,IF(COUNTIF(S$1:S201,S202)=0,1,0)))</f>
        <v/>
      </c>
      <c r="V202" s="32">
        <f>IF(AND(R202&lt;&gt;"",G202="Attending",U202=1),MAX(0,H202+I202-T202),0)</f>
        <v/>
      </c>
      <c r="W202" s="32">
        <f>IF(AND(O202=1,R202=""),1,0)</f>
        <v/>
      </c>
      <c r="X202" s="32">
        <f>IF(B202="",0,H202+I202)</f>
        <v/>
      </c>
      <c r="Y202" s="32">
        <f>N(Y201)+O202</f>
        <v/>
      </c>
      <c r="Z202" s="32">
        <f>IF(O202=1,Y202,"")</f>
        <v/>
      </c>
      <c r="AA202" s="32">
        <f>IF(AND(W202=1,G202="Not sure yet"),1,0)</f>
        <v/>
      </c>
      <c r="AB202" s="32">
        <f>N(AB201)+AA202</f>
        <v/>
      </c>
      <c r="AC202" s="32">
        <f>IF(AA202=1,AB202,"")</f>
        <v/>
      </c>
      <c r="AD202" s="32">
        <f>IF(D202="","",IF(LEN(D202)=10,"+1"&amp;D202,IF(AND(LEN(D202)=11,LEFT(D202,1)="1"),"+"&amp;D202,IF(LEFT(C202,1)="+","+"&amp;D202,D202))))</f>
        <v/>
      </c>
      <c r="AE202" s="32">
        <f>IF(B202="","",PROPER(IFERROR(LEFT(B202,FIND(" ",B202)-1),B202)))</f>
        <v/>
      </c>
      <c r="AF202" s="32">
        <f>SUBSTITUTE(SUBSTITUTE(SUBSTITUTE(SUBSTITUTE(SUBSTITUTE(SUBSTITUTE(SUBSTITUTE(SUBSTITUTE(SUBSTITUTE(SUBSTITUTE(AE202,"%","%25"),"&amp;","%26"),"#","%23"),"+","%2B"),"=","%3D"),"?","%3F"),CHAR(34),"%22"),CHAR(10),"%0A"),CHAR(13),"")," ","+")</f>
        <v/>
      </c>
      <c r="AG202" s="32">
        <f>IF(OR(AD202="",AE202=""),"",'Start Here'!$B$20&amp;"#p="&amp;SUBSTITUTE(AD202,"+","%2B")&amp;"&amp;n="&amp;AF202&amp;"&amp;m="&amp;SUBSTITUTE('Start Here'!$B$24,"{name}",AF202))</f>
        <v/>
      </c>
      <c r="AH202" s="32">
        <f>N(AH201)+W202</f>
        <v/>
      </c>
      <c r="AI202" s="32">
        <f>IF(W202=1,AH202,"")</f>
        <v/>
      </c>
    </row>
    <row r="203">
      <c r="A203" s="32">
        <f>IF(INDEX('Form Responses'!$A:$A,ROW())="","",INDEX('Form Responses'!$A:$A,ROW()))</f>
        <v/>
      </c>
      <c r="B203" s="32">
        <f>TRIM(INDEX('Form Responses'!$B:$B,ROW())&amp;"")</f>
        <v/>
      </c>
      <c r="C203" s="32">
        <f>IF(B203="","",TRIM(INDEX('Form Responses'!$C:$C,ROW())&amp;""))</f>
        <v/>
      </c>
      <c r="D203" s="32">
        <f>SUBSTITUTE(SUBSTITUTE(SUBSTITUTE(SUBSTITUTE(SUBSTITUTE(SUBSTITUTE(SUBSTITUTE(SUBSTITUTE(C203," ",""),"-",""),"(",""),")",""),".",""),"+",""),"/",""),CHAR(160),"")</f>
        <v/>
      </c>
      <c r="E203" s="32">
        <f>IF(LEN(D203)&gt;=10,RIGHT(D203,10),D203)</f>
        <v/>
      </c>
      <c r="F203" s="32">
        <f>IF(B203="","",TRIM(INDEX('Form Responses'!$D:$D,ROW())&amp;""))</f>
        <v/>
      </c>
      <c r="G203" s="32">
        <f>IF(B203="","",IF(LEFT(TRIM(INDEX('Form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3" s="32">
        <f>IF(B203="","",MAX(0,IFERROR(INT(--(INDEX('Form Responses'!$F:$F,ROW())&amp;"")),1)))</f>
        <v/>
      </c>
      <c r="I203" s="32">
        <f>IF(B203="","",MAX(0,IFERROR(INT(--(INDEX('Form Responses'!$G:$G,ROW())&amp;"")),0)))</f>
        <v/>
      </c>
      <c r="J203" s="32">
        <f>IF(B203="","",TRIM(INDEX('Form Responses'!$H:$H,ROW())&amp;""))</f>
        <v/>
      </c>
      <c r="K203" s="32">
        <f>IF(B203="","",TRIM(INDEX('Form Responses'!$I:$I,ROW())&amp;""))</f>
        <v/>
      </c>
      <c r="L203" s="32">
        <f>IF(B203="","",TRIM(INDEX('Form Responses'!$J:$J,ROW())&amp;""))</f>
        <v/>
      </c>
      <c r="M203" s="32">
        <f>IF(B203="","",TRIM(INDEX('Form Responses'!$K:$K,ROW())&amp;""))</f>
        <v/>
      </c>
      <c r="N203" s="32">
        <f>IF(B203="","",IF(E203&lt;&gt;"","P"&amp;E203,"N"&amp;B203))</f>
        <v/>
      </c>
      <c r="O203" s="32">
        <f>IF(N203="",0,IF(COUNTIF(N204:N$602,N203)=0,1,0))</f>
        <v/>
      </c>
      <c r="P203" s="32">
        <f>IF(AND(O203=1,E203&lt;&gt;""),E203,"")</f>
        <v/>
      </c>
      <c r="Q203" s="32">
        <f>IF(O203=1,B203,"")</f>
        <v/>
      </c>
      <c r="R203" s="32">
        <f>IF(O203&lt;&gt;1,"",IF(E203&lt;&gt;"",IFERROR(MATCH(E203,Guests!$S$6:$S$505,0)+5,IFERROR(MATCH(B203,Guests!$A$6:$A$505,0)+5,"")),IFERROR(MATCH(B203,Guests!$A$6:$A$505,0)+5,"")))</f>
        <v/>
      </c>
      <c r="S203" s="32">
        <f>IF(R203="","",TRIM(INDEX(Guests!$E$1:$E$505,R203)&amp;""))</f>
        <v/>
      </c>
      <c r="T203" s="32">
        <f>IF(R203="","",IF(S203="",1,COUNTIF(Guests!$E$6:$E$505,S203)))</f>
        <v/>
      </c>
      <c r="U203" s="32">
        <f>IF(R203="","",IF(S203="",1,IF(COUNTIF(S$1:S202,S203)=0,1,0)))</f>
        <v/>
      </c>
      <c r="V203" s="32">
        <f>IF(AND(R203&lt;&gt;"",G203="Attending",U203=1),MAX(0,H203+I203-T203),0)</f>
        <v/>
      </c>
      <c r="W203" s="32">
        <f>IF(AND(O203=1,R203=""),1,0)</f>
        <v/>
      </c>
      <c r="X203" s="32">
        <f>IF(B203="",0,H203+I203)</f>
        <v/>
      </c>
      <c r="Y203" s="32">
        <f>N(Y202)+O203</f>
        <v/>
      </c>
      <c r="Z203" s="32">
        <f>IF(O203=1,Y203,"")</f>
        <v/>
      </c>
      <c r="AA203" s="32">
        <f>IF(AND(W203=1,G203="Not sure yet"),1,0)</f>
        <v/>
      </c>
      <c r="AB203" s="32">
        <f>N(AB202)+AA203</f>
        <v/>
      </c>
      <c r="AC203" s="32">
        <f>IF(AA203=1,AB203,"")</f>
        <v/>
      </c>
      <c r="AD203" s="32">
        <f>IF(D203="","",IF(LEN(D203)=10,"+1"&amp;D203,IF(AND(LEN(D203)=11,LEFT(D203,1)="1"),"+"&amp;D203,IF(LEFT(C203,1)="+","+"&amp;D203,D203))))</f>
        <v/>
      </c>
      <c r="AE203" s="32">
        <f>IF(B203="","",PROPER(IFERROR(LEFT(B203,FIND(" ",B203)-1),B203)))</f>
        <v/>
      </c>
      <c r="AF203" s="32">
        <f>SUBSTITUTE(SUBSTITUTE(SUBSTITUTE(SUBSTITUTE(SUBSTITUTE(SUBSTITUTE(SUBSTITUTE(SUBSTITUTE(SUBSTITUTE(SUBSTITUTE(AE203,"%","%25"),"&amp;","%26"),"#","%23"),"+","%2B"),"=","%3D"),"?","%3F"),CHAR(34),"%22"),CHAR(10),"%0A"),CHAR(13),"")," ","+")</f>
        <v/>
      </c>
      <c r="AG203" s="32">
        <f>IF(OR(AD203="",AE203=""),"",'Start Here'!$B$20&amp;"#p="&amp;SUBSTITUTE(AD203,"+","%2B")&amp;"&amp;n="&amp;AF203&amp;"&amp;m="&amp;SUBSTITUTE('Start Here'!$B$24,"{name}",AF203))</f>
        <v/>
      </c>
      <c r="AH203" s="32">
        <f>N(AH202)+W203</f>
        <v/>
      </c>
      <c r="AI203" s="32">
        <f>IF(W203=1,AH203,"")</f>
        <v/>
      </c>
    </row>
    <row r="204">
      <c r="A204" s="32">
        <f>IF(INDEX('Form Responses'!$A:$A,ROW())="","",INDEX('Form Responses'!$A:$A,ROW()))</f>
        <v/>
      </c>
      <c r="B204" s="32">
        <f>TRIM(INDEX('Form Responses'!$B:$B,ROW())&amp;"")</f>
        <v/>
      </c>
      <c r="C204" s="32">
        <f>IF(B204="","",TRIM(INDEX('Form Responses'!$C:$C,ROW())&amp;""))</f>
        <v/>
      </c>
      <c r="D204" s="32">
        <f>SUBSTITUTE(SUBSTITUTE(SUBSTITUTE(SUBSTITUTE(SUBSTITUTE(SUBSTITUTE(SUBSTITUTE(SUBSTITUTE(C204," ",""),"-",""),"(",""),")",""),".",""),"+",""),"/",""),CHAR(160),"")</f>
        <v/>
      </c>
      <c r="E204" s="32">
        <f>IF(LEN(D204)&gt;=10,RIGHT(D204,10),D204)</f>
        <v/>
      </c>
      <c r="F204" s="32">
        <f>IF(B204="","",TRIM(INDEX('Form Responses'!$D:$D,ROW())&amp;""))</f>
        <v/>
      </c>
      <c r="G204" s="32">
        <f>IF(B204="","",IF(LEFT(TRIM(INDEX('Form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4" s="32">
        <f>IF(B204="","",MAX(0,IFERROR(INT(--(INDEX('Form Responses'!$F:$F,ROW())&amp;"")),1)))</f>
        <v/>
      </c>
      <c r="I204" s="32">
        <f>IF(B204="","",MAX(0,IFERROR(INT(--(INDEX('Form Responses'!$G:$G,ROW())&amp;"")),0)))</f>
        <v/>
      </c>
      <c r="J204" s="32">
        <f>IF(B204="","",TRIM(INDEX('Form Responses'!$H:$H,ROW())&amp;""))</f>
        <v/>
      </c>
      <c r="K204" s="32">
        <f>IF(B204="","",TRIM(INDEX('Form Responses'!$I:$I,ROW())&amp;""))</f>
        <v/>
      </c>
      <c r="L204" s="32">
        <f>IF(B204="","",TRIM(INDEX('Form Responses'!$J:$J,ROW())&amp;""))</f>
        <v/>
      </c>
      <c r="M204" s="32">
        <f>IF(B204="","",TRIM(INDEX('Form Responses'!$K:$K,ROW())&amp;""))</f>
        <v/>
      </c>
      <c r="N204" s="32">
        <f>IF(B204="","",IF(E204&lt;&gt;"","P"&amp;E204,"N"&amp;B204))</f>
        <v/>
      </c>
      <c r="O204" s="32">
        <f>IF(N204="",0,IF(COUNTIF(N205:N$602,N204)=0,1,0))</f>
        <v/>
      </c>
      <c r="P204" s="32">
        <f>IF(AND(O204=1,E204&lt;&gt;""),E204,"")</f>
        <v/>
      </c>
      <c r="Q204" s="32">
        <f>IF(O204=1,B204,"")</f>
        <v/>
      </c>
      <c r="R204" s="32">
        <f>IF(O204&lt;&gt;1,"",IF(E204&lt;&gt;"",IFERROR(MATCH(E204,Guests!$S$6:$S$505,0)+5,IFERROR(MATCH(B204,Guests!$A$6:$A$505,0)+5,"")),IFERROR(MATCH(B204,Guests!$A$6:$A$505,0)+5,"")))</f>
        <v/>
      </c>
      <c r="S204" s="32">
        <f>IF(R204="","",TRIM(INDEX(Guests!$E$1:$E$505,R204)&amp;""))</f>
        <v/>
      </c>
      <c r="T204" s="32">
        <f>IF(R204="","",IF(S204="",1,COUNTIF(Guests!$E$6:$E$505,S204)))</f>
        <v/>
      </c>
      <c r="U204" s="32">
        <f>IF(R204="","",IF(S204="",1,IF(COUNTIF(S$1:S203,S204)=0,1,0)))</f>
        <v/>
      </c>
      <c r="V204" s="32">
        <f>IF(AND(R204&lt;&gt;"",G204="Attending",U204=1),MAX(0,H204+I204-T204),0)</f>
        <v/>
      </c>
      <c r="W204" s="32">
        <f>IF(AND(O204=1,R204=""),1,0)</f>
        <v/>
      </c>
      <c r="X204" s="32">
        <f>IF(B204="",0,H204+I204)</f>
        <v/>
      </c>
      <c r="Y204" s="32">
        <f>N(Y203)+O204</f>
        <v/>
      </c>
      <c r="Z204" s="32">
        <f>IF(O204=1,Y204,"")</f>
        <v/>
      </c>
      <c r="AA204" s="32">
        <f>IF(AND(W204=1,G204="Not sure yet"),1,0)</f>
        <v/>
      </c>
      <c r="AB204" s="32">
        <f>N(AB203)+AA204</f>
        <v/>
      </c>
      <c r="AC204" s="32">
        <f>IF(AA204=1,AB204,"")</f>
        <v/>
      </c>
      <c r="AD204" s="32">
        <f>IF(D204="","",IF(LEN(D204)=10,"+1"&amp;D204,IF(AND(LEN(D204)=11,LEFT(D204,1)="1"),"+"&amp;D204,IF(LEFT(C204,1)="+","+"&amp;D204,D204))))</f>
        <v/>
      </c>
      <c r="AE204" s="32">
        <f>IF(B204="","",PROPER(IFERROR(LEFT(B204,FIND(" ",B204)-1),B204)))</f>
        <v/>
      </c>
      <c r="AF204" s="32">
        <f>SUBSTITUTE(SUBSTITUTE(SUBSTITUTE(SUBSTITUTE(SUBSTITUTE(SUBSTITUTE(SUBSTITUTE(SUBSTITUTE(SUBSTITUTE(SUBSTITUTE(AE204,"%","%25"),"&amp;","%26"),"#","%23"),"+","%2B"),"=","%3D"),"?","%3F"),CHAR(34),"%22"),CHAR(10),"%0A"),CHAR(13),"")," ","+")</f>
        <v/>
      </c>
      <c r="AG204" s="32">
        <f>IF(OR(AD204="",AE204=""),"",'Start Here'!$B$20&amp;"#p="&amp;SUBSTITUTE(AD204,"+","%2B")&amp;"&amp;n="&amp;AF204&amp;"&amp;m="&amp;SUBSTITUTE('Start Here'!$B$24,"{name}",AF204))</f>
        <v/>
      </c>
      <c r="AH204" s="32">
        <f>N(AH203)+W204</f>
        <v/>
      </c>
      <c r="AI204" s="32">
        <f>IF(W204=1,AH204,"")</f>
        <v/>
      </c>
    </row>
    <row r="205">
      <c r="A205" s="32">
        <f>IF(INDEX('Form Responses'!$A:$A,ROW())="","",INDEX('Form Responses'!$A:$A,ROW()))</f>
        <v/>
      </c>
      <c r="B205" s="32">
        <f>TRIM(INDEX('Form Responses'!$B:$B,ROW())&amp;"")</f>
        <v/>
      </c>
      <c r="C205" s="32">
        <f>IF(B205="","",TRIM(INDEX('Form Responses'!$C:$C,ROW())&amp;""))</f>
        <v/>
      </c>
      <c r="D205" s="32">
        <f>SUBSTITUTE(SUBSTITUTE(SUBSTITUTE(SUBSTITUTE(SUBSTITUTE(SUBSTITUTE(SUBSTITUTE(SUBSTITUTE(C205," ",""),"-",""),"(",""),")",""),".",""),"+",""),"/",""),CHAR(160),"")</f>
        <v/>
      </c>
      <c r="E205" s="32">
        <f>IF(LEN(D205)&gt;=10,RIGHT(D205,10),D205)</f>
        <v/>
      </c>
      <c r="F205" s="32">
        <f>IF(B205="","",TRIM(INDEX('Form Responses'!$D:$D,ROW())&amp;""))</f>
        <v/>
      </c>
      <c r="G205" s="32">
        <f>IF(B205="","",IF(LEFT(TRIM(INDEX('Form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5" s="32">
        <f>IF(B205="","",MAX(0,IFERROR(INT(--(INDEX('Form Responses'!$F:$F,ROW())&amp;"")),1)))</f>
        <v/>
      </c>
      <c r="I205" s="32">
        <f>IF(B205="","",MAX(0,IFERROR(INT(--(INDEX('Form Responses'!$G:$G,ROW())&amp;"")),0)))</f>
        <v/>
      </c>
      <c r="J205" s="32">
        <f>IF(B205="","",TRIM(INDEX('Form Responses'!$H:$H,ROW())&amp;""))</f>
        <v/>
      </c>
      <c r="K205" s="32">
        <f>IF(B205="","",TRIM(INDEX('Form Responses'!$I:$I,ROW())&amp;""))</f>
        <v/>
      </c>
      <c r="L205" s="32">
        <f>IF(B205="","",TRIM(INDEX('Form Responses'!$J:$J,ROW())&amp;""))</f>
        <v/>
      </c>
      <c r="M205" s="32">
        <f>IF(B205="","",TRIM(INDEX('Form Responses'!$K:$K,ROW())&amp;""))</f>
        <v/>
      </c>
      <c r="N205" s="32">
        <f>IF(B205="","",IF(E205&lt;&gt;"","P"&amp;E205,"N"&amp;B205))</f>
        <v/>
      </c>
      <c r="O205" s="32">
        <f>IF(N205="",0,IF(COUNTIF(N206:N$602,N205)=0,1,0))</f>
        <v/>
      </c>
      <c r="P205" s="32">
        <f>IF(AND(O205=1,E205&lt;&gt;""),E205,"")</f>
        <v/>
      </c>
      <c r="Q205" s="32">
        <f>IF(O205=1,B205,"")</f>
        <v/>
      </c>
      <c r="R205" s="32">
        <f>IF(O205&lt;&gt;1,"",IF(E205&lt;&gt;"",IFERROR(MATCH(E205,Guests!$S$6:$S$505,0)+5,IFERROR(MATCH(B205,Guests!$A$6:$A$505,0)+5,"")),IFERROR(MATCH(B205,Guests!$A$6:$A$505,0)+5,"")))</f>
        <v/>
      </c>
      <c r="S205" s="32">
        <f>IF(R205="","",TRIM(INDEX(Guests!$E$1:$E$505,R205)&amp;""))</f>
        <v/>
      </c>
      <c r="T205" s="32">
        <f>IF(R205="","",IF(S205="",1,COUNTIF(Guests!$E$6:$E$505,S205)))</f>
        <v/>
      </c>
      <c r="U205" s="32">
        <f>IF(R205="","",IF(S205="",1,IF(COUNTIF(S$1:S204,S205)=0,1,0)))</f>
        <v/>
      </c>
      <c r="V205" s="32">
        <f>IF(AND(R205&lt;&gt;"",G205="Attending",U205=1),MAX(0,H205+I205-T205),0)</f>
        <v/>
      </c>
      <c r="W205" s="32">
        <f>IF(AND(O205=1,R205=""),1,0)</f>
        <v/>
      </c>
      <c r="X205" s="32">
        <f>IF(B205="",0,H205+I205)</f>
        <v/>
      </c>
      <c r="Y205" s="32">
        <f>N(Y204)+O205</f>
        <v/>
      </c>
      <c r="Z205" s="32">
        <f>IF(O205=1,Y205,"")</f>
        <v/>
      </c>
      <c r="AA205" s="32">
        <f>IF(AND(W205=1,G205="Not sure yet"),1,0)</f>
        <v/>
      </c>
      <c r="AB205" s="32">
        <f>N(AB204)+AA205</f>
        <v/>
      </c>
      <c r="AC205" s="32">
        <f>IF(AA205=1,AB205,"")</f>
        <v/>
      </c>
      <c r="AD205" s="32">
        <f>IF(D205="","",IF(LEN(D205)=10,"+1"&amp;D205,IF(AND(LEN(D205)=11,LEFT(D205,1)="1"),"+"&amp;D205,IF(LEFT(C205,1)="+","+"&amp;D205,D205))))</f>
        <v/>
      </c>
      <c r="AE205" s="32">
        <f>IF(B205="","",PROPER(IFERROR(LEFT(B205,FIND(" ",B205)-1),B205)))</f>
        <v/>
      </c>
      <c r="AF205" s="32">
        <f>SUBSTITUTE(SUBSTITUTE(SUBSTITUTE(SUBSTITUTE(SUBSTITUTE(SUBSTITUTE(SUBSTITUTE(SUBSTITUTE(SUBSTITUTE(SUBSTITUTE(AE205,"%","%25"),"&amp;","%26"),"#","%23"),"+","%2B"),"=","%3D"),"?","%3F"),CHAR(34),"%22"),CHAR(10),"%0A"),CHAR(13),"")," ","+")</f>
        <v/>
      </c>
      <c r="AG205" s="32">
        <f>IF(OR(AD205="",AE205=""),"",'Start Here'!$B$20&amp;"#p="&amp;SUBSTITUTE(AD205,"+","%2B")&amp;"&amp;n="&amp;AF205&amp;"&amp;m="&amp;SUBSTITUTE('Start Here'!$B$24,"{name}",AF205))</f>
        <v/>
      </c>
      <c r="AH205" s="32">
        <f>N(AH204)+W205</f>
        <v/>
      </c>
      <c r="AI205" s="32">
        <f>IF(W205=1,AH205,"")</f>
        <v/>
      </c>
    </row>
    <row r="206">
      <c r="A206" s="32">
        <f>IF(INDEX('Form Responses'!$A:$A,ROW())="","",INDEX('Form Responses'!$A:$A,ROW()))</f>
        <v/>
      </c>
      <c r="B206" s="32">
        <f>TRIM(INDEX('Form Responses'!$B:$B,ROW())&amp;"")</f>
        <v/>
      </c>
      <c r="C206" s="32">
        <f>IF(B206="","",TRIM(INDEX('Form Responses'!$C:$C,ROW())&amp;""))</f>
        <v/>
      </c>
      <c r="D206" s="32">
        <f>SUBSTITUTE(SUBSTITUTE(SUBSTITUTE(SUBSTITUTE(SUBSTITUTE(SUBSTITUTE(SUBSTITUTE(SUBSTITUTE(C206," ",""),"-",""),"(",""),")",""),".",""),"+",""),"/",""),CHAR(160),"")</f>
        <v/>
      </c>
      <c r="E206" s="32">
        <f>IF(LEN(D206)&gt;=10,RIGHT(D206,10),D206)</f>
        <v/>
      </c>
      <c r="F206" s="32">
        <f>IF(B206="","",TRIM(INDEX('Form Responses'!$D:$D,ROW())&amp;""))</f>
        <v/>
      </c>
      <c r="G206" s="32">
        <f>IF(B206="","",IF(LEFT(TRIM(INDEX('Form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6" s="32">
        <f>IF(B206="","",MAX(0,IFERROR(INT(--(INDEX('Form Responses'!$F:$F,ROW())&amp;"")),1)))</f>
        <v/>
      </c>
      <c r="I206" s="32">
        <f>IF(B206="","",MAX(0,IFERROR(INT(--(INDEX('Form Responses'!$G:$G,ROW())&amp;"")),0)))</f>
        <v/>
      </c>
      <c r="J206" s="32">
        <f>IF(B206="","",TRIM(INDEX('Form Responses'!$H:$H,ROW())&amp;""))</f>
        <v/>
      </c>
      <c r="K206" s="32">
        <f>IF(B206="","",TRIM(INDEX('Form Responses'!$I:$I,ROW())&amp;""))</f>
        <v/>
      </c>
      <c r="L206" s="32">
        <f>IF(B206="","",TRIM(INDEX('Form Responses'!$J:$J,ROW())&amp;""))</f>
        <v/>
      </c>
      <c r="M206" s="32">
        <f>IF(B206="","",TRIM(INDEX('Form Responses'!$K:$K,ROW())&amp;""))</f>
        <v/>
      </c>
      <c r="N206" s="32">
        <f>IF(B206="","",IF(E206&lt;&gt;"","P"&amp;E206,"N"&amp;B206))</f>
        <v/>
      </c>
      <c r="O206" s="32">
        <f>IF(N206="",0,IF(COUNTIF(N207:N$602,N206)=0,1,0))</f>
        <v/>
      </c>
      <c r="P206" s="32">
        <f>IF(AND(O206=1,E206&lt;&gt;""),E206,"")</f>
        <v/>
      </c>
      <c r="Q206" s="32">
        <f>IF(O206=1,B206,"")</f>
        <v/>
      </c>
      <c r="R206" s="32">
        <f>IF(O206&lt;&gt;1,"",IF(E206&lt;&gt;"",IFERROR(MATCH(E206,Guests!$S$6:$S$505,0)+5,IFERROR(MATCH(B206,Guests!$A$6:$A$505,0)+5,"")),IFERROR(MATCH(B206,Guests!$A$6:$A$505,0)+5,"")))</f>
        <v/>
      </c>
      <c r="S206" s="32">
        <f>IF(R206="","",TRIM(INDEX(Guests!$E$1:$E$505,R206)&amp;""))</f>
        <v/>
      </c>
      <c r="T206" s="32">
        <f>IF(R206="","",IF(S206="",1,COUNTIF(Guests!$E$6:$E$505,S206)))</f>
        <v/>
      </c>
      <c r="U206" s="32">
        <f>IF(R206="","",IF(S206="",1,IF(COUNTIF(S$1:S205,S206)=0,1,0)))</f>
        <v/>
      </c>
      <c r="V206" s="32">
        <f>IF(AND(R206&lt;&gt;"",G206="Attending",U206=1),MAX(0,H206+I206-T206),0)</f>
        <v/>
      </c>
      <c r="W206" s="32">
        <f>IF(AND(O206=1,R206=""),1,0)</f>
        <v/>
      </c>
      <c r="X206" s="32">
        <f>IF(B206="",0,H206+I206)</f>
        <v/>
      </c>
      <c r="Y206" s="32">
        <f>N(Y205)+O206</f>
        <v/>
      </c>
      <c r="Z206" s="32">
        <f>IF(O206=1,Y206,"")</f>
        <v/>
      </c>
      <c r="AA206" s="32">
        <f>IF(AND(W206=1,G206="Not sure yet"),1,0)</f>
        <v/>
      </c>
      <c r="AB206" s="32">
        <f>N(AB205)+AA206</f>
        <v/>
      </c>
      <c r="AC206" s="32">
        <f>IF(AA206=1,AB206,"")</f>
        <v/>
      </c>
      <c r="AD206" s="32">
        <f>IF(D206="","",IF(LEN(D206)=10,"+1"&amp;D206,IF(AND(LEN(D206)=11,LEFT(D206,1)="1"),"+"&amp;D206,IF(LEFT(C206,1)="+","+"&amp;D206,D206))))</f>
        <v/>
      </c>
      <c r="AE206" s="32">
        <f>IF(B206="","",PROPER(IFERROR(LEFT(B206,FIND(" ",B206)-1),B206)))</f>
        <v/>
      </c>
      <c r="AF206" s="32">
        <f>SUBSTITUTE(SUBSTITUTE(SUBSTITUTE(SUBSTITUTE(SUBSTITUTE(SUBSTITUTE(SUBSTITUTE(SUBSTITUTE(SUBSTITUTE(SUBSTITUTE(AE206,"%","%25"),"&amp;","%26"),"#","%23"),"+","%2B"),"=","%3D"),"?","%3F"),CHAR(34),"%22"),CHAR(10),"%0A"),CHAR(13),"")," ","+")</f>
        <v/>
      </c>
      <c r="AG206" s="32">
        <f>IF(OR(AD206="",AE206=""),"",'Start Here'!$B$20&amp;"#p="&amp;SUBSTITUTE(AD206,"+","%2B")&amp;"&amp;n="&amp;AF206&amp;"&amp;m="&amp;SUBSTITUTE('Start Here'!$B$24,"{name}",AF206))</f>
        <v/>
      </c>
      <c r="AH206" s="32">
        <f>N(AH205)+W206</f>
        <v/>
      </c>
      <c r="AI206" s="32">
        <f>IF(W206=1,AH206,"")</f>
        <v/>
      </c>
    </row>
    <row r="207">
      <c r="A207" s="32">
        <f>IF(INDEX('Form Responses'!$A:$A,ROW())="","",INDEX('Form Responses'!$A:$A,ROW()))</f>
        <v/>
      </c>
      <c r="B207" s="32">
        <f>TRIM(INDEX('Form Responses'!$B:$B,ROW())&amp;"")</f>
        <v/>
      </c>
      <c r="C207" s="32">
        <f>IF(B207="","",TRIM(INDEX('Form Responses'!$C:$C,ROW())&amp;""))</f>
        <v/>
      </c>
      <c r="D207" s="32">
        <f>SUBSTITUTE(SUBSTITUTE(SUBSTITUTE(SUBSTITUTE(SUBSTITUTE(SUBSTITUTE(SUBSTITUTE(SUBSTITUTE(C207," ",""),"-",""),"(",""),")",""),".",""),"+",""),"/",""),CHAR(160),"")</f>
        <v/>
      </c>
      <c r="E207" s="32">
        <f>IF(LEN(D207)&gt;=10,RIGHT(D207,10),D207)</f>
        <v/>
      </c>
      <c r="F207" s="32">
        <f>IF(B207="","",TRIM(INDEX('Form Responses'!$D:$D,ROW())&amp;""))</f>
        <v/>
      </c>
      <c r="G207" s="32">
        <f>IF(B207="","",IF(LEFT(TRIM(INDEX('Form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7" s="32">
        <f>IF(B207="","",MAX(0,IFERROR(INT(--(INDEX('Form Responses'!$F:$F,ROW())&amp;"")),1)))</f>
        <v/>
      </c>
      <c r="I207" s="32">
        <f>IF(B207="","",MAX(0,IFERROR(INT(--(INDEX('Form Responses'!$G:$G,ROW())&amp;"")),0)))</f>
        <v/>
      </c>
      <c r="J207" s="32">
        <f>IF(B207="","",TRIM(INDEX('Form Responses'!$H:$H,ROW())&amp;""))</f>
        <v/>
      </c>
      <c r="K207" s="32">
        <f>IF(B207="","",TRIM(INDEX('Form Responses'!$I:$I,ROW())&amp;""))</f>
        <v/>
      </c>
      <c r="L207" s="32">
        <f>IF(B207="","",TRIM(INDEX('Form Responses'!$J:$J,ROW())&amp;""))</f>
        <v/>
      </c>
      <c r="M207" s="32">
        <f>IF(B207="","",TRIM(INDEX('Form Responses'!$K:$K,ROW())&amp;""))</f>
        <v/>
      </c>
      <c r="N207" s="32">
        <f>IF(B207="","",IF(E207&lt;&gt;"","P"&amp;E207,"N"&amp;B207))</f>
        <v/>
      </c>
      <c r="O207" s="32">
        <f>IF(N207="",0,IF(COUNTIF(N208:N$602,N207)=0,1,0))</f>
        <v/>
      </c>
      <c r="P207" s="32">
        <f>IF(AND(O207=1,E207&lt;&gt;""),E207,"")</f>
        <v/>
      </c>
      <c r="Q207" s="32">
        <f>IF(O207=1,B207,"")</f>
        <v/>
      </c>
      <c r="R207" s="32">
        <f>IF(O207&lt;&gt;1,"",IF(E207&lt;&gt;"",IFERROR(MATCH(E207,Guests!$S$6:$S$505,0)+5,IFERROR(MATCH(B207,Guests!$A$6:$A$505,0)+5,"")),IFERROR(MATCH(B207,Guests!$A$6:$A$505,0)+5,"")))</f>
        <v/>
      </c>
      <c r="S207" s="32">
        <f>IF(R207="","",TRIM(INDEX(Guests!$E$1:$E$505,R207)&amp;""))</f>
        <v/>
      </c>
      <c r="T207" s="32">
        <f>IF(R207="","",IF(S207="",1,COUNTIF(Guests!$E$6:$E$505,S207)))</f>
        <v/>
      </c>
      <c r="U207" s="32">
        <f>IF(R207="","",IF(S207="",1,IF(COUNTIF(S$1:S206,S207)=0,1,0)))</f>
        <v/>
      </c>
      <c r="V207" s="32">
        <f>IF(AND(R207&lt;&gt;"",G207="Attending",U207=1),MAX(0,H207+I207-T207),0)</f>
        <v/>
      </c>
      <c r="W207" s="32">
        <f>IF(AND(O207=1,R207=""),1,0)</f>
        <v/>
      </c>
      <c r="X207" s="32">
        <f>IF(B207="",0,H207+I207)</f>
        <v/>
      </c>
      <c r="Y207" s="32">
        <f>N(Y206)+O207</f>
        <v/>
      </c>
      <c r="Z207" s="32">
        <f>IF(O207=1,Y207,"")</f>
        <v/>
      </c>
      <c r="AA207" s="32">
        <f>IF(AND(W207=1,G207="Not sure yet"),1,0)</f>
        <v/>
      </c>
      <c r="AB207" s="32">
        <f>N(AB206)+AA207</f>
        <v/>
      </c>
      <c r="AC207" s="32">
        <f>IF(AA207=1,AB207,"")</f>
        <v/>
      </c>
      <c r="AD207" s="32">
        <f>IF(D207="","",IF(LEN(D207)=10,"+1"&amp;D207,IF(AND(LEN(D207)=11,LEFT(D207,1)="1"),"+"&amp;D207,IF(LEFT(C207,1)="+","+"&amp;D207,D207))))</f>
        <v/>
      </c>
      <c r="AE207" s="32">
        <f>IF(B207="","",PROPER(IFERROR(LEFT(B207,FIND(" ",B207)-1),B207)))</f>
        <v/>
      </c>
      <c r="AF207" s="32">
        <f>SUBSTITUTE(SUBSTITUTE(SUBSTITUTE(SUBSTITUTE(SUBSTITUTE(SUBSTITUTE(SUBSTITUTE(SUBSTITUTE(SUBSTITUTE(SUBSTITUTE(AE207,"%","%25"),"&amp;","%26"),"#","%23"),"+","%2B"),"=","%3D"),"?","%3F"),CHAR(34),"%22"),CHAR(10),"%0A"),CHAR(13),"")," ","+")</f>
        <v/>
      </c>
      <c r="AG207" s="32">
        <f>IF(OR(AD207="",AE207=""),"",'Start Here'!$B$20&amp;"#p="&amp;SUBSTITUTE(AD207,"+","%2B")&amp;"&amp;n="&amp;AF207&amp;"&amp;m="&amp;SUBSTITUTE('Start Here'!$B$24,"{name}",AF207))</f>
        <v/>
      </c>
      <c r="AH207" s="32">
        <f>N(AH206)+W207</f>
        <v/>
      </c>
      <c r="AI207" s="32">
        <f>IF(W207=1,AH207,"")</f>
        <v/>
      </c>
    </row>
    <row r="208">
      <c r="A208" s="32">
        <f>IF(INDEX('Form Responses'!$A:$A,ROW())="","",INDEX('Form Responses'!$A:$A,ROW()))</f>
        <v/>
      </c>
      <c r="B208" s="32">
        <f>TRIM(INDEX('Form Responses'!$B:$B,ROW())&amp;"")</f>
        <v/>
      </c>
      <c r="C208" s="32">
        <f>IF(B208="","",TRIM(INDEX('Form Responses'!$C:$C,ROW())&amp;""))</f>
        <v/>
      </c>
      <c r="D208" s="32">
        <f>SUBSTITUTE(SUBSTITUTE(SUBSTITUTE(SUBSTITUTE(SUBSTITUTE(SUBSTITUTE(SUBSTITUTE(SUBSTITUTE(C208," ",""),"-",""),"(",""),")",""),".",""),"+",""),"/",""),CHAR(160),"")</f>
        <v/>
      </c>
      <c r="E208" s="32">
        <f>IF(LEN(D208)&gt;=10,RIGHT(D208,10),D208)</f>
        <v/>
      </c>
      <c r="F208" s="32">
        <f>IF(B208="","",TRIM(INDEX('Form Responses'!$D:$D,ROW())&amp;""))</f>
        <v/>
      </c>
      <c r="G208" s="32">
        <f>IF(B208="","",IF(LEFT(TRIM(INDEX('Form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8" s="32">
        <f>IF(B208="","",MAX(0,IFERROR(INT(--(INDEX('Form Responses'!$F:$F,ROW())&amp;"")),1)))</f>
        <v/>
      </c>
      <c r="I208" s="32">
        <f>IF(B208="","",MAX(0,IFERROR(INT(--(INDEX('Form Responses'!$G:$G,ROW())&amp;"")),0)))</f>
        <v/>
      </c>
      <c r="J208" s="32">
        <f>IF(B208="","",TRIM(INDEX('Form Responses'!$H:$H,ROW())&amp;""))</f>
        <v/>
      </c>
      <c r="K208" s="32">
        <f>IF(B208="","",TRIM(INDEX('Form Responses'!$I:$I,ROW())&amp;""))</f>
        <v/>
      </c>
      <c r="L208" s="32">
        <f>IF(B208="","",TRIM(INDEX('Form Responses'!$J:$J,ROW())&amp;""))</f>
        <v/>
      </c>
      <c r="M208" s="32">
        <f>IF(B208="","",TRIM(INDEX('Form Responses'!$K:$K,ROW())&amp;""))</f>
        <v/>
      </c>
      <c r="N208" s="32">
        <f>IF(B208="","",IF(E208&lt;&gt;"","P"&amp;E208,"N"&amp;B208))</f>
        <v/>
      </c>
      <c r="O208" s="32">
        <f>IF(N208="",0,IF(COUNTIF(N209:N$602,N208)=0,1,0))</f>
        <v/>
      </c>
      <c r="P208" s="32">
        <f>IF(AND(O208=1,E208&lt;&gt;""),E208,"")</f>
        <v/>
      </c>
      <c r="Q208" s="32">
        <f>IF(O208=1,B208,"")</f>
        <v/>
      </c>
      <c r="R208" s="32">
        <f>IF(O208&lt;&gt;1,"",IF(E208&lt;&gt;"",IFERROR(MATCH(E208,Guests!$S$6:$S$505,0)+5,IFERROR(MATCH(B208,Guests!$A$6:$A$505,0)+5,"")),IFERROR(MATCH(B208,Guests!$A$6:$A$505,0)+5,"")))</f>
        <v/>
      </c>
      <c r="S208" s="32">
        <f>IF(R208="","",TRIM(INDEX(Guests!$E$1:$E$505,R208)&amp;""))</f>
        <v/>
      </c>
      <c r="T208" s="32">
        <f>IF(R208="","",IF(S208="",1,COUNTIF(Guests!$E$6:$E$505,S208)))</f>
        <v/>
      </c>
      <c r="U208" s="32">
        <f>IF(R208="","",IF(S208="",1,IF(COUNTIF(S$1:S207,S208)=0,1,0)))</f>
        <v/>
      </c>
      <c r="V208" s="32">
        <f>IF(AND(R208&lt;&gt;"",G208="Attending",U208=1),MAX(0,H208+I208-T208),0)</f>
        <v/>
      </c>
      <c r="W208" s="32">
        <f>IF(AND(O208=1,R208=""),1,0)</f>
        <v/>
      </c>
      <c r="X208" s="32">
        <f>IF(B208="",0,H208+I208)</f>
        <v/>
      </c>
      <c r="Y208" s="32">
        <f>N(Y207)+O208</f>
        <v/>
      </c>
      <c r="Z208" s="32">
        <f>IF(O208=1,Y208,"")</f>
        <v/>
      </c>
      <c r="AA208" s="32">
        <f>IF(AND(W208=1,G208="Not sure yet"),1,0)</f>
        <v/>
      </c>
      <c r="AB208" s="32">
        <f>N(AB207)+AA208</f>
        <v/>
      </c>
      <c r="AC208" s="32">
        <f>IF(AA208=1,AB208,"")</f>
        <v/>
      </c>
      <c r="AD208" s="32">
        <f>IF(D208="","",IF(LEN(D208)=10,"+1"&amp;D208,IF(AND(LEN(D208)=11,LEFT(D208,1)="1"),"+"&amp;D208,IF(LEFT(C208,1)="+","+"&amp;D208,D208))))</f>
        <v/>
      </c>
      <c r="AE208" s="32">
        <f>IF(B208="","",PROPER(IFERROR(LEFT(B208,FIND(" ",B208)-1),B208)))</f>
        <v/>
      </c>
      <c r="AF208" s="32">
        <f>SUBSTITUTE(SUBSTITUTE(SUBSTITUTE(SUBSTITUTE(SUBSTITUTE(SUBSTITUTE(SUBSTITUTE(SUBSTITUTE(SUBSTITUTE(SUBSTITUTE(AE208,"%","%25"),"&amp;","%26"),"#","%23"),"+","%2B"),"=","%3D"),"?","%3F"),CHAR(34),"%22"),CHAR(10),"%0A"),CHAR(13),"")," ","+")</f>
        <v/>
      </c>
      <c r="AG208" s="32">
        <f>IF(OR(AD208="",AE208=""),"",'Start Here'!$B$20&amp;"#p="&amp;SUBSTITUTE(AD208,"+","%2B")&amp;"&amp;n="&amp;AF208&amp;"&amp;m="&amp;SUBSTITUTE('Start Here'!$B$24,"{name}",AF208))</f>
        <v/>
      </c>
      <c r="AH208" s="32">
        <f>N(AH207)+W208</f>
        <v/>
      </c>
      <c r="AI208" s="32">
        <f>IF(W208=1,AH208,"")</f>
        <v/>
      </c>
    </row>
    <row r="209">
      <c r="A209" s="32">
        <f>IF(INDEX('Form Responses'!$A:$A,ROW())="","",INDEX('Form Responses'!$A:$A,ROW()))</f>
        <v/>
      </c>
      <c r="B209" s="32">
        <f>TRIM(INDEX('Form Responses'!$B:$B,ROW())&amp;"")</f>
        <v/>
      </c>
      <c r="C209" s="32">
        <f>IF(B209="","",TRIM(INDEX('Form Responses'!$C:$C,ROW())&amp;""))</f>
        <v/>
      </c>
      <c r="D209" s="32">
        <f>SUBSTITUTE(SUBSTITUTE(SUBSTITUTE(SUBSTITUTE(SUBSTITUTE(SUBSTITUTE(SUBSTITUTE(SUBSTITUTE(C209," ",""),"-",""),"(",""),")",""),".",""),"+",""),"/",""),CHAR(160),"")</f>
        <v/>
      </c>
      <c r="E209" s="32">
        <f>IF(LEN(D209)&gt;=10,RIGHT(D209,10),D209)</f>
        <v/>
      </c>
      <c r="F209" s="32">
        <f>IF(B209="","",TRIM(INDEX('Form Responses'!$D:$D,ROW())&amp;""))</f>
        <v/>
      </c>
      <c r="G209" s="32">
        <f>IF(B209="","",IF(LEFT(TRIM(INDEX('Form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09" s="32">
        <f>IF(B209="","",MAX(0,IFERROR(INT(--(INDEX('Form Responses'!$F:$F,ROW())&amp;"")),1)))</f>
        <v/>
      </c>
      <c r="I209" s="32">
        <f>IF(B209="","",MAX(0,IFERROR(INT(--(INDEX('Form Responses'!$G:$G,ROW())&amp;"")),0)))</f>
        <v/>
      </c>
      <c r="J209" s="32">
        <f>IF(B209="","",TRIM(INDEX('Form Responses'!$H:$H,ROW())&amp;""))</f>
        <v/>
      </c>
      <c r="K209" s="32">
        <f>IF(B209="","",TRIM(INDEX('Form Responses'!$I:$I,ROW())&amp;""))</f>
        <v/>
      </c>
      <c r="L209" s="32">
        <f>IF(B209="","",TRIM(INDEX('Form Responses'!$J:$J,ROW())&amp;""))</f>
        <v/>
      </c>
      <c r="M209" s="32">
        <f>IF(B209="","",TRIM(INDEX('Form Responses'!$K:$K,ROW())&amp;""))</f>
        <v/>
      </c>
      <c r="N209" s="32">
        <f>IF(B209="","",IF(E209&lt;&gt;"","P"&amp;E209,"N"&amp;B209))</f>
        <v/>
      </c>
      <c r="O209" s="32">
        <f>IF(N209="",0,IF(COUNTIF(N210:N$602,N209)=0,1,0))</f>
        <v/>
      </c>
      <c r="P209" s="32">
        <f>IF(AND(O209=1,E209&lt;&gt;""),E209,"")</f>
        <v/>
      </c>
      <c r="Q209" s="32">
        <f>IF(O209=1,B209,"")</f>
        <v/>
      </c>
      <c r="R209" s="32">
        <f>IF(O209&lt;&gt;1,"",IF(E209&lt;&gt;"",IFERROR(MATCH(E209,Guests!$S$6:$S$505,0)+5,IFERROR(MATCH(B209,Guests!$A$6:$A$505,0)+5,"")),IFERROR(MATCH(B209,Guests!$A$6:$A$505,0)+5,"")))</f>
        <v/>
      </c>
      <c r="S209" s="32">
        <f>IF(R209="","",TRIM(INDEX(Guests!$E$1:$E$505,R209)&amp;""))</f>
        <v/>
      </c>
      <c r="T209" s="32">
        <f>IF(R209="","",IF(S209="",1,COUNTIF(Guests!$E$6:$E$505,S209)))</f>
        <v/>
      </c>
      <c r="U209" s="32">
        <f>IF(R209="","",IF(S209="",1,IF(COUNTIF(S$1:S208,S209)=0,1,0)))</f>
        <v/>
      </c>
      <c r="V209" s="32">
        <f>IF(AND(R209&lt;&gt;"",G209="Attending",U209=1),MAX(0,H209+I209-T209),0)</f>
        <v/>
      </c>
      <c r="W209" s="32">
        <f>IF(AND(O209=1,R209=""),1,0)</f>
        <v/>
      </c>
      <c r="X209" s="32">
        <f>IF(B209="",0,H209+I209)</f>
        <v/>
      </c>
      <c r="Y209" s="32">
        <f>N(Y208)+O209</f>
        <v/>
      </c>
      <c r="Z209" s="32">
        <f>IF(O209=1,Y209,"")</f>
        <v/>
      </c>
      <c r="AA209" s="32">
        <f>IF(AND(W209=1,G209="Not sure yet"),1,0)</f>
        <v/>
      </c>
      <c r="AB209" s="32">
        <f>N(AB208)+AA209</f>
        <v/>
      </c>
      <c r="AC209" s="32">
        <f>IF(AA209=1,AB209,"")</f>
        <v/>
      </c>
      <c r="AD209" s="32">
        <f>IF(D209="","",IF(LEN(D209)=10,"+1"&amp;D209,IF(AND(LEN(D209)=11,LEFT(D209,1)="1"),"+"&amp;D209,IF(LEFT(C209,1)="+","+"&amp;D209,D209))))</f>
        <v/>
      </c>
      <c r="AE209" s="32">
        <f>IF(B209="","",PROPER(IFERROR(LEFT(B209,FIND(" ",B209)-1),B209)))</f>
        <v/>
      </c>
      <c r="AF209" s="32">
        <f>SUBSTITUTE(SUBSTITUTE(SUBSTITUTE(SUBSTITUTE(SUBSTITUTE(SUBSTITUTE(SUBSTITUTE(SUBSTITUTE(SUBSTITUTE(SUBSTITUTE(AE209,"%","%25"),"&amp;","%26"),"#","%23"),"+","%2B"),"=","%3D"),"?","%3F"),CHAR(34),"%22"),CHAR(10),"%0A"),CHAR(13),"")," ","+")</f>
        <v/>
      </c>
      <c r="AG209" s="32">
        <f>IF(OR(AD209="",AE209=""),"",'Start Here'!$B$20&amp;"#p="&amp;SUBSTITUTE(AD209,"+","%2B")&amp;"&amp;n="&amp;AF209&amp;"&amp;m="&amp;SUBSTITUTE('Start Here'!$B$24,"{name}",AF209))</f>
        <v/>
      </c>
      <c r="AH209" s="32">
        <f>N(AH208)+W209</f>
        <v/>
      </c>
      <c r="AI209" s="32">
        <f>IF(W209=1,AH209,"")</f>
        <v/>
      </c>
    </row>
    <row r="210">
      <c r="A210" s="32">
        <f>IF(INDEX('Form Responses'!$A:$A,ROW())="","",INDEX('Form Responses'!$A:$A,ROW()))</f>
        <v/>
      </c>
      <c r="B210" s="32">
        <f>TRIM(INDEX('Form Responses'!$B:$B,ROW())&amp;"")</f>
        <v/>
      </c>
      <c r="C210" s="32">
        <f>IF(B210="","",TRIM(INDEX('Form Responses'!$C:$C,ROW())&amp;""))</f>
        <v/>
      </c>
      <c r="D210" s="32">
        <f>SUBSTITUTE(SUBSTITUTE(SUBSTITUTE(SUBSTITUTE(SUBSTITUTE(SUBSTITUTE(SUBSTITUTE(SUBSTITUTE(C210," ",""),"-",""),"(",""),")",""),".",""),"+",""),"/",""),CHAR(160),"")</f>
        <v/>
      </c>
      <c r="E210" s="32">
        <f>IF(LEN(D210)&gt;=10,RIGHT(D210,10),D210)</f>
        <v/>
      </c>
      <c r="F210" s="32">
        <f>IF(B210="","",TRIM(INDEX('Form Responses'!$D:$D,ROW())&amp;""))</f>
        <v/>
      </c>
      <c r="G210" s="32">
        <f>IF(B210="","",IF(LEFT(TRIM(INDEX('Form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0" s="32">
        <f>IF(B210="","",MAX(0,IFERROR(INT(--(INDEX('Form Responses'!$F:$F,ROW())&amp;"")),1)))</f>
        <v/>
      </c>
      <c r="I210" s="32">
        <f>IF(B210="","",MAX(0,IFERROR(INT(--(INDEX('Form Responses'!$G:$G,ROW())&amp;"")),0)))</f>
        <v/>
      </c>
      <c r="J210" s="32">
        <f>IF(B210="","",TRIM(INDEX('Form Responses'!$H:$H,ROW())&amp;""))</f>
        <v/>
      </c>
      <c r="K210" s="32">
        <f>IF(B210="","",TRIM(INDEX('Form Responses'!$I:$I,ROW())&amp;""))</f>
        <v/>
      </c>
      <c r="L210" s="32">
        <f>IF(B210="","",TRIM(INDEX('Form Responses'!$J:$J,ROW())&amp;""))</f>
        <v/>
      </c>
      <c r="M210" s="32">
        <f>IF(B210="","",TRIM(INDEX('Form Responses'!$K:$K,ROW())&amp;""))</f>
        <v/>
      </c>
      <c r="N210" s="32">
        <f>IF(B210="","",IF(E210&lt;&gt;"","P"&amp;E210,"N"&amp;B210))</f>
        <v/>
      </c>
      <c r="O210" s="32">
        <f>IF(N210="",0,IF(COUNTIF(N211:N$602,N210)=0,1,0))</f>
        <v/>
      </c>
      <c r="P210" s="32">
        <f>IF(AND(O210=1,E210&lt;&gt;""),E210,"")</f>
        <v/>
      </c>
      <c r="Q210" s="32">
        <f>IF(O210=1,B210,"")</f>
        <v/>
      </c>
      <c r="R210" s="32">
        <f>IF(O210&lt;&gt;1,"",IF(E210&lt;&gt;"",IFERROR(MATCH(E210,Guests!$S$6:$S$505,0)+5,IFERROR(MATCH(B210,Guests!$A$6:$A$505,0)+5,"")),IFERROR(MATCH(B210,Guests!$A$6:$A$505,0)+5,"")))</f>
        <v/>
      </c>
      <c r="S210" s="32">
        <f>IF(R210="","",TRIM(INDEX(Guests!$E$1:$E$505,R210)&amp;""))</f>
        <v/>
      </c>
      <c r="T210" s="32">
        <f>IF(R210="","",IF(S210="",1,COUNTIF(Guests!$E$6:$E$505,S210)))</f>
        <v/>
      </c>
      <c r="U210" s="32">
        <f>IF(R210="","",IF(S210="",1,IF(COUNTIF(S$1:S209,S210)=0,1,0)))</f>
        <v/>
      </c>
      <c r="V210" s="32">
        <f>IF(AND(R210&lt;&gt;"",G210="Attending",U210=1),MAX(0,H210+I210-T210),0)</f>
        <v/>
      </c>
      <c r="W210" s="32">
        <f>IF(AND(O210=1,R210=""),1,0)</f>
        <v/>
      </c>
      <c r="X210" s="32">
        <f>IF(B210="",0,H210+I210)</f>
        <v/>
      </c>
      <c r="Y210" s="32">
        <f>N(Y209)+O210</f>
        <v/>
      </c>
      <c r="Z210" s="32">
        <f>IF(O210=1,Y210,"")</f>
        <v/>
      </c>
      <c r="AA210" s="32">
        <f>IF(AND(W210=1,G210="Not sure yet"),1,0)</f>
        <v/>
      </c>
      <c r="AB210" s="32">
        <f>N(AB209)+AA210</f>
        <v/>
      </c>
      <c r="AC210" s="32">
        <f>IF(AA210=1,AB210,"")</f>
        <v/>
      </c>
      <c r="AD210" s="32">
        <f>IF(D210="","",IF(LEN(D210)=10,"+1"&amp;D210,IF(AND(LEN(D210)=11,LEFT(D210,1)="1"),"+"&amp;D210,IF(LEFT(C210,1)="+","+"&amp;D210,D210))))</f>
        <v/>
      </c>
      <c r="AE210" s="32">
        <f>IF(B210="","",PROPER(IFERROR(LEFT(B210,FIND(" ",B210)-1),B210)))</f>
        <v/>
      </c>
      <c r="AF210" s="32">
        <f>SUBSTITUTE(SUBSTITUTE(SUBSTITUTE(SUBSTITUTE(SUBSTITUTE(SUBSTITUTE(SUBSTITUTE(SUBSTITUTE(SUBSTITUTE(SUBSTITUTE(AE210,"%","%25"),"&amp;","%26"),"#","%23"),"+","%2B"),"=","%3D"),"?","%3F"),CHAR(34),"%22"),CHAR(10),"%0A"),CHAR(13),"")," ","+")</f>
        <v/>
      </c>
      <c r="AG210" s="32">
        <f>IF(OR(AD210="",AE210=""),"",'Start Here'!$B$20&amp;"#p="&amp;SUBSTITUTE(AD210,"+","%2B")&amp;"&amp;n="&amp;AF210&amp;"&amp;m="&amp;SUBSTITUTE('Start Here'!$B$24,"{name}",AF210))</f>
        <v/>
      </c>
      <c r="AH210" s="32">
        <f>N(AH209)+W210</f>
        <v/>
      </c>
      <c r="AI210" s="32">
        <f>IF(W210=1,AH210,"")</f>
        <v/>
      </c>
    </row>
    <row r="211">
      <c r="A211" s="32">
        <f>IF(INDEX('Form Responses'!$A:$A,ROW())="","",INDEX('Form Responses'!$A:$A,ROW()))</f>
        <v/>
      </c>
      <c r="B211" s="32">
        <f>TRIM(INDEX('Form Responses'!$B:$B,ROW())&amp;"")</f>
        <v/>
      </c>
      <c r="C211" s="32">
        <f>IF(B211="","",TRIM(INDEX('Form Responses'!$C:$C,ROW())&amp;""))</f>
        <v/>
      </c>
      <c r="D211" s="32">
        <f>SUBSTITUTE(SUBSTITUTE(SUBSTITUTE(SUBSTITUTE(SUBSTITUTE(SUBSTITUTE(SUBSTITUTE(SUBSTITUTE(C211," ",""),"-",""),"(",""),")",""),".",""),"+",""),"/",""),CHAR(160),"")</f>
        <v/>
      </c>
      <c r="E211" s="32">
        <f>IF(LEN(D211)&gt;=10,RIGHT(D211,10),D211)</f>
        <v/>
      </c>
      <c r="F211" s="32">
        <f>IF(B211="","",TRIM(INDEX('Form Responses'!$D:$D,ROW())&amp;""))</f>
        <v/>
      </c>
      <c r="G211" s="32">
        <f>IF(B211="","",IF(LEFT(TRIM(INDEX('Form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1" s="32">
        <f>IF(B211="","",MAX(0,IFERROR(INT(--(INDEX('Form Responses'!$F:$F,ROW())&amp;"")),1)))</f>
        <v/>
      </c>
      <c r="I211" s="32">
        <f>IF(B211="","",MAX(0,IFERROR(INT(--(INDEX('Form Responses'!$G:$G,ROW())&amp;"")),0)))</f>
        <v/>
      </c>
      <c r="J211" s="32">
        <f>IF(B211="","",TRIM(INDEX('Form Responses'!$H:$H,ROW())&amp;""))</f>
        <v/>
      </c>
      <c r="K211" s="32">
        <f>IF(B211="","",TRIM(INDEX('Form Responses'!$I:$I,ROW())&amp;""))</f>
        <v/>
      </c>
      <c r="L211" s="32">
        <f>IF(B211="","",TRIM(INDEX('Form Responses'!$J:$J,ROW())&amp;""))</f>
        <v/>
      </c>
      <c r="M211" s="32">
        <f>IF(B211="","",TRIM(INDEX('Form Responses'!$K:$K,ROW())&amp;""))</f>
        <v/>
      </c>
      <c r="N211" s="32">
        <f>IF(B211="","",IF(E211&lt;&gt;"","P"&amp;E211,"N"&amp;B211))</f>
        <v/>
      </c>
      <c r="O211" s="32">
        <f>IF(N211="",0,IF(COUNTIF(N212:N$602,N211)=0,1,0))</f>
        <v/>
      </c>
      <c r="P211" s="32">
        <f>IF(AND(O211=1,E211&lt;&gt;""),E211,"")</f>
        <v/>
      </c>
      <c r="Q211" s="32">
        <f>IF(O211=1,B211,"")</f>
        <v/>
      </c>
      <c r="R211" s="32">
        <f>IF(O211&lt;&gt;1,"",IF(E211&lt;&gt;"",IFERROR(MATCH(E211,Guests!$S$6:$S$505,0)+5,IFERROR(MATCH(B211,Guests!$A$6:$A$505,0)+5,"")),IFERROR(MATCH(B211,Guests!$A$6:$A$505,0)+5,"")))</f>
        <v/>
      </c>
      <c r="S211" s="32">
        <f>IF(R211="","",TRIM(INDEX(Guests!$E$1:$E$505,R211)&amp;""))</f>
        <v/>
      </c>
      <c r="T211" s="32">
        <f>IF(R211="","",IF(S211="",1,COUNTIF(Guests!$E$6:$E$505,S211)))</f>
        <v/>
      </c>
      <c r="U211" s="32">
        <f>IF(R211="","",IF(S211="",1,IF(COUNTIF(S$1:S210,S211)=0,1,0)))</f>
        <v/>
      </c>
      <c r="V211" s="32">
        <f>IF(AND(R211&lt;&gt;"",G211="Attending",U211=1),MAX(0,H211+I211-T211),0)</f>
        <v/>
      </c>
      <c r="W211" s="32">
        <f>IF(AND(O211=1,R211=""),1,0)</f>
        <v/>
      </c>
      <c r="X211" s="32">
        <f>IF(B211="",0,H211+I211)</f>
        <v/>
      </c>
      <c r="Y211" s="32">
        <f>N(Y210)+O211</f>
        <v/>
      </c>
      <c r="Z211" s="32">
        <f>IF(O211=1,Y211,"")</f>
        <v/>
      </c>
      <c r="AA211" s="32">
        <f>IF(AND(W211=1,G211="Not sure yet"),1,0)</f>
        <v/>
      </c>
      <c r="AB211" s="32">
        <f>N(AB210)+AA211</f>
        <v/>
      </c>
      <c r="AC211" s="32">
        <f>IF(AA211=1,AB211,"")</f>
        <v/>
      </c>
      <c r="AD211" s="32">
        <f>IF(D211="","",IF(LEN(D211)=10,"+1"&amp;D211,IF(AND(LEN(D211)=11,LEFT(D211,1)="1"),"+"&amp;D211,IF(LEFT(C211,1)="+","+"&amp;D211,D211))))</f>
        <v/>
      </c>
      <c r="AE211" s="32">
        <f>IF(B211="","",PROPER(IFERROR(LEFT(B211,FIND(" ",B211)-1),B211)))</f>
        <v/>
      </c>
      <c r="AF211" s="32">
        <f>SUBSTITUTE(SUBSTITUTE(SUBSTITUTE(SUBSTITUTE(SUBSTITUTE(SUBSTITUTE(SUBSTITUTE(SUBSTITUTE(SUBSTITUTE(SUBSTITUTE(AE211,"%","%25"),"&amp;","%26"),"#","%23"),"+","%2B"),"=","%3D"),"?","%3F"),CHAR(34),"%22"),CHAR(10),"%0A"),CHAR(13),"")," ","+")</f>
        <v/>
      </c>
      <c r="AG211" s="32">
        <f>IF(OR(AD211="",AE211=""),"",'Start Here'!$B$20&amp;"#p="&amp;SUBSTITUTE(AD211,"+","%2B")&amp;"&amp;n="&amp;AF211&amp;"&amp;m="&amp;SUBSTITUTE('Start Here'!$B$24,"{name}",AF211))</f>
        <v/>
      </c>
      <c r="AH211" s="32">
        <f>N(AH210)+W211</f>
        <v/>
      </c>
      <c r="AI211" s="32">
        <f>IF(W211=1,AH211,"")</f>
        <v/>
      </c>
    </row>
    <row r="212">
      <c r="A212" s="32">
        <f>IF(INDEX('Form Responses'!$A:$A,ROW())="","",INDEX('Form Responses'!$A:$A,ROW()))</f>
        <v/>
      </c>
      <c r="B212" s="32">
        <f>TRIM(INDEX('Form Responses'!$B:$B,ROW())&amp;"")</f>
        <v/>
      </c>
      <c r="C212" s="32">
        <f>IF(B212="","",TRIM(INDEX('Form Responses'!$C:$C,ROW())&amp;""))</f>
        <v/>
      </c>
      <c r="D212" s="32">
        <f>SUBSTITUTE(SUBSTITUTE(SUBSTITUTE(SUBSTITUTE(SUBSTITUTE(SUBSTITUTE(SUBSTITUTE(SUBSTITUTE(C212," ",""),"-",""),"(",""),")",""),".",""),"+",""),"/",""),CHAR(160),"")</f>
        <v/>
      </c>
      <c r="E212" s="32">
        <f>IF(LEN(D212)&gt;=10,RIGHT(D212,10),D212)</f>
        <v/>
      </c>
      <c r="F212" s="32">
        <f>IF(B212="","",TRIM(INDEX('Form Responses'!$D:$D,ROW())&amp;""))</f>
        <v/>
      </c>
      <c r="G212" s="32">
        <f>IF(B212="","",IF(LEFT(TRIM(INDEX('Form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2" s="32">
        <f>IF(B212="","",MAX(0,IFERROR(INT(--(INDEX('Form Responses'!$F:$F,ROW())&amp;"")),1)))</f>
        <v/>
      </c>
      <c r="I212" s="32">
        <f>IF(B212="","",MAX(0,IFERROR(INT(--(INDEX('Form Responses'!$G:$G,ROW())&amp;"")),0)))</f>
        <v/>
      </c>
      <c r="J212" s="32">
        <f>IF(B212="","",TRIM(INDEX('Form Responses'!$H:$H,ROW())&amp;""))</f>
        <v/>
      </c>
      <c r="K212" s="32">
        <f>IF(B212="","",TRIM(INDEX('Form Responses'!$I:$I,ROW())&amp;""))</f>
        <v/>
      </c>
      <c r="L212" s="32">
        <f>IF(B212="","",TRIM(INDEX('Form Responses'!$J:$J,ROW())&amp;""))</f>
        <v/>
      </c>
      <c r="M212" s="32">
        <f>IF(B212="","",TRIM(INDEX('Form Responses'!$K:$K,ROW())&amp;""))</f>
        <v/>
      </c>
      <c r="N212" s="32">
        <f>IF(B212="","",IF(E212&lt;&gt;"","P"&amp;E212,"N"&amp;B212))</f>
        <v/>
      </c>
      <c r="O212" s="32">
        <f>IF(N212="",0,IF(COUNTIF(N213:N$602,N212)=0,1,0))</f>
        <v/>
      </c>
      <c r="P212" s="32">
        <f>IF(AND(O212=1,E212&lt;&gt;""),E212,"")</f>
        <v/>
      </c>
      <c r="Q212" s="32">
        <f>IF(O212=1,B212,"")</f>
        <v/>
      </c>
      <c r="R212" s="32">
        <f>IF(O212&lt;&gt;1,"",IF(E212&lt;&gt;"",IFERROR(MATCH(E212,Guests!$S$6:$S$505,0)+5,IFERROR(MATCH(B212,Guests!$A$6:$A$505,0)+5,"")),IFERROR(MATCH(B212,Guests!$A$6:$A$505,0)+5,"")))</f>
        <v/>
      </c>
      <c r="S212" s="32">
        <f>IF(R212="","",TRIM(INDEX(Guests!$E$1:$E$505,R212)&amp;""))</f>
        <v/>
      </c>
      <c r="T212" s="32">
        <f>IF(R212="","",IF(S212="",1,COUNTIF(Guests!$E$6:$E$505,S212)))</f>
        <v/>
      </c>
      <c r="U212" s="32">
        <f>IF(R212="","",IF(S212="",1,IF(COUNTIF(S$1:S211,S212)=0,1,0)))</f>
        <v/>
      </c>
      <c r="V212" s="32">
        <f>IF(AND(R212&lt;&gt;"",G212="Attending",U212=1),MAX(0,H212+I212-T212),0)</f>
        <v/>
      </c>
      <c r="W212" s="32">
        <f>IF(AND(O212=1,R212=""),1,0)</f>
        <v/>
      </c>
      <c r="X212" s="32">
        <f>IF(B212="",0,H212+I212)</f>
        <v/>
      </c>
      <c r="Y212" s="32">
        <f>N(Y211)+O212</f>
        <v/>
      </c>
      <c r="Z212" s="32">
        <f>IF(O212=1,Y212,"")</f>
        <v/>
      </c>
      <c r="AA212" s="32">
        <f>IF(AND(W212=1,G212="Not sure yet"),1,0)</f>
        <v/>
      </c>
      <c r="AB212" s="32">
        <f>N(AB211)+AA212</f>
        <v/>
      </c>
      <c r="AC212" s="32">
        <f>IF(AA212=1,AB212,"")</f>
        <v/>
      </c>
      <c r="AD212" s="32">
        <f>IF(D212="","",IF(LEN(D212)=10,"+1"&amp;D212,IF(AND(LEN(D212)=11,LEFT(D212,1)="1"),"+"&amp;D212,IF(LEFT(C212,1)="+","+"&amp;D212,D212))))</f>
        <v/>
      </c>
      <c r="AE212" s="32">
        <f>IF(B212="","",PROPER(IFERROR(LEFT(B212,FIND(" ",B212)-1),B212)))</f>
        <v/>
      </c>
      <c r="AF212" s="32">
        <f>SUBSTITUTE(SUBSTITUTE(SUBSTITUTE(SUBSTITUTE(SUBSTITUTE(SUBSTITUTE(SUBSTITUTE(SUBSTITUTE(SUBSTITUTE(SUBSTITUTE(AE212,"%","%25"),"&amp;","%26"),"#","%23"),"+","%2B"),"=","%3D"),"?","%3F"),CHAR(34),"%22"),CHAR(10),"%0A"),CHAR(13),"")," ","+")</f>
        <v/>
      </c>
      <c r="AG212" s="32">
        <f>IF(OR(AD212="",AE212=""),"",'Start Here'!$B$20&amp;"#p="&amp;SUBSTITUTE(AD212,"+","%2B")&amp;"&amp;n="&amp;AF212&amp;"&amp;m="&amp;SUBSTITUTE('Start Here'!$B$24,"{name}",AF212))</f>
        <v/>
      </c>
      <c r="AH212" s="32">
        <f>N(AH211)+W212</f>
        <v/>
      </c>
      <c r="AI212" s="32">
        <f>IF(W212=1,AH212,"")</f>
        <v/>
      </c>
    </row>
    <row r="213">
      <c r="A213" s="32">
        <f>IF(INDEX('Form Responses'!$A:$A,ROW())="","",INDEX('Form Responses'!$A:$A,ROW()))</f>
        <v/>
      </c>
      <c r="B213" s="32">
        <f>TRIM(INDEX('Form Responses'!$B:$B,ROW())&amp;"")</f>
        <v/>
      </c>
      <c r="C213" s="32">
        <f>IF(B213="","",TRIM(INDEX('Form Responses'!$C:$C,ROW())&amp;""))</f>
        <v/>
      </c>
      <c r="D213" s="32">
        <f>SUBSTITUTE(SUBSTITUTE(SUBSTITUTE(SUBSTITUTE(SUBSTITUTE(SUBSTITUTE(SUBSTITUTE(SUBSTITUTE(C213," ",""),"-",""),"(",""),")",""),".",""),"+",""),"/",""),CHAR(160),"")</f>
        <v/>
      </c>
      <c r="E213" s="32">
        <f>IF(LEN(D213)&gt;=10,RIGHT(D213,10),D213)</f>
        <v/>
      </c>
      <c r="F213" s="32">
        <f>IF(B213="","",TRIM(INDEX('Form Responses'!$D:$D,ROW())&amp;""))</f>
        <v/>
      </c>
      <c r="G213" s="32">
        <f>IF(B213="","",IF(LEFT(TRIM(INDEX('Form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3" s="32">
        <f>IF(B213="","",MAX(0,IFERROR(INT(--(INDEX('Form Responses'!$F:$F,ROW())&amp;"")),1)))</f>
        <v/>
      </c>
      <c r="I213" s="32">
        <f>IF(B213="","",MAX(0,IFERROR(INT(--(INDEX('Form Responses'!$G:$G,ROW())&amp;"")),0)))</f>
        <v/>
      </c>
      <c r="J213" s="32">
        <f>IF(B213="","",TRIM(INDEX('Form Responses'!$H:$H,ROW())&amp;""))</f>
        <v/>
      </c>
      <c r="K213" s="32">
        <f>IF(B213="","",TRIM(INDEX('Form Responses'!$I:$I,ROW())&amp;""))</f>
        <v/>
      </c>
      <c r="L213" s="32">
        <f>IF(B213="","",TRIM(INDEX('Form Responses'!$J:$J,ROW())&amp;""))</f>
        <v/>
      </c>
      <c r="M213" s="32">
        <f>IF(B213="","",TRIM(INDEX('Form Responses'!$K:$K,ROW())&amp;""))</f>
        <v/>
      </c>
      <c r="N213" s="32">
        <f>IF(B213="","",IF(E213&lt;&gt;"","P"&amp;E213,"N"&amp;B213))</f>
        <v/>
      </c>
      <c r="O213" s="32">
        <f>IF(N213="",0,IF(COUNTIF(N214:N$602,N213)=0,1,0))</f>
        <v/>
      </c>
      <c r="P213" s="32">
        <f>IF(AND(O213=1,E213&lt;&gt;""),E213,"")</f>
        <v/>
      </c>
      <c r="Q213" s="32">
        <f>IF(O213=1,B213,"")</f>
        <v/>
      </c>
      <c r="R213" s="32">
        <f>IF(O213&lt;&gt;1,"",IF(E213&lt;&gt;"",IFERROR(MATCH(E213,Guests!$S$6:$S$505,0)+5,IFERROR(MATCH(B213,Guests!$A$6:$A$505,0)+5,"")),IFERROR(MATCH(B213,Guests!$A$6:$A$505,0)+5,"")))</f>
        <v/>
      </c>
      <c r="S213" s="32">
        <f>IF(R213="","",TRIM(INDEX(Guests!$E$1:$E$505,R213)&amp;""))</f>
        <v/>
      </c>
      <c r="T213" s="32">
        <f>IF(R213="","",IF(S213="",1,COUNTIF(Guests!$E$6:$E$505,S213)))</f>
        <v/>
      </c>
      <c r="U213" s="32">
        <f>IF(R213="","",IF(S213="",1,IF(COUNTIF(S$1:S212,S213)=0,1,0)))</f>
        <v/>
      </c>
      <c r="V213" s="32">
        <f>IF(AND(R213&lt;&gt;"",G213="Attending",U213=1),MAX(0,H213+I213-T213),0)</f>
        <v/>
      </c>
      <c r="W213" s="32">
        <f>IF(AND(O213=1,R213=""),1,0)</f>
        <v/>
      </c>
      <c r="X213" s="32">
        <f>IF(B213="",0,H213+I213)</f>
        <v/>
      </c>
      <c r="Y213" s="32">
        <f>N(Y212)+O213</f>
        <v/>
      </c>
      <c r="Z213" s="32">
        <f>IF(O213=1,Y213,"")</f>
        <v/>
      </c>
      <c r="AA213" s="32">
        <f>IF(AND(W213=1,G213="Not sure yet"),1,0)</f>
        <v/>
      </c>
      <c r="AB213" s="32">
        <f>N(AB212)+AA213</f>
        <v/>
      </c>
      <c r="AC213" s="32">
        <f>IF(AA213=1,AB213,"")</f>
        <v/>
      </c>
      <c r="AD213" s="32">
        <f>IF(D213="","",IF(LEN(D213)=10,"+1"&amp;D213,IF(AND(LEN(D213)=11,LEFT(D213,1)="1"),"+"&amp;D213,IF(LEFT(C213,1)="+","+"&amp;D213,D213))))</f>
        <v/>
      </c>
      <c r="AE213" s="32">
        <f>IF(B213="","",PROPER(IFERROR(LEFT(B213,FIND(" ",B213)-1),B213)))</f>
        <v/>
      </c>
      <c r="AF213" s="32">
        <f>SUBSTITUTE(SUBSTITUTE(SUBSTITUTE(SUBSTITUTE(SUBSTITUTE(SUBSTITUTE(SUBSTITUTE(SUBSTITUTE(SUBSTITUTE(SUBSTITUTE(AE213,"%","%25"),"&amp;","%26"),"#","%23"),"+","%2B"),"=","%3D"),"?","%3F"),CHAR(34),"%22"),CHAR(10),"%0A"),CHAR(13),"")," ","+")</f>
        <v/>
      </c>
      <c r="AG213" s="32">
        <f>IF(OR(AD213="",AE213=""),"",'Start Here'!$B$20&amp;"#p="&amp;SUBSTITUTE(AD213,"+","%2B")&amp;"&amp;n="&amp;AF213&amp;"&amp;m="&amp;SUBSTITUTE('Start Here'!$B$24,"{name}",AF213))</f>
        <v/>
      </c>
      <c r="AH213" s="32">
        <f>N(AH212)+W213</f>
        <v/>
      </c>
      <c r="AI213" s="32">
        <f>IF(W213=1,AH213,"")</f>
        <v/>
      </c>
    </row>
    <row r="214">
      <c r="A214" s="32">
        <f>IF(INDEX('Form Responses'!$A:$A,ROW())="","",INDEX('Form Responses'!$A:$A,ROW()))</f>
        <v/>
      </c>
      <c r="B214" s="32">
        <f>TRIM(INDEX('Form Responses'!$B:$B,ROW())&amp;"")</f>
        <v/>
      </c>
      <c r="C214" s="32">
        <f>IF(B214="","",TRIM(INDEX('Form Responses'!$C:$C,ROW())&amp;""))</f>
        <v/>
      </c>
      <c r="D214" s="32">
        <f>SUBSTITUTE(SUBSTITUTE(SUBSTITUTE(SUBSTITUTE(SUBSTITUTE(SUBSTITUTE(SUBSTITUTE(SUBSTITUTE(C214," ",""),"-",""),"(",""),")",""),".",""),"+",""),"/",""),CHAR(160),"")</f>
        <v/>
      </c>
      <c r="E214" s="32">
        <f>IF(LEN(D214)&gt;=10,RIGHT(D214,10),D214)</f>
        <v/>
      </c>
      <c r="F214" s="32">
        <f>IF(B214="","",TRIM(INDEX('Form Responses'!$D:$D,ROW())&amp;""))</f>
        <v/>
      </c>
      <c r="G214" s="32">
        <f>IF(B214="","",IF(LEFT(TRIM(INDEX('Form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4" s="32">
        <f>IF(B214="","",MAX(0,IFERROR(INT(--(INDEX('Form Responses'!$F:$F,ROW())&amp;"")),1)))</f>
        <v/>
      </c>
      <c r="I214" s="32">
        <f>IF(B214="","",MAX(0,IFERROR(INT(--(INDEX('Form Responses'!$G:$G,ROW())&amp;"")),0)))</f>
        <v/>
      </c>
      <c r="J214" s="32">
        <f>IF(B214="","",TRIM(INDEX('Form Responses'!$H:$H,ROW())&amp;""))</f>
        <v/>
      </c>
      <c r="K214" s="32">
        <f>IF(B214="","",TRIM(INDEX('Form Responses'!$I:$I,ROW())&amp;""))</f>
        <v/>
      </c>
      <c r="L214" s="32">
        <f>IF(B214="","",TRIM(INDEX('Form Responses'!$J:$J,ROW())&amp;""))</f>
        <v/>
      </c>
      <c r="M214" s="32">
        <f>IF(B214="","",TRIM(INDEX('Form Responses'!$K:$K,ROW())&amp;""))</f>
        <v/>
      </c>
      <c r="N214" s="32">
        <f>IF(B214="","",IF(E214&lt;&gt;"","P"&amp;E214,"N"&amp;B214))</f>
        <v/>
      </c>
      <c r="O214" s="32">
        <f>IF(N214="",0,IF(COUNTIF(N215:N$602,N214)=0,1,0))</f>
        <v/>
      </c>
      <c r="P214" s="32">
        <f>IF(AND(O214=1,E214&lt;&gt;""),E214,"")</f>
        <v/>
      </c>
      <c r="Q214" s="32">
        <f>IF(O214=1,B214,"")</f>
        <v/>
      </c>
      <c r="R214" s="32">
        <f>IF(O214&lt;&gt;1,"",IF(E214&lt;&gt;"",IFERROR(MATCH(E214,Guests!$S$6:$S$505,0)+5,IFERROR(MATCH(B214,Guests!$A$6:$A$505,0)+5,"")),IFERROR(MATCH(B214,Guests!$A$6:$A$505,0)+5,"")))</f>
        <v/>
      </c>
      <c r="S214" s="32">
        <f>IF(R214="","",TRIM(INDEX(Guests!$E$1:$E$505,R214)&amp;""))</f>
        <v/>
      </c>
      <c r="T214" s="32">
        <f>IF(R214="","",IF(S214="",1,COUNTIF(Guests!$E$6:$E$505,S214)))</f>
        <v/>
      </c>
      <c r="U214" s="32">
        <f>IF(R214="","",IF(S214="",1,IF(COUNTIF(S$1:S213,S214)=0,1,0)))</f>
        <v/>
      </c>
      <c r="V214" s="32">
        <f>IF(AND(R214&lt;&gt;"",G214="Attending",U214=1),MAX(0,H214+I214-T214),0)</f>
        <v/>
      </c>
      <c r="W214" s="32">
        <f>IF(AND(O214=1,R214=""),1,0)</f>
        <v/>
      </c>
      <c r="X214" s="32">
        <f>IF(B214="",0,H214+I214)</f>
        <v/>
      </c>
      <c r="Y214" s="32">
        <f>N(Y213)+O214</f>
        <v/>
      </c>
      <c r="Z214" s="32">
        <f>IF(O214=1,Y214,"")</f>
        <v/>
      </c>
      <c r="AA214" s="32">
        <f>IF(AND(W214=1,G214="Not sure yet"),1,0)</f>
        <v/>
      </c>
      <c r="AB214" s="32">
        <f>N(AB213)+AA214</f>
        <v/>
      </c>
      <c r="AC214" s="32">
        <f>IF(AA214=1,AB214,"")</f>
        <v/>
      </c>
      <c r="AD214" s="32">
        <f>IF(D214="","",IF(LEN(D214)=10,"+1"&amp;D214,IF(AND(LEN(D214)=11,LEFT(D214,1)="1"),"+"&amp;D214,IF(LEFT(C214,1)="+","+"&amp;D214,D214))))</f>
        <v/>
      </c>
      <c r="AE214" s="32">
        <f>IF(B214="","",PROPER(IFERROR(LEFT(B214,FIND(" ",B214)-1),B214)))</f>
        <v/>
      </c>
      <c r="AF214" s="32">
        <f>SUBSTITUTE(SUBSTITUTE(SUBSTITUTE(SUBSTITUTE(SUBSTITUTE(SUBSTITUTE(SUBSTITUTE(SUBSTITUTE(SUBSTITUTE(SUBSTITUTE(AE214,"%","%25"),"&amp;","%26"),"#","%23"),"+","%2B"),"=","%3D"),"?","%3F"),CHAR(34),"%22"),CHAR(10),"%0A"),CHAR(13),"")," ","+")</f>
        <v/>
      </c>
      <c r="AG214" s="32">
        <f>IF(OR(AD214="",AE214=""),"",'Start Here'!$B$20&amp;"#p="&amp;SUBSTITUTE(AD214,"+","%2B")&amp;"&amp;n="&amp;AF214&amp;"&amp;m="&amp;SUBSTITUTE('Start Here'!$B$24,"{name}",AF214))</f>
        <v/>
      </c>
      <c r="AH214" s="32">
        <f>N(AH213)+W214</f>
        <v/>
      </c>
      <c r="AI214" s="32">
        <f>IF(W214=1,AH214,"")</f>
        <v/>
      </c>
    </row>
    <row r="215">
      <c r="A215" s="32">
        <f>IF(INDEX('Form Responses'!$A:$A,ROW())="","",INDEX('Form Responses'!$A:$A,ROW()))</f>
        <v/>
      </c>
      <c r="B215" s="32">
        <f>TRIM(INDEX('Form Responses'!$B:$B,ROW())&amp;"")</f>
        <v/>
      </c>
      <c r="C215" s="32">
        <f>IF(B215="","",TRIM(INDEX('Form Responses'!$C:$C,ROW())&amp;""))</f>
        <v/>
      </c>
      <c r="D215" s="32">
        <f>SUBSTITUTE(SUBSTITUTE(SUBSTITUTE(SUBSTITUTE(SUBSTITUTE(SUBSTITUTE(SUBSTITUTE(SUBSTITUTE(C215," ",""),"-",""),"(",""),")",""),".",""),"+",""),"/",""),CHAR(160),"")</f>
        <v/>
      </c>
      <c r="E215" s="32">
        <f>IF(LEN(D215)&gt;=10,RIGHT(D215,10),D215)</f>
        <v/>
      </c>
      <c r="F215" s="32">
        <f>IF(B215="","",TRIM(INDEX('Form Responses'!$D:$D,ROW())&amp;""))</f>
        <v/>
      </c>
      <c r="G215" s="32">
        <f>IF(B215="","",IF(LEFT(TRIM(INDEX('Form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5" s="32">
        <f>IF(B215="","",MAX(0,IFERROR(INT(--(INDEX('Form Responses'!$F:$F,ROW())&amp;"")),1)))</f>
        <v/>
      </c>
      <c r="I215" s="32">
        <f>IF(B215="","",MAX(0,IFERROR(INT(--(INDEX('Form Responses'!$G:$G,ROW())&amp;"")),0)))</f>
        <v/>
      </c>
      <c r="J215" s="32">
        <f>IF(B215="","",TRIM(INDEX('Form Responses'!$H:$H,ROW())&amp;""))</f>
        <v/>
      </c>
      <c r="K215" s="32">
        <f>IF(B215="","",TRIM(INDEX('Form Responses'!$I:$I,ROW())&amp;""))</f>
        <v/>
      </c>
      <c r="L215" s="32">
        <f>IF(B215="","",TRIM(INDEX('Form Responses'!$J:$J,ROW())&amp;""))</f>
        <v/>
      </c>
      <c r="M215" s="32">
        <f>IF(B215="","",TRIM(INDEX('Form Responses'!$K:$K,ROW())&amp;""))</f>
        <v/>
      </c>
      <c r="N215" s="32">
        <f>IF(B215="","",IF(E215&lt;&gt;"","P"&amp;E215,"N"&amp;B215))</f>
        <v/>
      </c>
      <c r="O215" s="32">
        <f>IF(N215="",0,IF(COUNTIF(N216:N$602,N215)=0,1,0))</f>
        <v/>
      </c>
      <c r="P215" s="32">
        <f>IF(AND(O215=1,E215&lt;&gt;""),E215,"")</f>
        <v/>
      </c>
      <c r="Q215" s="32">
        <f>IF(O215=1,B215,"")</f>
        <v/>
      </c>
      <c r="R215" s="32">
        <f>IF(O215&lt;&gt;1,"",IF(E215&lt;&gt;"",IFERROR(MATCH(E215,Guests!$S$6:$S$505,0)+5,IFERROR(MATCH(B215,Guests!$A$6:$A$505,0)+5,"")),IFERROR(MATCH(B215,Guests!$A$6:$A$505,0)+5,"")))</f>
        <v/>
      </c>
      <c r="S215" s="32">
        <f>IF(R215="","",TRIM(INDEX(Guests!$E$1:$E$505,R215)&amp;""))</f>
        <v/>
      </c>
      <c r="T215" s="32">
        <f>IF(R215="","",IF(S215="",1,COUNTIF(Guests!$E$6:$E$505,S215)))</f>
        <v/>
      </c>
      <c r="U215" s="32">
        <f>IF(R215="","",IF(S215="",1,IF(COUNTIF(S$1:S214,S215)=0,1,0)))</f>
        <v/>
      </c>
      <c r="V215" s="32">
        <f>IF(AND(R215&lt;&gt;"",G215="Attending",U215=1),MAX(0,H215+I215-T215),0)</f>
        <v/>
      </c>
      <c r="W215" s="32">
        <f>IF(AND(O215=1,R215=""),1,0)</f>
        <v/>
      </c>
      <c r="X215" s="32">
        <f>IF(B215="",0,H215+I215)</f>
        <v/>
      </c>
      <c r="Y215" s="32">
        <f>N(Y214)+O215</f>
        <v/>
      </c>
      <c r="Z215" s="32">
        <f>IF(O215=1,Y215,"")</f>
        <v/>
      </c>
      <c r="AA215" s="32">
        <f>IF(AND(W215=1,G215="Not sure yet"),1,0)</f>
        <v/>
      </c>
      <c r="AB215" s="32">
        <f>N(AB214)+AA215</f>
        <v/>
      </c>
      <c r="AC215" s="32">
        <f>IF(AA215=1,AB215,"")</f>
        <v/>
      </c>
      <c r="AD215" s="32">
        <f>IF(D215="","",IF(LEN(D215)=10,"+1"&amp;D215,IF(AND(LEN(D215)=11,LEFT(D215,1)="1"),"+"&amp;D215,IF(LEFT(C215,1)="+","+"&amp;D215,D215))))</f>
        <v/>
      </c>
      <c r="AE215" s="32">
        <f>IF(B215="","",PROPER(IFERROR(LEFT(B215,FIND(" ",B215)-1),B215)))</f>
        <v/>
      </c>
      <c r="AF215" s="32">
        <f>SUBSTITUTE(SUBSTITUTE(SUBSTITUTE(SUBSTITUTE(SUBSTITUTE(SUBSTITUTE(SUBSTITUTE(SUBSTITUTE(SUBSTITUTE(SUBSTITUTE(AE215,"%","%25"),"&amp;","%26"),"#","%23"),"+","%2B"),"=","%3D"),"?","%3F"),CHAR(34),"%22"),CHAR(10),"%0A"),CHAR(13),"")," ","+")</f>
        <v/>
      </c>
      <c r="AG215" s="32">
        <f>IF(OR(AD215="",AE215=""),"",'Start Here'!$B$20&amp;"#p="&amp;SUBSTITUTE(AD215,"+","%2B")&amp;"&amp;n="&amp;AF215&amp;"&amp;m="&amp;SUBSTITUTE('Start Here'!$B$24,"{name}",AF215))</f>
        <v/>
      </c>
      <c r="AH215" s="32">
        <f>N(AH214)+W215</f>
        <v/>
      </c>
      <c r="AI215" s="32">
        <f>IF(W215=1,AH215,"")</f>
        <v/>
      </c>
    </row>
    <row r="216">
      <c r="A216" s="32">
        <f>IF(INDEX('Form Responses'!$A:$A,ROW())="","",INDEX('Form Responses'!$A:$A,ROW()))</f>
        <v/>
      </c>
      <c r="B216" s="32">
        <f>TRIM(INDEX('Form Responses'!$B:$B,ROW())&amp;"")</f>
        <v/>
      </c>
      <c r="C216" s="32">
        <f>IF(B216="","",TRIM(INDEX('Form Responses'!$C:$C,ROW())&amp;""))</f>
        <v/>
      </c>
      <c r="D216" s="32">
        <f>SUBSTITUTE(SUBSTITUTE(SUBSTITUTE(SUBSTITUTE(SUBSTITUTE(SUBSTITUTE(SUBSTITUTE(SUBSTITUTE(C216," ",""),"-",""),"(",""),")",""),".",""),"+",""),"/",""),CHAR(160),"")</f>
        <v/>
      </c>
      <c r="E216" s="32">
        <f>IF(LEN(D216)&gt;=10,RIGHT(D216,10),D216)</f>
        <v/>
      </c>
      <c r="F216" s="32">
        <f>IF(B216="","",TRIM(INDEX('Form Responses'!$D:$D,ROW())&amp;""))</f>
        <v/>
      </c>
      <c r="G216" s="32">
        <f>IF(B216="","",IF(LEFT(TRIM(INDEX('Form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6" s="32">
        <f>IF(B216="","",MAX(0,IFERROR(INT(--(INDEX('Form Responses'!$F:$F,ROW())&amp;"")),1)))</f>
        <v/>
      </c>
      <c r="I216" s="32">
        <f>IF(B216="","",MAX(0,IFERROR(INT(--(INDEX('Form Responses'!$G:$G,ROW())&amp;"")),0)))</f>
        <v/>
      </c>
      <c r="J216" s="32">
        <f>IF(B216="","",TRIM(INDEX('Form Responses'!$H:$H,ROW())&amp;""))</f>
        <v/>
      </c>
      <c r="K216" s="32">
        <f>IF(B216="","",TRIM(INDEX('Form Responses'!$I:$I,ROW())&amp;""))</f>
        <v/>
      </c>
      <c r="L216" s="32">
        <f>IF(B216="","",TRIM(INDEX('Form Responses'!$J:$J,ROW())&amp;""))</f>
        <v/>
      </c>
      <c r="M216" s="32">
        <f>IF(B216="","",TRIM(INDEX('Form Responses'!$K:$K,ROW())&amp;""))</f>
        <v/>
      </c>
      <c r="N216" s="32">
        <f>IF(B216="","",IF(E216&lt;&gt;"","P"&amp;E216,"N"&amp;B216))</f>
        <v/>
      </c>
      <c r="O216" s="32">
        <f>IF(N216="",0,IF(COUNTIF(N217:N$602,N216)=0,1,0))</f>
        <v/>
      </c>
      <c r="P216" s="32">
        <f>IF(AND(O216=1,E216&lt;&gt;""),E216,"")</f>
        <v/>
      </c>
      <c r="Q216" s="32">
        <f>IF(O216=1,B216,"")</f>
        <v/>
      </c>
      <c r="R216" s="32">
        <f>IF(O216&lt;&gt;1,"",IF(E216&lt;&gt;"",IFERROR(MATCH(E216,Guests!$S$6:$S$505,0)+5,IFERROR(MATCH(B216,Guests!$A$6:$A$505,0)+5,"")),IFERROR(MATCH(B216,Guests!$A$6:$A$505,0)+5,"")))</f>
        <v/>
      </c>
      <c r="S216" s="32">
        <f>IF(R216="","",TRIM(INDEX(Guests!$E$1:$E$505,R216)&amp;""))</f>
        <v/>
      </c>
      <c r="T216" s="32">
        <f>IF(R216="","",IF(S216="",1,COUNTIF(Guests!$E$6:$E$505,S216)))</f>
        <v/>
      </c>
      <c r="U216" s="32">
        <f>IF(R216="","",IF(S216="",1,IF(COUNTIF(S$1:S215,S216)=0,1,0)))</f>
        <v/>
      </c>
      <c r="V216" s="32">
        <f>IF(AND(R216&lt;&gt;"",G216="Attending",U216=1),MAX(0,H216+I216-T216),0)</f>
        <v/>
      </c>
      <c r="W216" s="32">
        <f>IF(AND(O216=1,R216=""),1,0)</f>
        <v/>
      </c>
      <c r="X216" s="32">
        <f>IF(B216="",0,H216+I216)</f>
        <v/>
      </c>
      <c r="Y216" s="32">
        <f>N(Y215)+O216</f>
        <v/>
      </c>
      <c r="Z216" s="32">
        <f>IF(O216=1,Y216,"")</f>
        <v/>
      </c>
      <c r="AA216" s="32">
        <f>IF(AND(W216=1,G216="Not sure yet"),1,0)</f>
        <v/>
      </c>
      <c r="AB216" s="32">
        <f>N(AB215)+AA216</f>
        <v/>
      </c>
      <c r="AC216" s="32">
        <f>IF(AA216=1,AB216,"")</f>
        <v/>
      </c>
      <c r="AD216" s="32">
        <f>IF(D216="","",IF(LEN(D216)=10,"+1"&amp;D216,IF(AND(LEN(D216)=11,LEFT(D216,1)="1"),"+"&amp;D216,IF(LEFT(C216,1)="+","+"&amp;D216,D216))))</f>
        <v/>
      </c>
      <c r="AE216" s="32">
        <f>IF(B216="","",PROPER(IFERROR(LEFT(B216,FIND(" ",B216)-1),B216)))</f>
        <v/>
      </c>
      <c r="AF216" s="32">
        <f>SUBSTITUTE(SUBSTITUTE(SUBSTITUTE(SUBSTITUTE(SUBSTITUTE(SUBSTITUTE(SUBSTITUTE(SUBSTITUTE(SUBSTITUTE(SUBSTITUTE(AE216,"%","%25"),"&amp;","%26"),"#","%23"),"+","%2B"),"=","%3D"),"?","%3F"),CHAR(34),"%22"),CHAR(10),"%0A"),CHAR(13),"")," ","+")</f>
        <v/>
      </c>
      <c r="AG216" s="32">
        <f>IF(OR(AD216="",AE216=""),"",'Start Here'!$B$20&amp;"#p="&amp;SUBSTITUTE(AD216,"+","%2B")&amp;"&amp;n="&amp;AF216&amp;"&amp;m="&amp;SUBSTITUTE('Start Here'!$B$24,"{name}",AF216))</f>
        <v/>
      </c>
      <c r="AH216" s="32">
        <f>N(AH215)+W216</f>
        <v/>
      </c>
      <c r="AI216" s="32">
        <f>IF(W216=1,AH216,"")</f>
        <v/>
      </c>
    </row>
    <row r="217">
      <c r="A217" s="32">
        <f>IF(INDEX('Form Responses'!$A:$A,ROW())="","",INDEX('Form Responses'!$A:$A,ROW()))</f>
        <v/>
      </c>
      <c r="B217" s="32">
        <f>TRIM(INDEX('Form Responses'!$B:$B,ROW())&amp;"")</f>
        <v/>
      </c>
      <c r="C217" s="32">
        <f>IF(B217="","",TRIM(INDEX('Form Responses'!$C:$C,ROW())&amp;""))</f>
        <v/>
      </c>
      <c r="D217" s="32">
        <f>SUBSTITUTE(SUBSTITUTE(SUBSTITUTE(SUBSTITUTE(SUBSTITUTE(SUBSTITUTE(SUBSTITUTE(SUBSTITUTE(C217," ",""),"-",""),"(",""),")",""),".",""),"+",""),"/",""),CHAR(160),"")</f>
        <v/>
      </c>
      <c r="E217" s="32">
        <f>IF(LEN(D217)&gt;=10,RIGHT(D217,10),D217)</f>
        <v/>
      </c>
      <c r="F217" s="32">
        <f>IF(B217="","",TRIM(INDEX('Form Responses'!$D:$D,ROW())&amp;""))</f>
        <v/>
      </c>
      <c r="G217" s="32">
        <f>IF(B217="","",IF(LEFT(TRIM(INDEX('Form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7" s="32">
        <f>IF(B217="","",MAX(0,IFERROR(INT(--(INDEX('Form Responses'!$F:$F,ROW())&amp;"")),1)))</f>
        <v/>
      </c>
      <c r="I217" s="32">
        <f>IF(B217="","",MAX(0,IFERROR(INT(--(INDEX('Form Responses'!$G:$G,ROW())&amp;"")),0)))</f>
        <v/>
      </c>
      <c r="J217" s="32">
        <f>IF(B217="","",TRIM(INDEX('Form Responses'!$H:$H,ROW())&amp;""))</f>
        <v/>
      </c>
      <c r="K217" s="32">
        <f>IF(B217="","",TRIM(INDEX('Form Responses'!$I:$I,ROW())&amp;""))</f>
        <v/>
      </c>
      <c r="L217" s="32">
        <f>IF(B217="","",TRIM(INDEX('Form Responses'!$J:$J,ROW())&amp;""))</f>
        <v/>
      </c>
      <c r="M217" s="32">
        <f>IF(B217="","",TRIM(INDEX('Form Responses'!$K:$K,ROW())&amp;""))</f>
        <v/>
      </c>
      <c r="N217" s="32">
        <f>IF(B217="","",IF(E217&lt;&gt;"","P"&amp;E217,"N"&amp;B217))</f>
        <v/>
      </c>
      <c r="O217" s="32">
        <f>IF(N217="",0,IF(COUNTIF(N218:N$602,N217)=0,1,0))</f>
        <v/>
      </c>
      <c r="P217" s="32">
        <f>IF(AND(O217=1,E217&lt;&gt;""),E217,"")</f>
        <v/>
      </c>
      <c r="Q217" s="32">
        <f>IF(O217=1,B217,"")</f>
        <v/>
      </c>
      <c r="R217" s="32">
        <f>IF(O217&lt;&gt;1,"",IF(E217&lt;&gt;"",IFERROR(MATCH(E217,Guests!$S$6:$S$505,0)+5,IFERROR(MATCH(B217,Guests!$A$6:$A$505,0)+5,"")),IFERROR(MATCH(B217,Guests!$A$6:$A$505,0)+5,"")))</f>
        <v/>
      </c>
      <c r="S217" s="32">
        <f>IF(R217="","",TRIM(INDEX(Guests!$E$1:$E$505,R217)&amp;""))</f>
        <v/>
      </c>
      <c r="T217" s="32">
        <f>IF(R217="","",IF(S217="",1,COUNTIF(Guests!$E$6:$E$505,S217)))</f>
        <v/>
      </c>
      <c r="U217" s="32">
        <f>IF(R217="","",IF(S217="",1,IF(COUNTIF(S$1:S216,S217)=0,1,0)))</f>
        <v/>
      </c>
      <c r="V217" s="32">
        <f>IF(AND(R217&lt;&gt;"",G217="Attending",U217=1),MAX(0,H217+I217-T217),0)</f>
        <v/>
      </c>
      <c r="W217" s="32">
        <f>IF(AND(O217=1,R217=""),1,0)</f>
        <v/>
      </c>
      <c r="X217" s="32">
        <f>IF(B217="",0,H217+I217)</f>
        <v/>
      </c>
      <c r="Y217" s="32">
        <f>N(Y216)+O217</f>
        <v/>
      </c>
      <c r="Z217" s="32">
        <f>IF(O217=1,Y217,"")</f>
        <v/>
      </c>
      <c r="AA217" s="32">
        <f>IF(AND(W217=1,G217="Not sure yet"),1,0)</f>
        <v/>
      </c>
      <c r="AB217" s="32">
        <f>N(AB216)+AA217</f>
        <v/>
      </c>
      <c r="AC217" s="32">
        <f>IF(AA217=1,AB217,"")</f>
        <v/>
      </c>
      <c r="AD217" s="32">
        <f>IF(D217="","",IF(LEN(D217)=10,"+1"&amp;D217,IF(AND(LEN(D217)=11,LEFT(D217,1)="1"),"+"&amp;D217,IF(LEFT(C217,1)="+","+"&amp;D217,D217))))</f>
        <v/>
      </c>
      <c r="AE217" s="32">
        <f>IF(B217="","",PROPER(IFERROR(LEFT(B217,FIND(" ",B217)-1),B217)))</f>
        <v/>
      </c>
      <c r="AF217" s="32">
        <f>SUBSTITUTE(SUBSTITUTE(SUBSTITUTE(SUBSTITUTE(SUBSTITUTE(SUBSTITUTE(SUBSTITUTE(SUBSTITUTE(SUBSTITUTE(SUBSTITUTE(AE217,"%","%25"),"&amp;","%26"),"#","%23"),"+","%2B"),"=","%3D"),"?","%3F"),CHAR(34),"%22"),CHAR(10),"%0A"),CHAR(13),"")," ","+")</f>
        <v/>
      </c>
      <c r="AG217" s="32">
        <f>IF(OR(AD217="",AE217=""),"",'Start Here'!$B$20&amp;"#p="&amp;SUBSTITUTE(AD217,"+","%2B")&amp;"&amp;n="&amp;AF217&amp;"&amp;m="&amp;SUBSTITUTE('Start Here'!$B$24,"{name}",AF217))</f>
        <v/>
      </c>
      <c r="AH217" s="32">
        <f>N(AH216)+W217</f>
        <v/>
      </c>
      <c r="AI217" s="32">
        <f>IF(W217=1,AH217,"")</f>
        <v/>
      </c>
    </row>
    <row r="218">
      <c r="A218" s="32">
        <f>IF(INDEX('Form Responses'!$A:$A,ROW())="","",INDEX('Form Responses'!$A:$A,ROW()))</f>
        <v/>
      </c>
      <c r="B218" s="32">
        <f>TRIM(INDEX('Form Responses'!$B:$B,ROW())&amp;"")</f>
        <v/>
      </c>
      <c r="C218" s="32">
        <f>IF(B218="","",TRIM(INDEX('Form Responses'!$C:$C,ROW())&amp;""))</f>
        <v/>
      </c>
      <c r="D218" s="32">
        <f>SUBSTITUTE(SUBSTITUTE(SUBSTITUTE(SUBSTITUTE(SUBSTITUTE(SUBSTITUTE(SUBSTITUTE(SUBSTITUTE(C218," ",""),"-",""),"(",""),")",""),".",""),"+",""),"/",""),CHAR(160),"")</f>
        <v/>
      </c>
      <c r="E218" s="32">
        <f>IF(LEN(D218)&gt;=10,RIGHT(D218,10),D218)</f>
        <v/>
      </c>
      <c r="F218" s="32">
        <f>IF(B218="","",TRIM(INDEX('Form Responses'!$D:$D,ROW())&amp;""))</f>
        <v/>
      </c>
      <c r="G218" s="32">
        <f>IF(B218="","",IF(LEFT(TRIM(INDEX('Form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8" s="32">
        <f>IF(B218="","",MAX(0,IFERROR(INT(--(INDEX('Form Responses'!$F:$F,ROW())&amp;"")),1)))</f>
        <v/>
      </c>
      <c r="I218" s="32">
        <f>IF(B218="","",MAX(0,IFERROR(INT(--(INDEX('Form Responses'!$G:$G,ROW())&amp;"")),0)))</f>
        <v/>
      </c>
      <c r="J218" s="32">
        <f>IF(B218="","",TRIM(INDEX('Form Responses'!$H:$H,ROW())&amp;""))</f>
        <v/>
      </c>
      <c r="K218" s="32">
        <f>IF(B218="","",TRIM(INDEX('Form Responses'!$I:$I,ROW())&amp;""))</f>
        <v/>
      </c>
      <c r="L218" s="32">
        <f>IF(B218="","",TRIM(INDEX('Form Responses'!$J:$J,ROW())&amp;""))</f>
        <v/>
      </c>
      <c r="M218" s="32">
        <f>IF(B218="","",TRIM(INDEX('Form Responses'!$K:$K,ROW())&amp;""))</f>
        <v/>
      </c>
      <c r="N218" s="32">
        <f>IF(B218="","",IF(E218&lt;&gt;"","P"&amp;E218,"N"&amp;B218))</f>
        <v/>
      </c>
      <c r="O218" s="32">
        <f>IF(N218="",0,IF(COUNTIF(N219:N$602,N218)=0,1,0))</f>
        <v/>
      </c>
      <c r="P218" s="32">
        <f>IF(AND(O218=1,E218&lt;&gt;""),E218,"")</f>
        <v/>
      </c>
      <c r="Q218" s="32">
        <f>IF(O218=1,B218,"")</f>
        <v/>
      </c>
      <c r="R218" s="32">
        <f>IF(O218&lt;&gt;1,"",IF(E218&lt;&gt;"",IFERROR(MATCH(E218,Guests!$S$6:$S$505,0)+5,IFERROR(MATCH(B218,Guests!$A$6:$A$505,0)+5,"")),IFERROR(MATCH(B218,Guests!$A$6:$A$505,0)+5,"")))</f>
        <v/>
      </c>
      <c r="S218" s="32">
        <f>IF(R218="","",TRIM(INDEX(Guests!$E$1:$E$505,R218)&amp;""))</f>
        <v/>
      </c>
      <c r="T218" s="32">
        <f>IF(R218="","",IF(S218="",1,COUNTIF(Guests!$E$6:$E$505,S218)))</f>
        <v/>
      </c>
      <c r="U218" s="32">
        <f>IF(R218="","",IF(S218="",1,IF(COUNTIF(S$1:S217,S218)=0,1,0)))</f>
        <v/>
      </c>
      <c r="V218" s="32">
        <f>IF(AND(R218&lt;&gt;"",G218="Attending",U218=1),MAX(0,H218+I218-T218),0)</f>
        <v/>
      </c>
      <c r="W218" s="32">
        <f>IF(AND(O218=1,R218=""),1,0)</f>
        <v/>
      </c>
      <c r="X218" s="32">
        <f>IF(B218="",0,H218+I218)</f>
        <v/>
      </c>
      <c r="Y218" s="32">
        <f>N(Y217)+O218</f>
        <v/>
      </c>
      <c r="Z218" s="32">
        <f>IF(O218=1,Y218,"")</f>
        <v/>
      </c>
      <c r="AA218" s="32">
        <f>IF(AND(W218=1,G218="Not sure yet"),1,0)</f>
        <v/>
      </c>
      <c r="AB218" s="32">
        <f>N(AB217)+AA218</f>
        <v/>
      </c>
      <c r="AC218" s="32">
        <f>IF(AA218=1,AB218,"")</f>
        <v/>
      </c>
      <c r="AD218" s="32">
        <f>IF(D218="","",IF(LEN(D218)=10,"+1"&amp;D218,IF(AND(LEN(D218)=11,LEFT(D218,1)="1"),"+"&amp;D218,IF(LEFT(C218,1)="+","+"&amp;D218,D218))))</f>
        <v/>
      </c>
      <c r="AE218" s="32">
        <f>IF(B218="","",PROPER(IFERROR(LEFT(B218,FIND(" ",B218)-1),B218)))</f>
        <v/>
      </c>
      <c r="AF218" s="32">
        <f>SUBSTITUTE(SUBSTITUTE(SUBSTITUTE(SUBSTITUTE(SUBSTITUTE(SUBSTITUTE(SUBSTITUTE(SUBSTITUTE(SUBSTITUTE(SUBSTITUTE(AE218,"%","%25"),"&amp;","%26"),"#","%23"),"+","%2B"),"=","%3D"),"?","%3F"),CHAR(34),"%22"),CHAR(10),"%0A"),CHAR(13),"")," ","+")</f>
        <v/>
      </c>
      <c r="AG218" s="32">
        <f>IF(OR(AD218="",AE218=""),"",'Start Here'!$B$20&amp;"#p="&amp;SUBSTITUTE(AD218,"+","%2B")&amp;"&amp;n="&amp;AF218&amp;"&amp;m="&amp;SUBSTITUTE('Start Here'!$B$24,"{name}",AF218))</f>
        <v/>
      </c>
      <c r="AH218" s="32">
        <f>N(AH217)+W218</f>
        <v/>
      </c>
      <c r="AI218" s="32">
        <f>IF(W218=1,AH218,"")</f>
        <v/>
      </c>
    </row>
    <row r="219">
      <c r="A219" s="32">
        <f>IF(INDEX('Form Responses'!$A:$A,ROW())="","",INDEX('Form Responses'!$A:$A,ROW()))</f>
        <v/>
      </c>
      <c r="B219" s="32">
        <f>TRIM(INDEX('Form Responses'!$B:$B,ROW())&amp;"")</f>
        <v/>
      </c>
      <c r="C219" s="32">
        <f>IF(B219="","",TRIM(INDEX('Form Responses'!$C:$C,ROW())&amp;""))</f>
        <v/>
      </c>
      <c r="D219" s="32">
        <f>SUBSTITUTE(SUBSTITUTE(SUBSTITUTE(SUBSTITUTE(SUBSTITUTE(SUBSTITUTE(SUBSTITUTE(SUBSTITUTE(C219," ",""),"-",""),"(",""),")",""),".",""),"+",""),"/",""),CHAR(160),"")</f>
        <v/>
      </c>
      <c r="E219" s="32">
        <f>IF(LEN(D219)&gt;=10,RIGHT(D219,10),D219)</f>
        <v/>
      </c>
      <c r="F219" s="32">
        <f>IF(B219="","",TRIM(INDEX('Form Responses'!$D:$D,ROW())&amp;""))</f>
        <v/>
      </c>
      <c r="G219" s="32">
        <f>IF(B219="","",IF(LEFT(TRIM(INDEX('Form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19" s="32">
        <f>IF(B219="","",MAX(0,IFERROR(INT(--(INDEX('Form Responses'!$F:$F,ROW())&amp;"")),1)))</f>
        <v/>
      </c>
      <c r="I219" s="32">
        <f>IF(B219="","",MAX(0,IFERROR(INT(--(INDEX('Form Responses'!$G:$G,ROW())&amp;"")),0)))</f>
        <v/>
      </c>
      <c r="J219" s="32">
        <f>IF(B219="","",TRIM(INDEX('Form Responses'!$H:$H,ROW())&amp;""))</f>
        <v/>
      </c>
      <c r="K219" s="32">
        <f>IF(B219="","",TRIM(INDEX('Form Responses'!$I:$I,ROW())&amp;""))</f>
        <v/>
      </c>
      <c r="L219" s="32">
        <f>IF(B219="","",TRIM(INDEX('Form Responses'!$J:$J,ROW())&amp;""))</f>
        <v/>
      </c>
      <c r="M219" s="32">
        <f>IF(B219="","",TRIM(INDEX('Form Responses'!$K:$K,ROW())&amp;""))</f>
        <v/>
      </c>
      <c r="N219" s="32">
        <f>IF(B219="","",IF(E219&lt;&gt;"","P"&amp;E219,"N"&amp;B219))</f>
        <v/>
      </c>
      <c r="O219" s="32">
        <f>IF(N219="",0,IF(COUNTIF(N220:N$602,N219)=0,1,0))</f>
        <v/>
      </c>
      <c r="P219" s="32">
        <f>IF(AND(O219=1,E219&lt;&gt;""),E219,"")</f>
        <v/>
      </c>
      <c r="Q219" s="32">
        <f>IF(O219=1,B219,"")</f>
        <v/>
      </c>
      <c r="R219" s="32">
        <f>IF(O219&lt;&gt;1,"",IF(E219&lt;&gt;"",IFERROR(MATCH(E219,Guests!$S$6:$S$505,0)+5,IFERROR(MATCH(B219,Guests!$A$6:$A$505,0)+5,"")),IFERROR(MATCH(B219,Guests!$A$6:$A$505,0)+5,"")))</f>
        <v/>
      </c>
      <c r="S219" s="32">
        <f>IF(R219="","",TRIM(INDEX(Guests!$E$1:$E$505,R219)&amp;""))</f>
        <v/>
      </c>
      <c r="T219" s="32">
        <f>IF(R219="","",IF(S219="",1,COUNTIF(Guests!$E$6:$E$505,S219)))</f>
        <v/>
      </c>
      <c r="U219" s="32">
        <f>IF(R219="","",IF(S219="",1,IF(COUNTIF(S$1:S218,S219)=0,1,0)))</f>
        <v/>
      </c>
      <c r="V219" s="32">
        <f>IF(AND(R219&lt;&gt;"",G219="Attending",U219=1),MAX(0,H219+I219-T219),0)</f>
        <v/>
      </c>
      <c r="W219" s="32">
        <f>IF(AND(O219=1,R219=""),1,0)</f>
        <v/>
      </c>
      <c r="X219" s="32">
        <f>IF(B219="",0,H219+I219)</f>
        <v/>
      </c>
      <c r="Y219" s="32">
        <f>N(Y218)+O219</f>
        <v/>
      </c>
      <c r="Z219" s="32">
        <f>IF(O219=1,Y219,"")</f>
        <v/>
      </c>
      <c r="AA219" s="32">
        <f>IF(AND(W219=1,G219="Not sure yet"),1,0)</f>
        <v/>
      </c>
      <c r="AB219" s="32">
        <f>N(AB218)+AA219</f>
        <v/>
      </c>
      <c r="AC219" s="32">
        <f>IF(AA219=1,AB219,"")</f>
        <v/>
      </c>
      <c r="AD219" s="32">
        <f>IF(D219="","",IF(LEN(D219)=10,"+1"&amp;D219,IF(AND(LEN(D219)=11,LEFT(D219,1)="1"),"+"&amp;D219,IF(LEFT(C219,1)="+","+"&amp;D219,D219))))</f>
        <v/>
      </c>
      <c r="AE219" s="32">
        <f>IF(B219="","",PROPER(IFERROR(LEFT(B219,FIND(" ",B219)-1),B219)))</f>
        <v/>
      </c>
      <c r="AF219" s="32">
        <f>SUBSTITUTE(SUBSTITUTE(SUBSTITUTE(SUBSTITUTE(SUBSTITUTE(SUBSTITUTE(SUBSTITUTE(SUBSTITUTE(SUBSTITUTE(SUBSTITUTE(AE219,"%","%25"),"&amp;","%26"),"#","%23"),"+","%2B"),"=","%3D"),"?","%3F"),CHAR(34),"%22"),CHAR(10),"%0A"),CHAR(13),"")," ","+")</f>
        <v/>
      </c>
      <c r="AG219" s="32">
        <f>IF(OR(AD219="",AE219=""),"",'Start Here'!$B$20&amp;"#p="&amp;SUBSTITUTE(AD219,"+","%2B")&amp;"&amp;n="&amp;AF219&amp;"&amp;m="&amp;SUBSTITUTE('Start Here'!$B$24,"{name}",AF219))</f>
        <v/>
      </c>
      <c r="AH219" s="32">
        <f>N(AH218)+W219</f>
        <v/>
      </c>
      <c r="AI219" s="32">
        <f>IF(W219=1,AH219,"")</f>
        <v/>
      </c>
    </row>
    <row r="220">
      <c r="A220" s="32">
        <f>IF(INDEX('Form Responses'!$A:$A,ROW())="","",INDEX('Form Responses'!$A:$A,ROW()))</f>
        <v/>
      </c>
      <c r="B220" s="32">
        <f>TRIM(INDEX('Form Responses'!$B:$B,ROW())&amp;"")</f>
        <v/>
      </c>
      <c r="C220" s="32">
        <f>IF(B220="","",TRIM(INDEX('Form Responses'!$C:$C,ROW())&amp;""))</f>
        <v/>
      </c>
      <c r="D220" s="32">
        <f>SUBSTITUTE(SUBSTITUTE(SUBSTITUTE(SUBSTITUTE(SUBSTITUTE(SUBSTITUTE(SUBSTITUTE(SUBSTITUTE(C220," ",""),"-",""),"(",""),")",""),".",""),"+",""),"/",""),CHAR(160),"")</f>
        <v/>
      </c>
      <c r="E220" s="32">
        <f>IF(LEN(D220)&gt;=10,RIGHT(D220,10),D220)</f>
        <v/>
      </c>
      <c r="F220" s="32">
        <f>IF(B220="","",TRIM(INDEX('Form Responses'!$D:$D,ROW())&amp;""))</f>
        <v/>
      </c>
      <c r="G220" s="32">
        <f>IF(B220="","",IF(LEFT(TRIM(INDEX('Form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0" s="32">
        <f>IF(B220="","",MAX(0,IFERROR(INT(--(INDEX('Form Responses'!$F:$F,ROW())&amp;"")),1)))</f>
        <v/>
      </c>
      <c r="I220" s="32">
        <f>IF(B220="","",MAX(0,IFERROR(INT(--(INDEX('Form Responses'!$G:$G,ROW())&amp;"")),0)))</f>
        <v/>
      </c>
      <c r="J220" s="32">
        <f>IF(B220="","",TRIM(INDEX('Form Responses'!$H:$H,ROW())&amp;""))</f>
        <v/>
      </c>
      <c r="K220" s="32">
        <f>IF(B220="","",TRIM(INDEX('Form Responses'!$I:$I,ROW())&amp;""))</f>
        <v/>
      </c>
      <c r="L220" s="32">
        <f>IF(B220="","",TRIM(INDEX('Form Responses'!$J:$J,ROW())&amp;""))</f>
        <v/>
      </c>
      <c r="M220" s="32">
        <f>IF(B220="","",TRIM(INDEX('Form Responses'!$K:$K,ROW())&amp;""))</f>
        <v/>
      </c>
      <c r="N220" s="32">
        <f>IF(B220="","",IF(E220&lt;&gt;"","P"&amp;E220,"N"&amp;B220))</f>
        <v/>
      </c>
      <c r="O220" s="32">
        <f>IF(N220="",0,IF(COUNTIF(N221:N$602,N220)=0,1,0))</f>
        <v/>
      </c>
      <c r="P220" s="32">
        <f>IF(AND(O220=1,E220&lt;&gt;""),E220,"")</f>
        <v/>
      </c>
      <c r="Q220" s="32">
        <f>IF(O220=1,B220,"")</f>
        <v/>
      </c>
      <c r="R220" s="32">
        <f>IF(O220&lt;&gt;1,"",IF(E220&lt;&gt;"",IFERROR(MATCH(E220,Guests!$S$6:$S$505,0)+5,IFERROR(MATCH(B220,Guests!$A$6:$A$505,0)+5,"")),IFERROR(MATCH(B220,Guests!$A$6:$A$505,0)+5,"")))</f>
        <v/>
      </c>
      <c r="S220" s="32">
        <f>IF(R220="","",TRIM(INDEX(Guests!$E$1:$E$505,R220)&amp;""))</f>
        <v/>
      </c>
      <c r="T220" s="32">
        <f>IF(R220="","",IF(S220="",1,COUNTIF(Guests!$E$6:$E$505,S220)))</f>
        <v/>
      </c>
      <c r="U220" s="32">
        <f>IF(R220="","",IF(S220="",1,IF(COUNTIF(S$1:S219,S220)=0,1,0)))</f>
        <v/>
      </c>
      <c r="V220" s="32">
        <f>IF(AND(R220&lt;&gt;"",G220="Attending",U220=1),MAX(0,H220+I220-T220),0)</f>
        <v/>
      </c>
      <c r="W220" s="32">
        <f>IF(AND(O220=1,R220=""),1,0)</f>
        <v/>
      </c>
      <c r="X220" s="32">
        <f>IF(B220="",0,H220+I220)</f>
        <v/>
      </c>
      <c r="Y220" s="32">
        <f>N(Y219)+O220</f>
        <v/>
      </c>
      <c r="Z220" s="32">
        <f>IF(O220=1,Y220,"")</f>
        <v/>
      </c>
      <c r="AA220" s="32">
        <f>IF(AND(W220=1,G220="Not sure yet"),1,0)</f>
        <v/>
      </c>
      <c r="AB220" s="32">
        <f>N(AB219)+AA220</f>
        <v/>
      </c>
      <c r="AC220" s="32">
        <f>IF(AA220=1,AB220,"")</f>
        <v/>
      </c>
      <c r="AD220" s="32">
        <f>IF(D220="","",IF(LEN(D220)=10,"+1"&amp;D220,IF(AND(LEN(D220)=11,LEFT(D220,1)="1"),"+"&amp;D220,IF(LEFT(C220,1)="+","+"&amp;D220,D220))))</f>
        <v/>
      </c>
      <c r="AE220" s="32">
        <f>IF(B220="","",PROPER(IFERROR(LEFT(B220,FIND(" ",B220)-1),B220)))</f>
        <v/>
      </c>
      <c r="AF220" s="32">
        <f>SUBSTITUTE(SUBSTITUTE(SUBSTITUTE(SUBSTITUTE(SUBSTITUTE(SUBSTITUTE(SUBSTITUTE(SUBSTITUTE(SUBSTITUTE(SUBSTITUTE(AE220,"%","%25"),"&amp;","%26"),"#","%23"),"+","%2B"),"=","%3D"),"?","%3F"),CHAR(34),"%22"),CHAR(10),"%0A"),CHAR(13),"")," ","+")</f>
        <v/>
      </c>
      <c r="AG220" s="32">
        <f>IF(OR(AD220="",AE220=""),"",'Start Here'!$B$20&amp;"#p="&amp;SUBSTITUTE(AD220,"+","%2B")&amp;"&amp;n="&amp;AF220&amp;"&amp;m="&amp;SUBSTITUTE('Start Here'!$B$24,"{name}",AF220))</f>
        <v/>
      </c>
      <c r="AH220" s="32">
        <f>N(AH219)+W220</f>
        <v/>
      </c>
      <c r="AI220" s="32">
        <f>IF(W220=1,AH220,"")</f>
        <v/>
      </c>
    </row>
    <row r="221">
      <c r="A221" s="32">
        <f>IF(INDEX('Form Responses'!$A:$A,ROW())="","",INDEX('Form Responses'!$A:$A,ROW()))</f>
        <v/>
      </c>
      <c r="B221" s="32">
        <f>TRIM(INDEX('Form Responses'!$B:$B,ROW())&amp;"")</f>
        <v/>
      </c>
      <c r="C221" s="32">
        <f>IF(B221="","",TRIM(INDEX('Form Responses'!$C:$C,ROW())&amp;""))</f>
        <v/>
      </c>
      <c r="D221" s="32">
        <f>SUBSTITUTE(SUBSTITUTE(SUBSTITUTE(SUBSTITUTE(SUBSTITUTE(SUBSTITUTE(SUBSTITUTE(SUBSTITUTE(C221," ",""),"-",""),"(",""),")",""),".",""),"+",""),"/",""),CHAR(160),"")</f>
        <v/>
      </c>
      <c r="E221" s="32">
        <f>IF(LEN(D221)&gt;=10,RIGHT(D221,10),D221)</f>
        <v/>
      </c>
      <c r="F221" s="32">
        <f>IF(B221="","",TRIM(INDEX('Form Responses'!$D:$D,ROW())&amp;""))</f>
        <v/>
      </c>
      <c r="G221" s="32">
        <f>IF(B221="","",IF(LEFT(TRIM(INDEX('Form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1" s="32">
        <f>IF(B221="","",MAX(0,IFERROR(INT(--(INDEX('Form Responses'!$F:$F,ROW())&amp;"")),1)))</f>
        <v/>
      </c>
      <c r="I221" s="32">
        <f>IF(B221="","",MAX(0,IFERROR(INT(--(INDEX('Form Responses'!$G:$G,ROW())&amp;"")),0)))</f>
        <v/>
      </c>
      <c r="J221" s="32">
        <f>IF(B221="","",TRIM(INDEX('Form Responses'!$H:$H,ROW())&amp;""))</f>
        <v/>
      </c>
      <c r="K221" s="32">
        <f>IF(B221="","",TRIM(INDEX('Form Responses'!$I:$I,ROW())&amp;""))</f>
        <v/>
      </c>
      <c r="L221" s="32">
        <f>IF(B221="","",TRIM(INDEX('Form Responses'!$J:$J,ROW())&amp;""))</f>
        <v/>
      </c>
      <c r="M221" s="32">
        <f>IF(B221="","",TRIM(INDEX('Form Responses'!$K:$K,ROW())&amp;""))</f>
        <v/>
      </c>
      <c r="N221" s="32">
        <f>IF(B221="","",IF(E221&lt;&gt;"","P"&amp;E221,"N"&amp;B221))</f>
        <v/>
      </c>
      <c r="O221" s="32">
        <f>IF(N221="",0,IF(COUNTIF(N222:N$602,N221)=0,1,0))</f>
        <v/>
      </c>
      <c r="P221" s="32">
        <f>IF(AND(O221=1,E221&lt;&gt;""),E221,"")</f>
        <v/>
      </c>
      <c r="Q221" s="32">
        <f>IF(O221=1,B221,"")</f>
        <v/>
      </c>
      <c r="R221" s="32">
        <f>IF(O221&lt;&gt;1,"",IF(E221&lt;&gt;"",IFERROR(MATCH(E221,Guests!$S$6:$S$505,0)+5,IFERROR(MATCH(B221,Guests!$A$6:$A$505,0)+5,"")),IFERROR(MATCH(B221,Guests!$A$6:$A$505,0)+5,"")))</f>
        <v/>
      </c>
      <c r="S221" s="32">
        <f>IF(R221="","",TRIM(INDEX(Guests!$E$1:$E$505,R221)&amp;""))</f>
        <v/>
      </c>
      <c r="T221" s="32">
        <f>IF(R221="","",IF(S221="",1,COUNTIF(Guests!$E$6:$E$505,S221)))</f>
        <v/>
      </c>
      <c r="U221" s="32">
        <f>IF(R221="","",IF(S221="",1,IF(COUNTIF(S$1:S220,S221)=0,1,0)))</f>
        <v/>
      </c>
      <c r="V221" s="32">
        <f>IF(AND(R221&lt;&gt;"",G221="Attending",U221=1),MAX(0,H221+I221-T221),0)</f>
        <v/>
      </c>
      <c r="W221" s="32">
        <f>IF(AND(O221=1,R221=""),1,0)</f>
        <v/>
      </c>
      <c r="X221" s="32">
        <f>IF(B221="",0,H221+I221)</f>
        <v/>
      </c>
      <c r="Y221" s="32">
        <f>N(Y220)+O221</f>
        <v/>
      </c>
      <c r="Z221" s="32">
        <f>IF(O221=1,Y221,"")</f>
        <v/>
      </c>
      <c r="AA221" s="32">
        <f>IF(AND(W221=1,G221="Not sure yet"),1,0)</f>
        <v/>
      </c>
      <c r="AB221" s="32">
        <f>N(AB220)+AA221</f>
        <v/>
      </c>
      <c r="AC221" s="32">
        <f>IF(AA221=1,AB221,"")</f>
        <v/>
      </c>
      <c r="AD221" s="32">
        <f>IF(D221="","",IF(LEN(D221)=10,"+1"&amp;D221,IF(AND(LEN(D221)=11,LEFT(D221,1)="1"),"+"&amp;D221,IF(LEFT(C221,1)="+","+"&amp;D221,D221))))</f>
        <v/>
      </c>
      <c r="AE221" s="32">
        <f>IF(B221="","",PROPER(IFERROR(LEFT(B221,FIND(" ",B221)-1),B221)))</f>
        <v/>
      </c>
      <c r="AF221" s="32">
        <f>SUBSTITUTE(SUBSTITUTE(SUBSTITUTE(SUBSTITUTE(SUBSTITUTE(SUBSTITUTE(SUBSTITUTE(SUBSTITUTE(SUBSTITUTE(SUBSTITUTE(AE221,"%","%25"),"&amp;","%26"),"#","%23"),"+","%2B"),"=","%3D"),"?","%3F"),CHAR(34),"%22"),CHAR(10),"%0A"),CHAR(13),"")," ","+")</f>
        <v/>
      </c>
      <c r="AG221" s="32">
        <f>IF(OR(AD221="",AE221=""),"",'Start Here'!$B$20&amp;"#p="&amp;SUBSTITUTE(AD221,"+","%2B")&amp;"&amp;n="&amp;AF221&amp;"&amp;m="&amp;SUBSTITUTE('Start Here'!$B$24,"{name}",AF221))</f>
        <v/>
      </c>
      <c r="AH221" s="32">
        <f>N(AH220)+W221</f>
        <v/>
      </c>
      <c r="AI221" s="32">
        <f>IF(W221=1,AH221,"")</f>
        <v/>
      </c>
    </row>
    <row r="222">
      <c r="A222" s="32">
        <f>IF(INDEX('Form Responses'!$A:$A,ROW())="","",INDEX('Form Responses'!$A:$A,ROW()))</f>
        <v/>
      </c>
      <c r="B222" s="32">
        <f>TRIM(INDEX('Form Responses'!$B:$B,ROW())&amp;"")</f>
        <v/>
      </c>
      <c r="C222" s="32">
        <f>IF(B222="","",TRIM(INDEX('Form Responses'!$C:$C,ROW())&amp;""))</f>
        <v/>
      </c>
      <c r="D222" s="32">
        <f>SUBSTITUTE(SUBSTITUTE(SUBSTITUTE(SUBSTITUTE(SUBSTITUTE(SUBSTITUTE(SUBSTITUTE(SUBSTITUTE(C222," ",""),"-",""),"(",""),")",""),".",""),"+",""),"/",""),CHAR(160),"")</f>
        <v/>
      </c>
      <c r="E222" s="32">
        <f>IF(LEN(D222)&gt;=10,RIGHT(D222,10),D222)</f>
        <v/>
      </c>
      <c r="F222" s="32">
        <f>IF(B222="","",TRIM(INDEX('Form Responses'!$D:$D,ROW())&amp;""))</f>
        <v/>
      </c>
      <c r="G222" s="32">
        <f>IF(B222="","",IF(LEFT(TRIM(INDEX('Form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2" s="32">
        <f>IF(B222="","",MAX(0,IFERROR(INT(--(INDEX('Form Responses'!$F:$F,ROW())&amp;"")),1)))</f>
        <v/>
      </c>
      <c r="I222" s="32">
        <f>IF(B222="","",MAX(0,IFERROR(INT(--(INDEX('Form Responses'!$G:$G,ROW())&amp;"")),0)))</f>
        <v/>
      </c>
      <c r="J222" s="32">
        <f>IF(B222="","",TRIM(INDEX('Form Responses'!$H:$H,ROW())&amp;""))</f>
        <v/>
      </c>
      <c r="K222" s="32">
        <f>IF(B222="","",TRIM(INDEX('Form Responses'!$I:$I,ROW())&amp;""))</f>
        <v/>
      </c>
      <c r="L222" s="32">
        <f>IF(B222="","",TRIM(INDEX('Form Responses'!$J:$J,ROW())&amp;""))</f>
        <v/>
      </c>
      <c r="M222" s="32">
        <f>IF(B222="","",TRIM(INDEX('Form Responses'!$K:$K,ROW())&amp;""))</f>
        <v/>
      </c>
      <c r="N222" s="32">
        <f>IF(B222="","",IF(E222&lt;&gt;"","P"&amp;E222,"N"&amp;B222))</f>
        <v/>
      </c>
      <c r="O222" s="32">
        <f>IF(N222="",0,IF(COUNTIF(N223:N$602,N222)=0,1,0))</f>
        <v/>
      </c>
      <c r="P222" s="32">
        <f>IF(AND(O222=1,E222&lt;&gt;""),E222,"")</f>
        <v/>
      </c>
      <c r="Q222" s="32">
        <f>IF(O222=1,B222,"")</f>
        <v/>
      </c>
      <c r="R222" s="32">
        <f>IF(O222&lt;&gt;1,"",IF(E222&lt;&gt;"",IFERROR(MATCH(E222,Guests!$S$6:$S$505,0)+5,IFERROR(MATCH(B222,Guests!$A$6:$A$505,0)+5,"")),IFERROR(MATCH(B222,Guests!$A$6:$A$505,0)+5,"")))</f>
        <v/>
      </c>
      <c r="S222" s="32">
        <f>IF(R222="","",TRIM(INDEX(Guests!$E$1:$E$505,R222)&amp;""))</f>
        <v/>
      </c>
      <c r="T222" s="32">
        <f>IF(R222="","",IF(S222="",1,COUNTIF(Guests!$E$6:$E$505,S222)))</f>
        <v/>
      </c>
      <c r="U222" s="32">
        <f>IF(R222="","",IF(S222="",1,IF(COUNTIF(S$1:S221,S222)=0,1,0)))</f>
        <v/>
      </c>
      <c r="V222" s="32">
        <f>IF(AND(R222&lt;&gt;"",G222="Attending",U222=1),MAX(0,H222+I222-T222),0)</f>
        <v/>
      </c>
      <c r="W222" s="32">
        <f>IF(AND(O222=1,R222=""),1,0)</f>
        <v/>
      </c>
      <c r="X222" s="32">
        <f>IF(B222="",0,H222+I222)</f>
        <v/>
      </c>
      <c r="Y222" s="32">
        <f>N(Y221)+O222</f>
        <v/>
      </c>
      <c r="Z222" s="32">
        <f>IF(O222=1,Y222,"")</f>
        <v/>
      </c>
      <c r="AA222" s="32">
        <f>IF(AND(W222=1,G222="Not sure yet"),1,0)</f>
        <v/>
      </c>
      <c r="AB222" s="32">
        <f>N(AB221)+AA222</f>
        <v/>
      </c>
      <c r="AC222" s="32">
        <f>IF(AA222=1,AB222,"")</f>
        <v/>
      </c>
      <c r="AD222" s="32">
        <f>IF(D222="","",IF(LEN(D222)=10,"+1"&amp;D222,IF(AND(LEN(D222)=11,LEFT(D222,1)="1"),"+"&amp;D222,IF(LEFT(C222,1)="+","+"&amp;D222,D222))))</f>
        <v/>
      </c>
      <c r="AE222" s="32">
        <f>IF(B222="","",PROPER(IFERROR(LEFT(B222,FIND(" ",B222)-1),B222)))</f>
        <v/>
      </c>
      <c r="AF222" s="32">
        <f>SUBSTITUTE(SUBSTITUTE(SUBSTITUTE(SUBSTITUTE(SUBSTITUTE(SUBSTITUTE(SUBSTITUTE(SUBSTITUTE(SUBSTITUTE(SUBSTITUTE(AE222,"%","%25"),"&amp;","%26"),"#","%23"),"+","%2B"),"=","%3D"),"?","%3F"),CHAR(34),"%22"),CHAR(10),"%0A"),CHAR(13),"")," ","+")</f>
        <v/>
      </c>
      <c r="AG222" s="32">
        <f>IF(OR(AD222="",AE222=""),"",'Start Here'!$B$20&amp;"#p="&amp;SUBSTITUTE(AD222,"+","%2B")&amp;"&amp;n="&amp;AF222&amp;"&amp;m="&amp;SUBSTITUTE('Start Here'!$B$24,"{name}",AF222))</f>
        <v/>
      </c>
      <c r="AH222" s="32">
        <f>N(AH221)+W222</f>
        <v/>
      </c>
      <c r="AI222" s="32">
        <f>IF(W222=1,AH222,"")</f>
        <v/>
      </c>
    </row>
    <row r="223">
      <c r="A223" s="32">
        <f>IF(INDEX('Form Responses'!$A:$A,ROW())="","",INDEX('Form Responses'!$A:$A,ROW()))</f>
        <v/>
      </c>
      <c r="B223" s="32">
        <f>TRIM(INDEX('Form Responses'!$B:$B,ROW())&amp;"")</f>
        <v/>
      </c>
      <c r="C223" s="32">
        <f>IF(B223="","",TRIM(INDEX('Form Responses'!$C:$C,ROW())&amp;""))</f>
        <v/>
      </c>
      <c r="D223" s="32">
        <f>SUBSTITUTE(SUBSTITUTE(SUBSTITUTE(SUBSTITUTE(SUBSTITUTE(SUBSTITUTE(SUBSTITUTE(SUBSTITUTE(C223," ",""),"-",""),"(",""),")",""),".",""),"+",""),"/",""),CHAR(160),"")</f>
        <v/>
      </c>
      <c r="E223" s="32">
        <f>IF(LEN(D223)&gt;=10,RIGHT(D223,10),D223)</f>
        <v/>
      </c>
      <c r="F223" s="32">
        <f>IF(B223="","",TRIM(INDEX('Form Responses'!$D:$D,ROW())&amp;""))</f>
        <v/>
      </c>
      <c r="G223" s="32">
        <f>IF(B223="","",IF(LEFT(TRIM(INDEX('Form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3" s="32">
        <f>IF(B223="","",MAX(0,IFERROR(INT(--(INDEX('Form Responses'!$F:$F,ROW())&amp;"")),1)))</f>
        <v/>
      </c>
      <c r="I223" s="32">
        <f>IF(B223="","",MAX(0,IFERROR(INT(--(INDEX('Form Responses'!$G:$G,ROW())&amp;"")),0)))</f>
        <v/>
      </c>
      <c r="J223" s="32">
        <f>IF(B223="","",TRIM(INDEX('Form Responses'!$H:$H,ROW())&amp;""))</f>
        <v/>
      </c>
      <c r="K223" s="32">
        <f>IF(B223="","",TRIM(INDEX('Form Responses'!$I:$I,ROW())&amp;""))</f>
        <v/>
      </c>
      <c r="L223" s="32">
        <f>IF(B223="","",TRIM(INDEX('Form Responses'!$J:$J,ROW())&amp;""))</f>
        <v/>
      </c>
      <c r="M223" s="32">
        <f>IF(B223="","",TRIM(INDEX('Form Responses'!$K:$K,ROW())&amp;""))</f>
        <v/>
      </c>
      <c r="N223" s="32">
        <f>IF(B223="","",IF(E223&lt;&gt;"","P"&amp;E223,"N"&amp;B223))</f>
        <v/>
      </c>
      <c r="O223" s="32">
        <f>IF(N223="",0,IF(COUNTIF(N224:N$602,N223)=0,1,0))</f>
        <v/>
      </c>
      <c r="P223" s="32">
        <f>IF(AND(O223=1,E223&lt;&gt;""),E223,"")</f>
        <v/>
      </c>
      <c r="Q223" s="32">
        <f>IF(O223=1,B223,"")</f>
        <v/>
      </c>
      <c r="R223" s="32">
        <f>IF(O223&lt;&gt;1,"",IF(E223&lt;&gt;"",IFERROR(MATCH(E223,Guests!$S$6:$S$505,0)+5,IFERROR(MATCH(B223,Guests!$A$6:$A$505,0)+5,"")),IFERROR(MATCH(B223,Guests!$A$6:$A$505,0)+5,"")))</f>
        <v/>
      </c>
      <c r="S223" s="32">
        <f>IF(R223="","",TRIM(INDEX(Guests!$E$1:$E$505,R223)&amp;""))</f>
        <v/>
      </c>
      <c r="T223" s="32">
        <f>IF(R223="","",IF(S223="",1,COUNTIF(Guests!$E$6:$E$505,S223)))</f>
        <v/>
      </c>
      <c r="U223" s="32">
        <f>IF(R223="","",IF(S223="",1,IF(COUNTIF(S$1:S222,S223)=0,1,0)))</f>
        <v/>
      </c>
      <c r="V223" s="32">
        <f>IF(AND(R223&lt;&gt;"",G223="Attending",U223=1),MAX(0,H223+I223-T223),0)</f>
        <v/>
      </c>
      <c r="W223" s="32">
        <f>IF(AND(O223=1,R223=""),1,0)</f>
        <v/>
      </c>
      <c r="X223" s="32">
        <f>IF(B223="",0,H223+I223)</f>
        <v/>
      </c>
      <c r="Y223" s="32">
        <f>N(Y222)+O223</f>
        <v/>
      </c>
      <c r="Z223" s="32">
        <f>IF(O223=1,Y223,"")</f>
        <v/>
      </c>
      <c r="AA223" s="32">
        <f>IF(AND(W223=1,G223="Not sure yet"),1,0)</f>
        <v/>
      </c>
      <c r="AB223" s="32">
        <f>N(AB222)+AA223</f>
        <v/>
      </c>
      <c r="AC223" s="32">
        <f>IF(AA223=1,AB223,"")</f>
        <v/>
      </c>
      <c r="AD223" s="32">
        <f>IF(D223="","",IF(LEN(D223)=10,"+1"&amp;D223,IF(AND(LEN(D223)=11,LEFT(D223,1)="1"),"+"&amp;D223,IF(LEFT(C223,1)="+","+"&amp;D223,D223))))</f>
        <v/>
      </c>
      <c r="AE223" s="32">
        <f>IF(B223="","",PROPER(IFERROR(LEFT(B223,FIND(" ",B223)-1),B223)))</f>
        <v/>
      </c>
      <c r="AF223" s="32">
        <f>SUBSTITUTE(SUBSTITUTE(SUBSTITUTE(SUBSTITUTE(SUBSTITUTE(SUBSTITUTE(SUBSTITUTE(SUBSTITUTE(SUBSTITUTE(SUBSTITUTE(AE223,"%","%25"),"&amp;","%26"),"#","%23"),"+","%2B"),"=","%3D"),"?","%3F"),CHAR(34),"%22"),CHAR(10),"%0A"),CHAR(13),"")," ","+")</f>
        <v/>
      </c>
      <c r="AG223" s="32">
        <f>IF(OR(AD223="",AE223=""),"",'Start Here'!$B$20&amp;"#p="&amp;SUBSTITUTE(AD223,"+","%2B")&amp;"&amp;n="&amp;AF223&amp;"&amp;m="&amp;SUBSTITUTE('Start Here'!$B$24,"{name}",AF223))</f>
        <v/>
      </c>
      <c r="AH223" s="32">
        <f>N(AH222)+W223</f>
        <v/>
      </c>
      <c r="AI223" s="32">
        <f>IF(W223=1,AH223,"")</f>
        <v/>
      </c>
    </row>
    <row r="224">
      <c r="A224" s="32">
        <f>IF(INDEX('Form Responses'!$A:$A,ROW())="","",INDEX('Form Responses'!$A:$A,ROW()))</f>
        <v/>
      </c>
      <c r="B224" s="32">
        <f>TRIM(INDEX('Form Responses'!$B:$B,ROW())&amp;"")</f>
        <v/>
      </c>
      <c r="C224" s="32">
        <f>IF(B224="","",TRIM(INDEX('Form Responses'!$C:$C,ROW())&amp;""))</f>
        <v/>
      </c>
      <c r="D224" s="32">
        <f>SUBSTITUTE(SUBSTITUTE(SUBSTITUTE(SUBSTITUTE(SUBSTITUTE(SUBSTITUTE(SUBSTITUTE(SUBSTITUTE(C224," ",""),"-",""),"(",""),")",""),".",""),"+",""),"/",""),CHAR(160),"")</f>
        <v/>
      </c>
      <c r="E224" s="32">
        <f>IF(LEN(D224)&gt;=10,RIGHT(D224,10),D224)</f>
        <v/>
      </c>
      <c r="F224" s="32">
        <f>IF(B224="","",TRIM(INDEX('Form Responses'!$D:$D,ROW())&amp;""))</f>
        <v/>
      </c>
      <c r="G224" s="32">
        <f>IF(B224="","",IF(LEFT(TRIM(INDEX('Form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4" s="32">
        <f>IF(B224="","",MAX(0,IFERROR(INT(--(INDEX('Form Responses'!$F:$F,ROW())&amp;"")),1)))</f>
        <v/>
      </c>
      <c r="I224" s="32">
        <f>IF(B224="","",MAX(0,IFERROR(INT(--(INDEX('Form Responses'!$G:$G,ROW())&amp;"")),0)))</f>
        <v/>
      </c>
      <c r="J224" s="32">
        <f>IF(B224="","",TRIM(INDEX('Form Responses'!$H:$H,ROW())&amp;""))</f>
        <v/>
      </c>
      <c r="K224" s="32">
        <f>IF(B224="","",TRIM(INDEX('Form Responses'!$I:$I,ROW())&amp;""))</f>
        <v/>
      </c>
      <c r="L224" s="32">
        <f>IF(B224="","",TRIM(INDEX('Form Responses'!$J:$J,ROW())&amp;""))</f>
        <v/>
      </c>
      <c r="M224" s="32">
        <f>IF(B224="","",TRIM(INDEX('Form Responses'!$K:$K,ROW())&amp;""))</f>
        <v/>
      </c>
      <c r="N224" s="32">
        <f>IF(B224="","",IF(E224&lt;&gt;"","P"&amp;E224,"N"&amp;B224))</f>
        <v/>
      </c>
      <c r="O224" s="32">
        <f>IF(N224="",0,IF(COUNTIF(N225:N$602,N224)=0,1,0))</f>
        <v/>
      </c>
      <c r="P224" s="32">
        <f>IF(AND(O224=1,E224&lt;&gt;""),E224,"")</f>
        <v/>
      </c>
      <c r="Q224" s="32">
        <f>IF(O224=1,B224,"")</f>
        <v/>
      </c>
      <c r="R224" s="32">
        <f>IF(O224&lt;&gt;1,"",IF(E224&lt;&gt;"",IFERROR(MATCH(E224,Guests!$S$6:$S$505,0)+5,IFERROR(MATCH(B224,Guests!$A$6:$A$505,0)+5,"")),IFERROR(MATCH(B224,Guests!$A$6:$A$505,0)+5,"")))</f>
        <v/>
      </c>
      <c r="S224" s="32">
        <f>IF(R224="","",TRIM(INDEX(Guests!$E$1:$E$505,R224)&amp;""))</f>
        <v/>
      </c>
      <c r="T224" s="32">
        <f>IF(R224="","",IF(S224="",1,COUNTIF(Guests!$E$6:$E$505,S224)))</f>
        <v/>
      </c>
      <c r="U224" s="32">
        <f>IF(R224="","",IF(S224="",1,IF(COUNTIF(S$1:S223,S224)=0,1,0)))</f>
        <v/>
      </c>
      <c r="V224" s="32">
        <f>IF(AND(R224&lt;&gt;"",G224="Attending",U224=1),MAX(0,H224+I224-T224),0)</f>
        <v/>
      </c>
      <c r="W224" s="32">
        <f>IF(AND(O224=1,R224=""),1,0)</f>
        <v/>
      </c>
      <c r="X224" s="32">
        <f>IF(B224="",0,H224+I224)</f>
        <v/>
      </c>
      <c r="Y224" s="32">
        <f>N(Y223)+O224</f>
        <v/>
      </c>
      <c r="Z224" s="32">
        <f>IF(O224=1,Y224,"")</f>
        <v/>
      </c>
      <c r="AA224" s="32">
        <f>IF(AND(W224=1,G224="Not sure yet"),1,0)</f>
        <v/>
      </c>
      <c r="AB224" s="32">
        <f>N(AB223)+AA224</f>
        <v/>
      </c>
      <c r="AC224" s="32">
        <f>IF(AA224=1,AB224,"")</f>
        <v/>
      </c>
      <c r="AD224" s="32">
        <f>IF(D224="","",IF(LEN(D224)=10,"+1"&amp;D224,IF(AND(LEN(D224)=11,LEFT(D224,1)="1"),"+"&amp;D224,IF(LEFT(C224,1)="+","+"&amp;D224,D224))))</f>
        <v/>
      </c>
      <c r="AE224" s="32">
        <f>IF(B224="","",PROPER(IFERROR(LEFT(B224,FIND(" ",B224)-1),B224)))</f>
        <v/>
      </c>
      <c r="AF224" s="32">
        <f>SUBSTITUTE(SUBSTITUTE(SUBSTITUTE(SUBSTITUTE(SUBSTITUTE(SUBSTITUTE(SUBSTITUTE(SUBSTITUTE(SUBSTITUTE(SUBSTITUTE(AE224,"%","%25"),"&amp;","%26"),"#","%23"),"+","%2B"),"=","%3D"),"?","%3F"),CHAR(34),"%22"),CHAR(10),"%0A"),CHAR(13),"")," ","+")</f>
        <v/>
      </c>
      <c r="AG224" s="32">
        <f>IF(OR(AD224="",AE224=""),"",'Start Here'!$B$20&amp;"#p="&amp;SUBSTITUTE(AD224,"+","%2B")&amp;"&amp;n="&amp;AF224&amp;"&amp;m="&amp;SUBSTITUTE('Start Here'!$B$24,"{name}",AF224))</f>
        <v/>
      </c>
      <c r="AH224" s="32">
        <f>N(AH223)+W224</f>
        <v/>
      </c>
      <c r="AI224" s="32">
        <f>IF(W224=1,AH224,"")</f>
        <v/>
      </c>
    </row>
    <row r="225">
      <c r="A225" s="32">
        <f>IF(INDEX('Form Responses'!$A:$A,ROW())="","",INDEX('Form Responses'!$A:$A,ROW()))</f>
        <v/>
      </c>
      <c r="B225" s="32">
        <f>TRIM(INDEX('Form Responses'!$B:$B,ROW())&amp;"")</f>
        <v/>
      </c>
      <c r="C225" s="32">
        <f>IF(B225="","",TRIM(INDEX('Form Responses'!$C:$C,ROW())&amp;""))</f>
        <v/>
      </c>
      <c r="D225" s="32">
        <f>SUBSTITUTE(SUBSTITUTE(SUBSTITUTE(SUBSTITUTE(SUBSTITUTE(SUBSTITUTE(SUBSTITUTE(SUBSTITUTE(C225," ",""),"-",""),"(",""),")",""),".",""),"+",""),"/",""),CHAR(160),"")</f>
        <v/>
      </c>
      <c r="E225" s="32">
        <f>IF(LEN(D225)&gt;=10,RIGHT(D225,10),D225)</f>
        <v/>
      </c>
      <c r="F225" s="32">
        <f>IF(B225="","",TRIM(INDEX('Form Responses'!$D:$D,ROW())&amp;""))</f>
        <v/>
      </c>
      <c r="G225" s="32">
        <f>IF(B225="","",IF(LEFT(TRIM(INDEX('Form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5" s="32">
        <f>IF(B225="","",MAX(0,IFERROR(INT(--(INDEX('Form Responses'!$F:$F,ROW())&amp;"")),1)))</f>
        <v/>
      </c>
      <c r="I225" s="32">
        <f>IF(B225="","",MAX(0,IFERROR(INT(--(INDEX('Form Responses'!$G:$G,ROW())&amp;"")),0)))</f>
        <v/>
      </c>
      <c r="J225" s="32">
        <f>IF(B225="","",TRIM(INDEX('Form Responses'!$H:$H,ROW())&amp;""))</f>
        <v/>
      </c>
      <c r="K225" s="32">
        <f>IF(B225="","",TRIM(INDEX('Form Responses'!$I:$I,ROW())&amp;""))</f>
        <v/>
      </c>
      <c r="L225" s="32">
        <f>IF(B225="","",TRIM(INDEX('Form Responses'!$J:$J,ROW())&amp;""))</f>
        <v/>
      </c>
      <c r="M225" s="32">
        <f>IF(B225="","",TRIM(INDEX('Form Responses'!$K:$K,ROW())&amp;""))</f>
        <v/>
      </c>
      <c r="N225" s="32">
        <f>IF(B225="","",IF(E225&lt;&gt;"","P"&amp;E225,"N"&amp;B225))</f>
        <v/>
      </c>
      <c r="O225" s="32">
        <f>IF(N225="",0,IF(COUNTIF(N226:N$602,N225)=0,1,0))</f>
        <v/>
      </c>
      <c r="P225" s="32">
        <f>IF(AND(O225=1,E225&lt;&gt;""),E225,"")</f>
        <v/>
      </c>
      <c r="Q225" s="32">
        <f>IF(O225=1,B225,"")</f>
        <v/>
      </c>
      <c r="R225" s="32">
        <f>IF(O225&lt;&gt;1,"",IF(E225&lt;&gt;"",IFERROR(MATCH(E225,Guests!$S$6:$S$505,0)+5,IFERROR(MATCH(B225,Guests!$A$6:$A$505,0)+5,"")),IFERROR(MATCH(B225,Guests!$A$6:$A$505,0)+5,"")))</f>
        <v/>
      </c>
      <c r="S225" s="32">
        <f>IF(R225="","",TRIM(INDEX(Guests!$E$1:$E$505,R225)&amp;""))</f>
        <v/>
      </c>
      <c r="T225" s="32">
        <f>IF(R225="","",IF(S225="",1,COUNTIF(Guests!$E$6:$E$505,S225)))</f>
        <v/>
      </c>
      <c r="U225" s="32">
        <f>IF(R225="","",IF(S225="",1,IF(COUNTIF(S$1:S224,S225)=0,1,0)))</f>
        <v/>
      </c>
      <c r="V225" s="32">
        <f>IF(AND(R225&lt;&gt;"",G225="Attending",U225=1),MAX(0,H225+I225-T225),0)</f>
        <v/>
      </c>
      <c r="W225" s="32">
        <f>IF(AND(O225=1,R225=""),1,0)</f>
        <v/>
      </c>
      <c r="X225" s="32">
        <f>IF(B225="",0,H225+I225)</f>
        <v/>
      </c>
      <c r="Y225" s="32">
        <f>N(Y224)+O225</f>
        <v/>
      </c>
      <c r="Z225" s="32">
        <f>IF(O225=1,Y225,"")</f>
        <v/>
      </c>
      <c r="AA225" s="32">
        <f>IF(AND(W225=1,G225="Not sure yet"),1,0)</f>
        <v/>
      </c>
      <c r="AB225" s="32">
        <f>N(AB224)+AA225</f>
        <v/>
      </c>
      <c r="AC225" s="32">
        <f>IF(AA225=1,AB225,"")</f>
        <v/>
      </c>
      <c r="AD225" s="32">
        <f>IF(D225="","",IF(LEN(D225)=10,"+1"&amp;D225,IF(AND(LEN(D225)=11,LEFT(D225,1)="1"),"+"&amp;D225,IF(LEFT(C225,1)="+","+"&amp;D225,D225))))</f>
        <v/>
      </c>
      <c r="AE225" s="32">
        <f>IF(B225="","",PROPER(IFERROR(LEFT(B225,FIND(" ",B225)-1),B225)))</f>
        <v/>
      </c>
      <c r="AF225" s="32">
        <f>SUBSTITUTE(SUBSTITUTE(SUBSTITUTE(SUBSTITUTE(SUBSTITUTE(SUBSTITUTE(SUBSTITUTE(SUBSTITUTE(SUBSTITUTE(SUBSTITUTE(AE225,"%","%25"),"&amp;","%26"),"#","%23"),"+","%2B"),"=","%3D"),"?","%3F"),CHAR(34),"%22"),CHAR(10),"%0A"),CHAR(13),"")," ","+")</f>
        <v/>
      </c>
      <c r="AG225" s="32">
        <f>IF(OR(AD225="",AE225=""),"",'Start Here'!$B$20&amp;"#p="&amp;SUBSTITUTE(AD225,"+","%2B")&amp;"&amp;n="&amp;AF225&amp;"&amp;m="&amp;SUBSTITUTE('Start Here'!$B$24,"{name}",AF225))</f>
        <v/>
      </c>
      <c r="AH225" s="32">
        <f>N(AH224)+W225</f>
        <v/>
      </c>
      <c r="AI225" s="32">
        <f>IF(W225=1,AH225,"")</f>
        <v/>
      </c>
    </row>
    <row r="226">
      <c r="A226" s="32">
        <f>IF(INDEX('Form Responses'!$A:$A,ROW())="","",INDEX('Form Responses'!$A:$A,ROW()))</f>
        <v/>
      </c>
      <c r="B226" s="32">
        <f>TRIM(INDEX('Form Responses'!$B:$B,ROW())&amp;"")</f>
        <v/>
      </c>
      <c r="C226" s="32">
        <f>IF(B226="","",TRIM(INDEX('Form Responses'!$C:$C,ROW())&amp;""))</f>
        <v/>
      </c>
      <c r="D226" s="32">
        <f>SUBSTITUTE(SUBSTITUTE(SUBSTITUTE(SUBSTITUTE(SUBSTITUTE(SUBSTITUTE(SUBSTITUTE(SUBSTITUTE(C226," ",""),"-",""),"(",""),")",""),".",""),"+",""),"/",""),CHAR(160),"")</f>
        <v/>
      </c>
      <c r="E226" s="32">
        <f>IF(LEN(D226)&gt;=10,RIGHT(D226,10),D226)</f>
        <v/>
      </c>
      <c r="F226" s="32">
        <f>IF(B226="","",TRIM(INDEX('Form Responses'!$D:$D,ROW())&amp;""))</f>
        <v/>
      </c>
      <c r="G226" s="32">
        <f>IF(B226="","",IF(LEFT(TRIM(INDEX('Form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6" s="32">
        <f>IF(B226="","",MAX(0,IFERROR(INT(--(INDEX('Form Responses'!$F:$F,ROW())&amp;"")),1)))</f>
        <v/>
      </c>
      <c r="I226" s="32">
        <f>IF(B226="","",MAX(0,IFERROR(INT(--(INDEX('Form Responses'!$G:$G,ROW())&amp;"")),0)))</f>
        <v/>
      </c>
      <c r="J226" s="32">
        <f>IF(B226="","",TRIM(INDEX('Form Responses'!$H:$H,ROW())&amp;""))</f>
        <v/>
      </c>
      <c r="K226" s="32">
        <f>IF(B226="","",TRIM(INDEX('Form Responses'!$I:$I,ROW())&amp;""))</f>
        <v/>
      </c>
      <c r="L226" s="32">
        <f>IF(B226="","",TRIM(INDEX('Form Responses'!$J:$J,ROW())&amp;""))</f>
        <v/>
      </c>
      <c r="M226" s="32">
        <f>IF(B226="","",TRIM(INDEX('Form Responses'!$K:$K,ROW())&amp;""))</f>
        <v/>
      </c>
      <c r="N226" s="32">
        <f>IF(B226="","",IF(E226&lt;&gt;"","P"&amp;E226,"N"&amp;B226))</f>
        <v/>
      </c>
      <c r="O226" s="32">
        <f>IF(N226="",0,IF(COUNTIF(N227:N$602,N226)=0,1,0))</f>
        <v/>
      </c>
      <c r="P226" s="32">
        <f>IF(AND(O226=1,E226&lt;&gt;""),E226,"")</f>
        <v/>
      </c>
      <c r="Q226" s="32">
        <f>IF(O226=1,B226,"")</f>
        <v/>
      </c>
      <c r="R226" s="32">
        <f>IF(O226&lt;&gt;1,"",IF(E226&lt;&gt;"",IFERROR(MATCH(E226,Guests!$S$6:$S$505,0)+5,IFERROR(MATCH(B226,Guests!$A$6:$A$505,0)+5,"")),IFERROR(MATCH(B226,Guests!$A$6:$A$505,0)+5,"")))</f>
        <v/>
      </c>
      <c r="S226" s="32">
        <f>IF(R226="","",TRIM(INDEX(Guests!$E$1:$E$505,R226)&amp;""))</f>
        <v/>
      </c>
      <c r="T226" s="32">
        <f>IF(R226="","",IF(S226="",1,COUNTIF(Guests!$E$6:$E$505,S226)))</f>
        <v/>
      </c>
      <c r="U226" s="32">
        <f>IF(R226="","",IF(S226="",1,IF(COUNTIF(S$1:S225,S226)=0,1,0)))</f>
        <v/>
      </c>
      <c r="V226" s="32">
        <f>IF(AND(R226&lt;&gt;"",G226="Attending",U226=1),MAX(0,H226+I226-T226),0)</f>
        <v/>
      </c>
      <c r="W226" s="32">
        <f>IF(AND(O226=1,R226=""),1,0)</f>
        <v/>
      </c>
      <c r="X226" s="32">
        <f>IF(B226="",0,H226+I226)</f>
        <v/>
      </c>
      <c r="Y226" s="32">
        <f>N(Y225)+O226</f>
        <v/>
      </c>
      <c r="Z226" s="32">
        <f>IF(O226=1,Y226,"")</f>
        <v/>
      </c>
      <c r="AA226" s="32">
        <f>IF(AND(W226=1,G226="Not sure yet"),1,0)</f>
        <v/>
      </c>
      <c r="AB226" s="32">
        <f>N(AB225)+AA226</f>
        <v/>
      </c>
      <c r="AC226" s="32">
        <f>IF(AA226=1,AB226,"")</f>
        <v/>
      </c>
      <c r="AD226" s="32">
        <f>IF(D226="","",IF(LEN(D226)=10,"+1"&amp;D226,IF(AND(LEN(D226)=11,LEFT(D226,1)="1"),"+"&amp;D226,IF(LEFT(C226,1)="+","+"&amp;D226,D226))))</f>
        <v/>
      </c>
      <c r="AE226" s="32">
        <f>IF(B226="","",PROPER(IFERROR(LEFT(B226,FIND(" ",B226)-1),B226)))</f>
        <v/>
      </c>
      <c r="AF226" s="32">
        <f>SUBSTITUTE(SUBSTITUTE(SUBSTITUTE(SUBSTITUTE(SUBSTITUTE(SUBSTITUTE(SUBSTITUTE(SUBSTITUTE(SUBSTITUTE(SUBSTITUTE(AE226,"%","%25"),"&amp;","%26"),"#","%23"),"+","%2B"),"=","%3D"),"?","%3F"),CHAR(34),"%22"),CHAR(10),"%0A"),CHAR(13),"")," ","+")</f>
        <v/>
      </c>
      <c r="AG226" s="32">
        <f>IF(OR(AD226="",AE226=""),"",'Start Here'!$B$20&amp;"#p="&amp;SUBSTITUTE(AD226,"+","%2B")&amp;"&amp;n="&amp;AF226&amp;"&amp;m="&amp;SUBSTITUTE('Start Here'!$B$24,"{name}",AF226))</f>
        <v/>
      </c>
      <c r="AH226" s="32">
        <f>N(AH225)+W226</f>
        <v/>
      </c>
      <c r="AI226" s="32">
        <f>IF(W226=1,AH226,"")</f>
        <v/>
      </c>
    </row>
    <row r="227">
      <c r="A227" s="32">
        <f>IF(INDEX('Form Responses'!$A:$A,ROW())="","",INDEX('Form Responses'!$A:$A,ROW()))</f>
        <v/>
      </c>
      <c r="B227" s="32">
        <f>TRIM(INDEX('Form Responses'!$B:$B,ROW())&amp;"")</f>
        <v/>
      </c>
      <c r="C227" s="32">
        <f>IF(B227="","",TRIM(INDEX('Form Responses'!$C:$C,ROW())&amp;""))</f>
        <v/>
      </c>
      <c r="D227" s="32">
        <f>SUBSTITUTE(SUBSTITUTE(SUBSTITUTE(SUBSTITUTE(SUBSTITUTE(SUBSTITUTE(SUBSTITUTE(SUBSTITUTE(C227," ",""),"-",""),"(",""),")",""),".",""),"+",""),"/",""),CHAR(160),"")</f>
        <v/>
      </c>
      <c r="E227" s="32">
        <f>IF(LEN(D227)&gt;=10,RIGHT(D227,10),D227)</f>
        <v/>
      </c>
      <c r="F227" s="32">
        <f>IF(B227="","",TRIM(INDEX('Form Responses'!$D:$D,ROW())&amp;""))</f>
        <v/>
      </c>
      <c r="G227" s="32">
        <f>IF(B227="","",IF(LEFT(TRIM(INDEX('Form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7" s="32">
        <f>IF(B227="","",MAX(0,IFERROR(INT(--(INDEX('Form Responses'!$F:$F,ROW())&amp;"")),1)))</f>
        <v/>
      </c>
      <c r="I227" s="32">
        <f>IF(B227="","",MAX(0,IFERROR(INT(--(INDEX('Form Responses'!$G:$G,ROW())&amp;"")),0)))</f>
        <v/>
      </c>
      <c r="J227" s="32">
        <f>IF(B227="","",TRIM(INDEX('Form Responses'!$H:$H,ROW())&amp;""))</f>
        <v/>
      </c>
      <c r="K227" s="32">
        <f>IF(B227="","",TRIM(INDEX('Form Responses'!$I:$I,ROW())&amp;""))</f>
        <v/>
      </c>
      <c r="L227" s="32">
        <f>IF(B227="","",TRIM(INDEX('Form Responses'!$J:$J,ROW())&amp;""))</f>
        <v/>
      </c>
      <c r="M227" s="32">
        <f>IF(B227="","",TRIM(INDEX('Form Responses'!$K:$K,ROW())&amp;""))</f>
        <v/>
      </c>
      <c r="N227" s="32">
        <f>IF(B227="","",IF(E227&lt;&gt;"","P"&amp;E227,"N"&amp;B227))</f>
        <v/>
      </c>
      <c r="O227" s="32">
        <f>IF(N227="",0,IF(COUNTIF(N228:N$602,N227)=0,1,0))</f>
        <v/>
      </c>
      <c r="P227" s="32">
        <f>IF(AND(O227=1,E227&lt;&gt;""),E227,"")</f>
        <v/>
      </c>
      <c r="Q227" s="32">
        <f>IF(O227=1,B227,"")</f>
        <v/>
      </c>
      <c r="R227" s="32">
        <f>IF(O227&lt;&gt;1,"",IF(E227&lt;&gt;"",IFERROR(MATCH(E227,Guests!$S$6:$S$505,0)+5,IFERROR(MATCH(B227,Guests!$A$6:$A$505,0)+5,"")),IFERROR(MATCH(B227,Guests!$A$6:$A$505,0)+5,"")))</f>
        <v/>
      </c>
      <c r="S227" s="32">
        <f>IF(R227="","",TRIM(INDEX(Guests!$E$1:$E$505,R227)&amp;""))</f>
        <v/>
      </c>
      <c r="T227" s="32">
        <f>IF(R227="","",IF(S227="",1,COUNTIF(Guests!$E$6:$E$505,S227)))</f>
        <v/>
      </c>
      <c r="U227" s="32">
        <f>IF(R227="","",IF(S227="",1,IF(COUNTIF(S$1:S226,S227)=0,1,0)))</f>
        <v/>
      </c>
      <c r="V227" s="32">
        <f>IF(AND(R227&lt;&gt;"",G227="Attending",U227=1),MAX(0,H227+I227-T227),0)</f>
        <v/>
      </c>
      <c r="W227" s="32">
        <f>IF(AND(O227=1,R227=""),1,0)</f>
        <v/>
      </c>
      <c r="X227" s="32">
        <f>IF(B227="",0,H227+I227)</f>
        <v/>
      </c>
      <c r="Y227" s="32">
        <f>N(Y226)+O227</f>
        <v/>
      </c>
      <c r="Z227" s="32">
        <f>IF(O227=1,Y227,"")</f>
        <v/>
      </c>
      <c r="AA227" s="32">
        <f>IF(AND(W227=1,G227="Not sure yet"),1,0)</f>
        <v/>
      </c>
      <c r="AB227" s="32">
        <f>N(AB226)+AA227</f>
        <v/>
      </c>
      <c r="AC227" s="32">
        <f>IF(AA227=1,AB227,"")</f>
        <v/>
      </c>
      <c r="AD227" s="32">
        <f>IF(D227="","",IF(LEN(D227)=10,"+1"&amp;D227,IF(AND(LEN(D227)=11,LEFT(D227,1)="1"),"+"&amp;D227,IF(LEFT(C227,1)="+","+"&amp;D227,D227))))</f>
        <v/>
      </c>
      <c r="AE227" s="32">
        <f>IF(B227="","",PROPER(IFERROR(LEFT(B227,FIND(" ",B227)-1),B227)))</f>
        <v/>
      </c>
      <c r="AF227" s="32">
        <f>SUBSTITUTE(SUBSTITUTE(SUBSTITUTE(SUBSTITUTE(SUBSTITUTE(SUBSTITUTE(SUBSTITUTE(SUBSTITUTE(SUBSTITUTE(SUBSTITUTE(AE227,"%","%25"),"&amp;","%26"),"#","%23"),"+","%2B"),"=","%3D"),"?","%3F"),CHAR(34),"%22"),CHAR(10),"%0A"),CHAR(13),"")," ","+")</f>
        <v/>
      </c>
      <c r="AG227" s="32">
        <f>IF(OR(AD227="",AE227=""),"",'Start Here'!$B$20&amp;"#p="&amp;SUBSTITUTE(AD227,"+","%2B")&amp;"&amp;n="&amp;AF227&amp;"&amp;m="&amp;SUBSTITUTE('Start Here'!$B$24,"{name}",AF227))</f>
        <v/>
      </c>
      <c r="AH227" s="32">
        <f>N(AH226)+W227</f>
        <v/>
      </c>
      <c r="AI227" s="32">
        <f>IF(W227=1,AH227,"")</f>
        <v/>
      </c>
    </row>
    <row r="228">
      <c r="A228" s="32">
        <f>IF(INDEX('Form Responses'!$A:$A,ROW())="","",INDEX('Form Responses'!$A:$A,ROW()))</f>
        <v/>
      </c>
      <c r="B228" s="32">
        <f>TRIM(INDEX('Form Responses'!$B:$B,ROW())&amp;"")</f>
        <v/>
      </c>
      <c r="C228" s="32">
        <f>IF(B228="","",TRIM(INDEX('Form Responses'!$C:$C,ROW())&amp;""))</f>
        <v/>
      </c>
      <c r="D228" s="32">
        <f>SUBSTITUTE(SUBSTITUTE(SUBSTITUTE(SUBSTITUTE(SUBSTITUTE(SUBSTITUTE(SUBSTITUTE(SUBSTITUTE(C228," ",""),"-",""),"(",""),")",""),".",""),"+",""),"/",""),CHAR(160),"")</f>
        <v/>
      </c>
      <c r="E228" s="32">
        <f>IF(LEN(D228)&gt;=10,RIGHT(D228,10),D228)</f>
        <v/>
      </c>
      <c r="F228" s="32">
        <f>IF(B228="","",TRIM(INDEX('Form Responses'!$D:$D,ROW())&amp;""))</f>
        <v/>
      </c>
      <c r="G228" s="32">
        <f>IF(B228="","",IF(LEFT(TRIM(INDEX('Form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8" s="32">
        <f>IF(B228="","",MAX(0,IFERROR(INT(--(INDEX('Form Responses'!$F:$F,ROW())&amp;"")),1)))</f>
        <v/>
      </c>
      <c r="I228" s="32">
        <f>IF(B228="","",MAX(0,IFERROR(INT(--(INDEX('Form Responses'!$G:$G,ROW())&amp;"")),0)))</f>
        <v/>
      </c>
      <c r="J228" s="32">
        <f>IF(B228="","",TRIM(INDEX('Form Responses'!$H:$H,ROW())&amp;""))</f>
        <v/>
      </c>
      <c r="K228" s="32">
        <f>IF(B228="","",TRIM(INDEX('Form Responses'!$I:$I,ROW())&amp;""))</f>
        <v/>
      </c>
      <c r="L228" s="32">
        <f>IF(B228="","",TRIM(INDEX('Form Responses'!$J:$J,ROW())&amp;""))</f>
        <v/>
      </c>
      <c r="M228" s="32">
        <f>IF(B228="","",TRIM(INDEX('Form Responses'!$K:$K,ROW())&amp;""))</f>
        <v/>
      </c>
      <c r="N228" s="32">
        <f>IF(B228="","",IF(E228&lt;&gt;"","P"&amp;E228,"N"&amp;B228))</f>
        <v/>
      </c>
      <c r="O228" s="32">
        <f>IF(N228="",0,IF(COUNTIF(N229:N$602,N228)=0,1,0))</f>
        <v/>
      </c>
      <c r="P228" s="32">
        <f>IF(AND(O228=1,E228&lt;&gt;""),E228,"")</f>
        <v/>
      </c>
      <c r="Q228" s="32">
        <f>IF(O228=1,B228,"")</f>
        <v/>
      </c>
      <c r="R228" s="32">
        <f>IF(O228&lt;&gt;1,"",IF(E228&lt;&gt;"",IFERROR(MATCH(E228,Guests!$S$6:$S$505,0)+5,IFERROR(MATCH(B228,Guests!$A$6:$A$505,0)+5,"")),IFERROR(MATCH(B228,Guests!$A$6:$A$505,0)+5,"")))</f>
        <v/>
      </c>
      <c r="S228" s="32">
        <f>IF(R228="","",TRIM(INDEX(Guests!$E$1:$E$505,R228)&amp;""))</f>
        <v/>
      </c>
      <c r="T228" s="32">
        <f>IF(R228="","",IF(S228="",1,COUNTIF(Guests!$E$6:$E$505,S228)))</f>
        <v/>
      </c>
      <c r="U228" s="32">
        <f>IF(R228="","",IF(S228="",1,IF(COUNTIF(S$1:S227,S228)=0,1,0)))</f>
        <v/>
      </c>
      <c r="V228" s="32">
        <f>IF(AND(R228&lt;&gt;"",G228="Attending",U228=1),MAX(0,H228+I228-T228),0)</f>
        <v/>
      </c>
      <c r="W228" s="32">
        <f>IF(AND(O228=1,R228=""),1,0)</f>
        <v/>
      </c>
      <c r="X228" s="32">
        <f>IF(B228="",0,H228+I228)</f>
        <v/>
      </c>
      <c r="Y228" s="32">
        <f>N(Y227)+O228</f>
        <v/>
      </c>
      <c r="Z228" s="32">
        <f>IF(O228=1,Y228,"")</f>
        <v/>
      </c>
      <c r="AA228" s="32">
        <f>IF(AND(W228=1,G228="Not sure yet"),1,0)</f>
        <v/>
      </c>
      <c r="AB228" s="32">
        <f>N(AB227)+AA228</f>
        <v/>
      </c>
      <c r="AC228" s="32">
        <f>IF(AA228=1,AB228,"")</f>
        <v/>
      </c>
      <c r="AD228" s="32">
        <f>IF(D228="","",IF(LEN(D228)=10,"+1"&amp;D228,IF(AND(LEN(D228)=11,LEFT(D228,1)="1"),"+"&amp;D228,IF(LEFT(C228,1)="+","+"&amp;D228,D228))))</f>
        <v/>
      </c>
      <c r="AE228" s="32">
        <f>IF(B228="","",PROPER(IFERROR(LEFT(B228,FIND(" ",B228)-1),B228)))</f>
        <v/>
      </c>
      <c r="AF228" s="32">
        <f>SUBSTITUTE(SUBSTITUTE(SUBSTITUTE(SUBSTITUTE(SUBSTITUTE(SUBSTITUTE(SUBSTITUTE(SUBSTITUTE(SUBSTITUTE(SUBSTITUTE(AE228,"%","%25"),"&amp;","%26"),"#","%23"),"+","%2B"),"=","%3D"),"?","%3F"),CHAR(34),"%22"),CHAR(10),"%0A"),CHAR(13),"")," ","+")</f>
        <v/>
      </c>
      <c r="AG228" s="32">
        <f>IF(OR(AD228="",AE228=""),"",'Start Here'!$B$20&amp;"#p="&amp;SUBSTITUTE(AD228,"+","%2B")&amp;"&amp;n="&amp;AF228&amp;"&amp;m="&amp;SUBSTITUTE('Start Here'!$B$24,"{name}",AF228))</f>
        <v/>
      </c>
      <c r="AH228" s="32">
        <f>N(AH227)+W228</f>
        <v/>
      </c>
      <c r="AI228" s="32">
        <f>IF(W228=1,AH228,"")</f>
        <v/>
      </c>
    </row>
    <row r="229">
      <c r="A229" s="32">
        <f>IF(INDEX('Form Responses'!$A:$A,ROW())="","",INDEX('Form Responses'!$A:$A,ROW()))</f>
        <v/>
      </c>
      <c r="B229" s="32">
        <f>TRIM(INDEX('Form Responses'!$B:$B,ROW())&amp;"")</f>
        <v/>
      </c>
      <c r="C229" s="32">
        <f>IF(B229="","",TRIM(INDEX('Form Responses'!$C:$C,ROW())&amp;""))</f>
        <v/>
      </c>
      <c r="D229" s="32">
        <f>SUBSTITUTE(SUBSTITUTE(SUBSTITUTE(SUBSTITUTE(SUBSTITUTE(SUBSTITUTE(SUBSTITUTE(SUBSTITUTE(C229," ",""),"-",""),"(",""),")",""),".",""),"+",""),"/",""),CHAR(160),"")</f>
        <v/>
      </c>
      <c r="E229" s="32">
        <f>IF(LEN(D229)&gt;=10,RIGHT(D229,10),D229)</f>
        <v/>
      </c>
      <c r="F229" s="32">
        <f>IF(B229="","",TRIM(INDEX('Form Responses'!$D:$D,ROW())&amp;""))</f>
        <v/>
      </c>
      <c r="G229" s="32">
        <f>IF(B229="","",IF(LEFT(TRIM(INDEX('Form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29" s="32">
        <f>IF(B229="","",MAX(0,IFERROR(INT(--(INDEX('Form Responses'!$F:$F,ROW())&amp;"")),1)))</f>
        <v/>
      </c>
      <c r="I229" s="32">
        <f>IF(B229="","",MAX(0,IFERROR(INT(--(INDEX('Form Responses'!$G:$G,ROW())&amp;"")),0)))</f>
        <v/>
      </c>
      <c r="J229" s="32">
        <f>IF(B229="","",TRIM(INDEX('Form Responses'!$H:$H,ROW())&amp;""))</f>
        <v/>
      </c>
      <c r="K229" s="32">
        <f>IF(B229="","",TRIM(INDEX('Form Responses'!$I:$I,ROW())&amp;""))</f>
        <v/>
      </c>
      <c r="L229" s="32">
        <f>IF(B229="","",TRIM(INDEX('Form Responses'!$J:$J,ROW())&amp;""))</f>
        <v/>
      </c>
      <c r="M229" s="32">
        <f>IF(B229="","",TRIM(INDEX('Form Responses'!$K:$K,ROW())&amp;""))</f>
        <v/>
      </c>
      <c r="N229" s="32">
        <f>IF(B229="","",IF(E229&lt;&gt;"","P"&amp;E229,"N"&amp;B229))</f>
        <v/>
      </c>
      <c r="O229" s="32">
        <f>IF(N229="",0,IF(COUNTIF(N230:N$602,N229)=0,1,0))</f>
        <v/>
      </c>
      <c r="P229" s="32">
        <f>IF(AND(O229=1,E229&lt;&gt;""),E229,"")</f>
        <v/>
      </c>
      <c r="Q229" s="32">
        <f>IF(O229=1,B229,"")</f>
        <v/>
      </c>
      <c r="R229" s="32">
        <f>IF(O229&lt;&gt;1,"",IF(E229&lt;&gt;"",IFERROR(MATCH(E229,Guests!$S$6:$S$505,0)+5,IFERROR(MATCH(B229,Guests!$A$6:$A$505,0)+5,"")),IFERROR(MATCH(B229,Guests!$A$6:$A$505,0)+5,"")))</f>
        <v/>
      </c>
      <c r="S229" s="32">
        <f>IF(R229="","",TRIM(INDEX(Guests!$E$1:$E$505,R229)&amp;""))</f>
        <v/>
      </c>
      <c r="T229" s="32">
        <f>IF(R229="","",IF(S229="",1,COUNTIF(Guests!$E$6:$E$505,S229)))</f>
        <v/>
      </c>
      <c r="U229" s="32">
        <f>IF(R229="","",IF(S229="",1,IF(COUNTIF(S$1:S228,S229)=0,1,0)))</f>
        <v/>
      </c>
      <c r="V229" s="32">
        <f>IF(AND(R229&lt;&gt;"",G229="Attending",U229=1),MAX(0,H229+I229-T229),0)</f>
        <v/>
      </c>
      <c r="W229" s="32">
        <f>IF(AND(O229=1,R229=""),1,0)</f>
        <v/>
      </c>
      <c r="X229" s="32">
        <f>IF(B229="",0,H229+I229)</f>
        <v/>
      </c>
      <c r="Y229" s="32">
        <f>N(Y228)+O229</f>
        <v/>
      </c>
      <c r="Z229" s="32">
        <f>IF(O229=1,Y229,"")</f>
        <v/>
      </c>
      <c r="AA229" s="32">
        <f>IF(AND(W229=1,G229="Not sure yet"),1,0)</f>
        <v/>
      </c>
      <c r="AB229" s="32">
        <f>N(AB228)+AA229</f>
        <v/>
      </c>
      <c r="AC229" s="32">
        <f>IF(AA229=1,AB229,"")</f>
        <v/>
      </c>
      <c r="AD229" s="32">
        <f>IF(D229="","",IF(LEN(D229)=10,"+1"&amp;D229,IF(AND(LEN(D229)=11,LEFT(D229,1)="1"),"+"&amp;D229,IF(LEFT(C229,1)="+","+"&amp;D229,D229))))</f>
        <v/>
      </c>
      <c r="AE229" s="32">
        <f>IF(B229="","",PROPER(IFERROR(LEFT(B229,FIND(" ",B229)-1),B229)))</f>
        <v/>
      </c>
      <c r="AF229" s="32">
        <f>SUBSTITUTE(SUBSTITUTE(SUBSTITUTE(SUBSTITUTE(SUBSTITUTE(SUBSTITUTE(SUBSTITUTE(SUBSTITUTE(SUBSTITUTE(SUBSTITUTE(AE229,"%","%25"),"&amp;","%26"),"#","%23"),"+","%2B"),"=","%3D"),"?","%3F"),CHAR(34),"%22"),CHAR(10),"%0A"),CHAR(13),"")," ","+")</f>
        <v/>
      </c>
      <c r="AG229" s="32">
        <f>IF(OR(AD229="",AE229=""),"",'Start Here'!$B$20&amp;"#p="&amp;SUBSTITUTE(AD229,"+","%2B")&amp;"&amp;n="&amp;AF229&amp;"&amp;m="&amp;SUBSTITUTE('Start Here'!$B$24,"{name}",AF229))</f>
        <v/>
      </c>
      <c r="AH229" s="32">
        <f>N(AH228)+W229</f>
        <v/>
      </c>
      <c r="AI229" s="32">
        <f>IF(W229=1,AH229,"")</f>
        <v/>
      </c>
    </row>
    <row r="230">
      <c r="A230" s="32">
        <f>IF(INDEX('Form Responses'!$A:$A,ROW())="","",INDEX('Form Responses'!$A:$A,ROW()))</f>
        <v/>
      </c>
      <c r="B230" s="32">
        <f>TRIM(INDEX('Form Responses'!$B:$B,ROW())&amp;"")</f>
        <v/>
      </c>
      <c r="C230" s="32">
        <f>IF(B230="","",TRIM(INDEX('Form Responses'!$C:$C,ROW())&amp;""))</f>
        <v/>
      </c>
      <c r="D230" s="32">
        <f>SUBSTITUTE(SUBSTITUTE(SUBSTITUTE(SUBSTITUTE(SUBSTITUTE(SUBSTITUTE(SUBSTITUTE(SUBSTITUTE(C230," ",""),"-",""),"(",""),")",""),".",""),"+",""),"/",""),CHAR(160),"")</f>
        <v/>
      </c>
      <c r="E230" s="32">
        <f>IF(LEN(D230)&gt;=10,RIGHT(D230,10),D230)</f>
        <v/>
      </c>
      <c r="F230" s="32">
        <f>IF(B230="","",TRIM(INDEX('Form Responses'!$D:$D,ROW())&amp;""))</f>
        <v/>
      </c>
      <c r="G230" s="32">
        <f>IF(B230="","",IF(LEFT(TRIM(INDEX('Form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0" s="32">
        <f>IF(B230="","",MAX(0,IFERROR(INT(--(INDEX('Form Responses'!$F:$F,ROW())&amp;"")),1)))</f>
        <v/>
      </c>
      <c r="I230" s="32">
        <f>IF(B230="","",MAX(0,IFERROR(INT(--(INDEX('Form Responses'!$G:$G,ROW())&amp;"")),0)))</f>
        <v/>
      </c>
      <c r="J230" s="32">
        <f>IF(B230="","",TRIM(INDEX('Form Responses'!$H:$H,ROW())&amp;""))</f>
        <v/>
      </c>
      <c r="K230" s="32">
        <f>IF(B230="","",TRIM(INDEX('Form Responses'!$I:$I,ROW())&amp;""))</f>
        <v/>
      </c>
      <c r="L230" s="32">
        <f>IF(B230="","",TRIM(INDEX('Form Responses'!$J:$J,ROW())&amp;""))</f>
        <v/>
      </c>
      <c r="M230" s="32">
        <f>IF(B230="","",TRIM(INDEX('Form Responses'!$K:$K,ROW())&amp;""))</f>
        <v/>
      </c>
      <c r="N230" s="32">
        <f>IF(B230="","",IF(E230&lt;&gt;"","P"&amp;E230,"N"&amp;B230))</f>
        <v/>
      </c>
      <c r="O230" s="32">
        <f>IF(N230="",0,IF(COUNTIF(N231:N$602,N230)=0,1,0))</f>
        <v/>
      </c>
      <c r="P230" s="32">
        <f>IF(AND(O230=1,E230&lt;&gt;""),E230,"")</f>
        <v/>
      </c>
      <c r="Q230" s="32">
        <f>IF(O230=1,B230,"")</f>
        <v/>
      </c>
      <c r="R230" s="32">
        <f>IF(O230&lt;&gt;1,"",IF(E230&lt;&gt;"",IFERROR(MATCH(E230,Guests!$S$6:$S$505,0)+5,IFERROR(MATCH(B230,Guests!$A$6:$A$505,0)+5,"")),IFERROR(MATCH(B230,Guests!$A$6:$A$505,0)+5,"")))</f>
        <v/>
      </c>
      <c r="S230" s="32">
        <f>IF(R230="","",TRIM(INDEX(Guests!$E$1:$E$505,R230)&amp;""))</f>
        <v/>
      </c>
      <c r="T230" s="32">
        <f>IF(R230="","",IF(S230="",1,COUNTIF(Guests!$E$6:$E$505,S230)))</f>
        <v/>
      </c>
      <c r="U230" s="32">
        <f>IF(R230="","",IF(S230="",1,IF(COUNTIF(S$1:S229,S230)=0,1,0)))</f>
        <v/>
      </c>
      <c r="V230" s="32">
        <f>IF(AND(R230&lt;&gt;"",G230="Attending",U230=1),MAX(0,H230+I230-T230),0)</f>
        <v/>
      </c>
      <c r="W230" s="32">
        <f>IF(AND(O230=1,R230=""),1,0)</f>
        <v/>
      </c>
      <c r="X230" s="32">
        <f>IF(B230="",0,H230+I230)</f>
        <v/>
      </c>
      <c r="Y230" s="32">
        <f>N(Y229)+O230</f>
        <v/>
      </c>
      <c r="Z230" s="32">
        <f>IF(O230=1,Y230,"")</f>
        <v/>
      </c>
      <c r="AA230" s="32">
        <f>IF(AND(W230=1,G230="Not sure yet"),1,0)</f>
        <v/>
      </c>
      <c r="AB230" s="32">
        <f>N(AB229)+AA230</f>
        <v/>
      </c>
      <c r="AC230" s="32">
        <f>IF(AA230=1,AB230,"")</f>
        <v/>
      </c>
      <c r="AD230" s="32">
        <f>IF(D230="","",IF(LEN(D230)=10,"+1"&amp;D230,IF(AND(LEN(D230)=11,LEFT(D230,1)="1"),"+"&amp;D230,IF(LEFT(C230,1)="+","+"&amp;D230,D230))))</f>
        <v/>
      </c>
      <c r="AE230" s="32">
        <f>IF(B230="","",PROPER(IFERROR(LEFT(B230,FIND(" ",B230)-1),B230)))</f>
        <v/>
      </c>
      <c r="AF230" s="32">
        <f>SUBSTITUTE(SUBSTITUTE(SUBSTITUTE(SUBSTITUTE(SUBSTITUTE(SUBSTITUTE(SUBSTITUTE(SUBSTITUTE(SUBSTITUTE(SUBSTITUTE(AE230,"%","%25"),"&amp;","%26"),"#","%23"),"+","%2B"),"=","%3D"),"?","%3F"),CHAR(34),"%22"),CHAR(10),"%0A"),CHAR(13),"")," ","+")</f>
        <v/>
      </c>
      <c r="AG230" s="32">
        <f>IF(OR(AD230="",AE230=""),"",'Start Here'!$B$20&amp;"#p="&amp;SUBSTITUTE(AD230,"+","%2B")&amp;"&amp;n="&amp;AF230&amp;"&amp;m="&amp;SUBSTITUTE('Start Here'!$B$24,"{name}",AF230))</f>
        <v/>
      </c>
      <c r="AH230" s="32">
        <f>N(AH229)+W230</f>
        <v/>
      </c>
      <c r="AI230" s="32">
        <f>IF(W230=1,AH230,"")</f>
        <v/>
      </c>
    </row>
    <row r="231">
      <c r="A231" s="32">
        <f>IF(INDEX('Form Responses'!$A:$A,ROW())="","",INDEX('Form Responses'!$A:$A,ROW()))</f>
        <v/>
      </c>
      <c r="B231" s="32">
        <f>TRIM(INDEX('Form Responses'!$B:$B,ROW())&amp;"")</f>
        <v/>
      </c>
      <c r="C231" s="32">
        <f>IF(B231="","",TRIM(INDEX('Form Responses'!$C:$C,ROW())&amp;""))</f>
        <v/>
      </c>
      <c r="D231" s="32">
        <f>SUBSTITUTE(SUBSTITUTE(SUBSTITUTE(SUBSTITUTE(SUBSTITUTE(SUBSTITUTE(SUBSTITUTE(SUBSTITUTE(C231," ",""),"-",""),"(",""),")",""),".",""),"+",""),"/",""),CHAR(160),"")</f>
        <v/>
      </c>
      <c r="E231" s="32">
        <f>IF(LEN(D231)&gt;=10,RIGHT(D231,10),D231)</f>
        <v/>
      </c>
      <c r="F231" s="32">
        <f>IF(B231="","",TRIM(INDEX('Form Responses'!$D:$D,ROW())&amp;""))</f>
        <v/>
      </c>
      <c r="G231" s="32">
        <f>IF(B231="","",IF(LEFT(TRIM(INDEX('Form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1" s="32">
        <f>IF(B231="","",MAX(0,IFERROR(INT(--(INDEX('Form Responses'!$F:$F,ROW())&amp;"")),1)))</f>
        <v/>
      </c>
      <c r="I231" s="32">
        <f>IF(B231="","",MAX(0,IFERROR(INT(--(INDEX('Form Responses'!$G:$G,ROW())&amp;"")),0)))</f>
        <v/>
      </c>
      <c r="J231" s="32">
        <f>IF(B231="","",TRIM(INDEX('Form Responses'!$H:$H,ROW())&amp;""))</f>
        <v/>
      </c>
      <c r="K231" s="32">
        <f>IF(B231="","",TRIM(INDEX('Form Responses'!$I:$I,ROW())&amp;""))</f>
        <v/>
      </c>
      <c r="L231" s="32">
        <f>IF(B231="","",TRIM(INDEX('Form Responses'!$J:$J,ROW())&amp;""))</f>
        <v/>
      </c>
      <c r="M231" s="32">
        <f>IF(B231="","",TRIM(INDEX('Form Responses'!$K:$K,ROW())&amp;""))</f>
        <v/>
      </c>
      <c r="N231" s="32">
        <f>IF(B231="","",IF(E231&lt;&gt;"","P"&amp;E231,"N"&amp;B231))</f>
        <v/>
      </c>
      <c r="O231" s="32">
        <f>IF(N231="",0,IF(COUNTIF(N232:N$602,N231)=0,1,0))</f>
        <v/>
      </c>
      <c r="P231" s="32">
        <f>IF(AND(O231=1,E231&lt;&gt;""),E231,"")</f>
        <v/>
      </c>
      <c r="Q231" s="32">
        <f>IF(O231=1,B231,"")</f>
        <v/>
      </c>
      <c r="R231" s="32">
        <f>IF(O231&lt;&gt;1,"",IF(E231&lt;&gt;"",IFERROR(MATCH(E231,Guests!$S$6:$S$505,0)+5,IFERROR(MATCH(B231,Guests!$A$6:$A$505,0)+5,"")),IFERROR(MATCH(B231,Guests!$A$6:$A$505,0)+5,"")))</f>
        <v/>
      </c>
      <c r="S231" s="32">
        <f>IF(R231="","",TRIM(INDEX(Guests!$E$1:$E$505,R231)&amp;""))</f>
        <v/>
      </c>
      <c r="T231" s="32">
        <f>IF(R231="","",IF(S231="",1,COUNTIF(Guests!$E$6:$E$505,S231)))</f>
        <v/>
      </c>
      <c r="U231" s="32">
        <f>IF(R231="","",IF(S231="",1,IF(COUNTIF(S$1:S230,S231)=0,1,0)))</f>
        <v/>
      </c>
      <c r="V231" s="32">
        <f>IF(AND(R231&lt;&gt;"",G231="Attending",U231=1),MAX(0,H231+I231-T231),0)</f>
        <v/>
      </c>
      <c r="W231" s="32">
        <f>IF(AND(O231=1,R231=""),1,0)</f>
        <v/>
      </c>
      <c r="X231" s="32">
        <f>IF(B231="",0,H231+I231)</f>
        <v/>
      </c>
      <c r="Y231" s="32">
        <f>N(Y230)+O231</f>
        <v/>
      </c>
      <c r="Z231" s="32">
        <f>IF(O231=1,Y231,"")</f>
        <v/>
      </c>
      <c r="AA231" s="32">
        <f>IF(AND(W231=1,G231="Not sure yet"),1,0)</f>
        <v/>
      </c>
      <c r="AB231" s="32">
        <f>N(AB230)+AA231</f>
        <v/>
      </c>
      <c r="AC231" s="32">
        <f>IF(AA231=1,AB231,"")</f>
        <v/>
      </c>
      <c r="AD231" s="32">
        <f>IF(D231="","",IF(LEN(D231)=10,"+1"&amp;D231,IF(AND(LEN(D231)=11,LEFT(D231,1)="1"),"+"&amp;D231,IF(LEFT(C231,1)="+","+"&amp;D231,D231))))</f>
        <v/>
      </c>
      <c r="AE231" s="32">
        <f>IF(B231="","",PROPER(IFERROR(LEFT(B231,FIND(" ",B231)-1),B231)))</f>
        <v/>
      </c>
      <c r="AF231" s="32">
        <f>SUBSTITUTE(SUBSTITUTE(SUBSTITUTE(SUBSTITUTE(SUBSTITUTE(SUBSTITUTE(SUBSTITUTE(SUBSTITUTE(SUBSTITUTE(SUBSTITUTE(AE231,"%","%25"),"&amp;","%26"),"#","%23"),"+","%2B"),"=","%3D"),"?","%3F"),CHAR(34),"%22"),CHAR(10),"%0A"),CHAR(13),"")," ","+")</f>
        <v/>
      </c>
      <c r="AG231" s="32">
        <f>IF(OR(AD231="",AE231=""),"",'Start Here'!$B$20&amp;"#p="&amp;SUBSTITUTE(AD231,"+","%2B")&amp;"&amp;n="&amp;AF231&amp;"&amp;m="&amp;SUBSTITUTE('Start Here'!$B$24,"{name}",AF231))</f>
        <v/>
      </c>
      <c r="AH231" s="32">
        <f>N(AH230)+W231</f>
        <v/>
      </c>
      <c r="AI231" s="32">
        <f>IF(W231=1,AH231,"")</f>
        <v/>
      </c>
    </row>
    <row r="232">
      <c r="A232" s="32">
        <f>IF(INDEX('Form Responses'!$A:$A,ROW())="","",INDEX('Form Responses'!$A:$A,ROW()))</f>
        <v/>
      </c>
      <c r="B232" s="32">
        <f>TRIM(INDEX('Form Responses'!$B:$B,ROW())&amp;"")</f>
        <v/>
      </c>
      <c r="C232" s="32">
        <f>IF(B232="","",TRIM(INDEX('Form Responses'!$C:$C,ROW())&amp;""))</f>
        <v/>
      </c>
      <c r="D232" s="32">
        <f>SUBSTITUTE(SUBSTITUTE(SUBSTITUTE(SUBSTITUTE(SUBSTITUTE(SUBSTITUTE(SUBSTITUTE(SUBSTITUTE(C232," ",""),"-",""),"(",""),")",""),".",""),"+",""),"/",""),CHAR(160),"")</f>
        <v/>
      </c>
      <c r="E232" s="32">
        <f>IF(LEN(D232)&gt;=10,RIGHT(D232,10),D232)</f>
        <v/>
      </c>
      <c r="F232" s="32">
        <f>IF(B232="","",TRIM(INDEX('Form Responses'!$D:$D,ROW())&amp;""))</f>
        <v/>
      </c>
      <c r="G232" s="32">
        <f>IF(B232="","",IF(LEFT(TRIM(INDEX('Form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2" s="32">
        <f>IF(B232="","",MAX(0,IFERROR(INT(--(INDEX('Form Responses'!$F:$F,ROW())&amp;"")),1)))</f>
        <v/>
      </c>
      <c r="I232" s="32">
        <f>IF(B232="","",MAX(0,IFERROR(INT(--(INDEX('Form Responses'!$G:$G,ROW())&amp;"")),0)))</f>
        <v/>
      </c>
      <c r="J232" s="32">
        <f>IF(B232="","",TRIM(INDEX('Form Responses'!$H:$H,ROW())&amp;""))</f>
        <v/>
      </c>
      <c r="K232" s="32">
        <f>IF(B232="","",TRIM(INDEX('Form Responses'!$I:$I,ROW())&amp;""))</f>
        <v/>
      </c>
      <c r="L232" s="32">
        <f>IF(B232="","",TRIM(INDEX('Form Responses'!$J:$J,ROW())&amp;""))</f>
        <v/>
      </c>
      <c r="M232" s="32">
        <f>IF(B232="","",TRIM(INDEX('Form Responses'!$K:$K,ROW())&amp;""))</f>
        <v/>
      </c>
      <c r="N232" s="32">
        <f>IF(B232="","",IF(E232&lt;&gt;"","P"&amp;E232,"N"&amp;B232))</f>
        <v/>
      </c>
      <c r="O232" s="32">
        <f>IF(N232="",0,IF(COUNTIF(N233:N$602,N232)=0,1,0))</f>
        <v/>
      </c>
      <c r="P232" s="32">
        <f>IF(AND(O232=1,E232&lt;&gt;""),E232,"")</f>
        <v/>
      </c>
      <c r="Q232" s="32">
        <f>IF(O232=1,B232,"")</f>
        <v/>
      </c>
      <c r="R232" s="32">
        <f>IF(O232&lt;&gt;1,"",IF(E232&lt;&gt;"",IFERROR(MATCH(E232,Guests!$S$6:$S$505,0)+5,IFERROR(MATCH(B232,Guests!$A$6:$A$505,0)+5,"")),IFERROR(MATCH(B232,Guests!$A$6:$A$505,0)+5,"")))</f>
        <v/>
      </c>
      <c r="S232" s="32">
        <f>IF(R232="","",TRIM(INDEX(Guests!$E$1:$E$505,R232)&amp;""))</f>
        <v/>
      </c>
      <c r="T232" s="32">
        <f>IF(R232="","",IF(S232="",1,COUNTIF(Guests!$E$6:$E$505,S232)))</f>
        <v/>
      </c>
      <c r="U232" s="32">
        <f>IF(R232="","",IF(S232="",1,IF(COUNTIF(S$1:S231,S232)=0,1,0)))</f>
        <v/>
      </c>
      <c r="V232" s="32">
        <f>IF(AND(R232&lt;&gt;"",G232="Attending",U232=1),MAX(0,H232+I232-T232),0)</f>
        <v/>
      </c>
      <c r="W232" s="32">
        <f>IF(AND(O232=1,R232=""),1,0)</f>
        <v/>
      </c>
      <c r="X232" s="32">
        <f>IF(B232="",0,H232+I232)</f>
        <v/>
      </c>
      <c r="Y232" s="32">
        <f>N(Y231)+O232</f>
        <v/>
      </c>
      <c r="Z232" s="32">
        <f>IF(O232=1,Y232,"")</f>
        <v/>
      </c>
      <c r="AA232" s="32">
        <f>IF(AND(W232=1,G232="Not sure yet"),1,0)</f>
        <v/>
      </c>
      <c r="AB232" s="32">
        <f>N(AB231)+AA232</f>
        <v/>
      </c>
      <c r="AC232" s="32">
        <f>IF(AA232=1,AB232,"")</f>
        <v/>
      </c>
      <c r="AD232" s="32">
        <f>IF(D232="","",IF(LEN(D232)=10,"+1"&amp;D232,IF(AND(LEN(D232)=11,LEFT(D232,1)="1"),"+"&amp;D232,IF(LEFT(C232,1)="+","+"&amp;D232,D232))))</f>
        <v/>
      </c>
      <c r="AE232" s="32">
        <f>IF(B232="","",PROPER(IFERROR(LEFT(B232,FIND(" ",B232)-1),B232)))</f>
        <v/>
      </c>
      <c r="AF232" s="32">
        <f>SUBSTITUTE(SUBSTITUTE(SUBSTITUTE(SUBSTITUTE(SUBSTITUTE(SUBSTITUTE(SUBSTITUTE(SUBSTITUTE(SUBSTITUTE(SUBSTITUTE(AE232,"%","%25"),"&amp;","%26"),"#","%23"),"+","%2B"),"=","%3D"),"?","%3F"),CHAR(34),"%22"),CHAR(10),"%0A"),CHAR(13),"")," ","+")</f>
        <v/>
      </c>
      <c r="AG232" s="32">
        <f>IF(OR(AD232="",AE232=""),"",'Start Here'!$B$20&amp;"#p="&amp;SUBSTITUTE(AD232,"+","%2B")&amp;"&amp;n="&amp;AF232&amp;"&amp;m="&amp;SUBSTITUTE('Start Here'!$B$24,"{name}",AF232))</f>
        <v/>
      </c>
      <c r="AH232" s="32">
        <f>N(AH231)+W232</f>
        <v/>
      </c>
      <c r="AI232" s="32">
        <f>IF(W232=1,AH232,"")</f>
        <v/>
      </c>
    </row>
    <row r="233">
      <c r="A233" s="32">
        <f>IF(INDEX('Form Responses'!$A:$A,ROW())="","",INDEX('Form Responses'!$A:$A,ROW()))</f>
        <v/>
      </c>
      <c r="B233" s="32">
        <f>TRIM(INDEX('Form Responses'!$B:$B,ROW())&amp;"")</f>
        <v/>
      </c>
      <c r="C233" s="32">
        <f>IF(B233="","",TRIM(INDEX('Form Responses'!$C:$C,ROW())&amp;""))</f>
        <v/>
      </c>
      <c r="D233" s="32">
        <f>SUBSTITUTE(SUBSTITUTE(SUBSTITUTE(SUBSTITUTE(SUBSTITUTE(SUBSTITUTE(SUBSTITUTE(SUBSTITUTE(C233," ",""),"-",""),"(",""),")",""),".",""),"+",""),"/",""),CHAR(160),"")</f>
        <v/>
      </c>
      <c r="E233" s="32">
        <f>IF(LEN(D233)&gt;=10,RIGHT(D233,10),D233)</f>
        <v/>
      </c>
      <c r="F233" s="32">
        <f>IF(B233="","",TRIM(INDEX('Form Responses'!$D:$D,ROW())&amp;""))</f>
        <v/>
      </c>
      <c r="G233" s="32">
        <f>IF(B233="","",IF(LEFT(TRIM(INDEX('Form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3" s="32">
        <f>IF(B233="","",MAX(0,IFERROR(INT(--(INDEX('Form Responses'!$F:$F,ROW())&amp;"")),1)))</f>
        <v/>
      </c>
      <c r="I233" s="32">
        <f>IF(B233="","",MAX(0,IFERROR(INT(--(INDEX('Form Responses'!$G:$G,ROW())&amp;"")),0)))</f>
        <v/>
      </c>
      <c r="J233" s="32">
        <f>IF(B233="","",TRIM(INDEX('Form Responses'!$H:$H,ROW())&amp;""))</f>
        <v/>
      </c>
      <c r="K233" s="32">
        <f>IF(B233="","",TRIM(INDEX('Form Responses'!$I:$I,ROW())&amp;""))</f>
        <v/>
      </c>
      <c r="L233" s="32">
        <f>IF(B233="","",TRIM(INDEX('Form Responses'!$J:$J,ROW())&amp;""))</f>
        <v/>
      </c>
      <c r="M233" s="32">
        <f>IF(B233="","",TRIM(INDEX('Form Responses'!$K:$K,ROW())&amp;""))</f>
        <v/>
      </c>
      <c r="N233" s="32">
        <f>IF(B233="","",IF(E233&lt;&gt;"","P"&amp;E233,"N"&amp;B233))</f>
        <v/>
      </c>
      <c r="O233" s="32">
        <f>IF(N233="",0,IF(COUNTIF(N234:N$602,N233)=0,1,0))</f>
        <v/>
      </c>
      <c r="P233" s="32">
        <f>IF(AND(O233=1,E233&lt;&gt;""),E233,"")</f>
        <v/>
      </c>
      <c r="Q233" s="32">
        <f>IF(O233=1,B233,"")</f>
        <v/>
      </c>
      <c r="R233" s="32">
        <f>IF(O233&lt;&gt;1,"",IF(E233&lt;&gt;"",IFERROR(MATCH(E233,Guests!$S$6:$S$505,0)+5,IFERROR(MATCH(B233,Guests!$A$6:$A$505,0)+5,"")),IFERROR(MATCH(B233,Guests!$A$6:$A$505,0)+5,"")))</f>
        <v/>
      </c>
      <c r="S233" s="32">
        <f>IF(R233="","",TRIM(INDEX(Guests!$E$1:$E$505,R233)&amp;""))</f>
        <v/>
      </c>
      <c r="T233" s="32">
        <f>IF(R233="","",IF(S233="",1,COUNTIF(Guests!$E$6:$E$505,S233)))</f>
        <v/>
      </c>
      <c r="U233" s="32">
        <f>IF(R233="","",IF(S233="",1,IF(COUNTIF(S$1:S232,S233)=0,1,0)))</f>
        <v/>
      </c>
      <c r="V233" s="32">
        <f>IF(AND(R233&lt;&gt;"",G233="Attending",U233=1),MAX(0,H233+I233-T233),0)</f>
        <v/>
      </c>
      <c r="W233" s="32">
        <f>IF(AND(O233=1,R233=""),1,0)</f>
        <v/>
      </c>
      <c r="X233" s="32">
        <f>IF(B233="",0,H233+I233)</f>
        <v/>
      </c>
      <c r="Y233" s="32">
        <f>N(Y232)+O233</f>
        <v/>
      </c>
      <c r="Z233" s="32">
        <f>IF(O233=1,Y233,"")</f>
        <v/>
      </c>
      <c r="AA233" s="32">
        <f>IF(AND(W233=1,G233="Not sure yet"),1,0)</f>
        <v/>
      </c>
      <c r="AB233" s="32">
        <f>N(AB232)+AA233</f>
        <v/>
      </c>
      <c r="AC233" s="32">
        <f>IF(AA233=1,AB233,"")</f>
        <v/>
      </c>
      <c r="AD233" s="32">
        <f>IF(D233="","",IF(LEN(D233)=10,"+1"&amp;D233,IF(AND(LEN(D233)=11,LEFT(D233,1)="1"),"+"&amp;D233,IF(LEFT(C233,1)="+","+"&amp;D233,D233))))</f>
        <v/>
      </c>
      <c r="AE233" s="32">
        <f>IF(B233="","",PROPER(IFERROR(LEFT(B233,FIND(" ",B233)-1),B233)))</f>
        <v/>
      </c>
      <c r="AF233" s="32">
        <f>SUBSTITUTE(SUBSTITUTE(SUBSTITUTE(SUBSTITUTE(SUBSTITUTE(SUBSTITUTE(SUBSTITUTE(SUBSTITUTE(SUBSTITUTE(SUBSTITUTE(AE233,"%","%25"),"&amp;","%26"),"#","%23"),"+","%2B"),"=","%3D"),"?","%3F"),CHAR(34),"%22"),CHAR(10),"%0A"),CHAR(13),"")," ","+")</f>
        <v/>
      </c>
      <c r="AG233" s="32">
        <f>IF(OR(AD233="",AE233=""),"",'Start Here'!$B$20&amp;"#p="&amp;SUBSTITUTE(AD233,"+","%2B")&amp;"&amp;n="&amp;AF233&amp;"&amp;m="&amp;SUBSTITUTE('Start Here'!$B$24,"{name}",AF233))</f>
        <v/>
      </c>
      <c r="AH233" s="32">
        <f>N(AH232)+W233</f>
        <v/>
      </c>
      <c r="AI233" s="32">
        <f>IF(W233=1,AH233,"")</f>
        <v/>
      </c>
    </row>
    <row r="234">
      <c r="A234" s="32">
        <f>IF(INDEX('Form Responses'!$A:$A,ROW())="","",INDEX('Form Responses'!$A:$A,ROW()))</f>
        <v/>
      </c>
      <c r="B234" s="32">
        <f>TRIM(INDEX('Form Responses'!$B:$B,ROW())&amp;"")</f>
        <v/>
      </c>
      <c r="C234" s="32">
        <f>IF(B234="","",TRIM(INDEX('Form Responses'!$C:$C,ROW())&amp;""))</f>
        <v/>
      </c>
      <c r="D234" s="32">
        <f>SUBSTITUTE(SUBSTITUTE(SUBSTITUTE(SUBSTITUTE(SUBSTITUTE(SUBSTITUTE(SUBSTITUTE(SUBSTITUTE(C234," ",""),"-",""),"(",""),")",""),".",""),"+",""),"/",""),CHAR(160),"")</f>
        <v/>
      </c>
      <c r="E234" s="32">
        <f>IF(LEN(D234)&gt;=10,RIGHT(D234,10),D234)</f>
        <v/>
      </c>
      <c r="F234" s="32">
        <f>IF(B234="","",TRIM(INDEX('Form Responses'!$D:$D,ROW())&amp;""))</f>
        <v/>
      </c>
      <c r="G234" s="32">
        <f>IF(B234="","",IF(LEFT(TRIM(INDEX('Form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4" s="32">
        <f>IF(B234="","",MAX(0,IFERROR(INT(--(INDEX('Form Responses'!$F:$F,ROW())&amp;"")),1)))</f>
        <v/>
      </c>
      <c r="I234" s="32">
        <f>IF(B234="","",MAX(0,IFERROR(INT(--(INDEX('Form Responses'!$G:$G,ROW())&amp;"")),0)))</f>
        <v/>
      </c>
      <c r="J234" s="32">
        <f>IF(B234="","",TRIM(INDEX('Form Responses'!$H:$H,ROW())&amp;""))</f>
        <v/>
      </c>
      <c r="K234" s="32">
        <f>IF(B234="","",TRIM(INDEX('Form Responses'!$I:$I,ROW())&amp;""))</f>
        <v/>
      </c>
      <c r="L234" s="32">
        <f>IF(B234="","",TRIM(INDEX('Form Responses'!$J:$J,ROW())&amp;""))</f>
        <v/>
      </c>
      <c r="M234" s="32">
        <f>IF(B234="","",TRIM(INDEX('Form Responses'!$K:$K,ROW())&amp;""))</f>
        <v/>
      </c>
      <c r="N234" s="32">
        <f>IF(B234="","",IF(E234&lt;&gt;"","P"&amp;E234,"N"&amp;B234))</f>
        <v/>
      </c>
      <c r="O234" s="32">
        <f>IF(N234="",0,IF(COUNTIF(N235:N$602,N234)=0,1,0))</f>
        <v/>
      </c>
      <c r="P234" s="32">
        <f>IF(AND(O234=1,E234&lt;&gt;""),E234,"")</f>
        <v/>
      </c>
      <c r="Q234" s="32">
        <f>IF(O234=1,B234,"")</f>
        <v/>
      </c>
      <c r="R234" s="32">
        <f>IF(O234&lt;&gt;1,"",IF(E234&lt;&gt;"",IFERROR(MATCH(E234,Guests!$S$6:$S$505,0)+5,IFERROR(MATCH(B234,Guests!$A$6:$A$505,0)+5,"")),IFERROR(MATCH(B234,Guests!$A$6:$A$505,0)+5,"")))</f>
        <v/>
      </c>
      <c r="S234" s="32">
        <f>IF(R234="","",TRIM(INDEX(Guests!$E$1:$E$505,R234)&amp;""))</f>
        <v/>
      </c>
      <c r="T234" s="32">
        <f>IF(R234="","",IF(S234="",1,COUNTIF(Guests!$E$6:$E$505,S234)))</f>
        <v/>
      </c>
      <c r="U234" s="32">
        <f>IF(R234="","",IF(S234="",1,IF(COUNTIF(S$1:S233,S234)=0,1,0)))</f>
        <v/>
      </c>
      <c r="V234" s="32">
        <f>IF(AND(R234&lt;&gt;"",G234="Attending",U234=1),MAX(0,H234+I234-T234),0)</f>
        <v/>
      </c>
      <c r="W234" s="32">
        <f>IF(AND(O234=1,R234=""),1,0)</f>
        <v/>
      </c>
      <c r="X234" s="32">
        <f>IF(B234="",0,H234+I234)</f>
        <v/>
      </c>
      <c r="Y234" s="32">
        <f>N(Y233)+O234</f>
        <v/>
      </c>
      <c r="Z234" s="32">
        <f>IF(O234=1,Y234,"")</f>
        <v/>
      </c>
      <c r="AA234" s="32">
        <f>IF(AND(W234=1,G234="Not sure yet"),1,0)</f>
        <v/>
      </c>
      <c r="AB234" s="32">
        <f>N(AB233)+AA234</f>
        <v/>
      </c>
      <c r="AC234" s="32">
        <f>IF(AA234=1,AB234,"")</f>
        <v/>
      </c>
      <c r="AD234" s="32">
        <f>IF(D234="","",IF(LEN(D234)=10,"+1"&amp;D234,IF(AND(LEN(D234)=11,LEFT(D234,1)="1"),"+"&amp;D234,IF(LEFT(C234,1)="+","+"&amp;D234,D234))))</f>
        <v/>
      </c>
      <c r="AE234" s="32">
        <f>IF(B234="","",PROPER(IFERROR(LEFT(B234,FIND(" ",B234)-1),B234)))</f>
        <v/>
      </c>
      <c r="AF234" s="32">
        <f>SUBSTITUTE(SUBSTITUTE(SUBSTITUTE(SUBSTITUTE(SUBSTITUTE(SUBSTITUTE(SUBSTITUTE(SUBSTITUTE(SUBSTITUTE(SUBSTITUTE(AE234,"%","%25"),"&amp;","%26"),"#","%23"),"+","%2B"),"=","%3D"),"?","%3F"),CHAR(34),"%22"),CHAR(10),"%0A"),CHAR(13),"")," ","+")</f>
        <v/>
      </c>
      <c r="AG234" s="32">
        <f>IF(OR(AD234="",AE234=""),"",'Start Here'!$B$20&amp;"#p="&amp;SUBSTITUTE(AD234,"+","%2B")&amp;"&amp;n="&amp;AF234&amp;"&amp;m="&amp;SUBSTITUTE('Start Here'!$B$24,"{name}",AF234))</f>
        <v/>
      </c>
      <c r="AH234" s="32">
        <f>N(AH233)+W234</f>
        <v/>
      </c>
      <c r="AI234" s="32">
        <f>IF(W234=1,AH234,"")</f>
        <v/>
      </c>
    </row>
    <row r="235">
      <c r="A235" s="32">
        <f>IF(INDEX('Form Responses'!$A:$A,ROW())="","",INDEX('Form Responses'!$A:$A,ROW()))</f>
        <v/>
      </c>
      <c r="B235" s="32">
        <f>TRIM(INDEX('Form Responses'!$B:$B,ROW())&amp;"")</f>
        <v/>
      </c>
      <c r="C235" s="32">
        <f>IF(B235="","",TRIM(INDEX('Form Responses'!$C:$C,ROW())&amp;""))</f>
        <v/>
      </c>
      <c r="D235" s="32">
        <f>SUBSTITUTE(SUBSTITUTE(SUBSTITUTE(SUBSTITUTE(SUBSTITUTE(SUBSTITUTE(SUBSTITUTE(SUBSTITUTE(C235," ",""),"-",""),"(",""),")",""),".",""),"+",""),"/",""),CHAR(160),"")</f>
        <v/>
      </c>
      <c r="E235" s="32">
        <f>IF(LEN(D235)&gt;=10,RIGHT(D235,10),D235)</f>
        <v/>
      </c>
      <c r="F235" s="32">
        <f>IF(B235="","",TRIM(INDEX('Form Responses'!$D:$D,ROW())&amp;""))</f>
        <v/>
      </c>
      <c r="G235" s="32">
        <f>IF(B235="","",IF(LEFT(TRIM(INDEX('Form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5" s="32">
        <f>IF(B235="","",MAX(0,IFERROR(INT(--(INDEX('Form Responses'!$F:$F,ROW())&amp;"")),1)))</f>
        <v/>
      </c>
      <c r="I235" s="32">
        <f>IF(B235="","",MAX(0,IFERROR(INT(--(INDEX('Form Responses'!$G:$G,ROW())&amp;"")),0)))</f>
        <v/>
      </c>
      <c r="J235" s="32">
        <f>IF(B235="","",TRIM(INDEX('Form Responses'!$H:$H,ROW())&amp;""))</f>
        <v/>
      </c>
      <c r="K235" s="32">
        <f>IF(B235="","",TRIM(INDEX('Form Responses'!$I:$I,ROW())&amp;""))</f>
        <v/>
      </c>
      <c r="L235" s="32">
        <f>IF(B235="","",TRIM(INDEX('Form Responses'!$J:$J,ROW())&amp;""))</f>
        <v/>
      </c>
      <c r="M235" s="32">
        <f>IF(B235="","",TRIM(INDEX('Form Responses'!$K:$K,ROW())&amp;""))</f>
        <v/>
      </c>
      <c r="N235" s="32">
        <f>IF(B235="","",IF(E235&lt;&gt;"","P"&amp;E235,"N"&amp;B235))</f>
        <v/>
      </c>
      <c r="O235" s="32">
        <f>IF(N235="",0,IF(COUNTIF(N236:N$602,N235)=0,1,0))</f>
        <v/>
      </c>
      <c r="P235" s="32">
        <f>IF(AND(O235=1,E235&lt;&gt;""),E235,"")</f>
        <v/>
      </c>
      <c r="Q235" s="32">
        <f>IF(O235=1,B235,"")</f>
        <v/>
      </c>
      <c r="R235" s="32">
        <f>IF(O235&lt;&gt;1,"",IF(E235&lt;&gt;"",IFERROR(MATCH(E235,Guests!$S$6:$S$505,0)+5,IFERROR(MATCH(B235,Guests!$A$6:$A$505,0)+5,"")),IFERROR(MATCH(B235,Guests!$A$6:$A$505,0)+5,"")))</f>
        <v/>
      </c>
      <c r="S235" s="32">
        <f>IF(R235="","",TRIM(INDEX(Guests!$E$1:$E$505,R235)&amp;""))</f>
        <v/>
      </c>
      <c r="T235" s="32">
        <f>IF(R235="","",IF(S235="",1,COUNTIF(Guests!$E$6:$E$505,S235)))</f>
        <v/>
      </c>
      <c r="U235" s="32">
        <f>IF(R235="","",IF(S235="",1,IF(COUNTIF(S$1:S234,S235)=0,1,0)))</f>
        <v/>
      </c>
      <c r="V235" s="32">
        <f>IF(AND(R235&lt;&gt;"",G235="Attending",U235=1),MAX(0,H235+I235-T235),0)</f>
        <v/>
      </c>
      <c r="W235" s="32">
        <f>IF(AND(O235=1,R235=""),1,0)</f>
        <v/>
      </c>
      <c r="X235" s="32">
        <f>IF(B235="",0,H235+I235)</f>
        <v/>
      </c>
      <c r="Y235" s="32">
        <f>N(Y234)+O235</f>
        <v/>
      </c>
      <c r="Z235" s="32">
        <f>IF(O235=1,Y235,"")</f>
        <v/>
      </c>
      <c r="AA235" s="32">
        <f>IF(AND(W235=1,G235="Not sure yet"),1,0)</f>
        <v/>
      </c>
      <c r="AB235" s="32">
        <f>N(AB234)+AA235</f>
        <v/>
      </c>
      <c r="AC235" s="32">
        <f>IF(AA235=1,AB235,"")</f>
        <v/>
      </c>
      <c r="AD235" s="32">
        <f>IF(D235="","",IF(LEN(D235)=10,"+1"&amp;D235,IF(AND(LEN(D235)=11,LEFT(D235,1)="1"),"+"&amp;D235,IF(LEFT(C235,1)="+","+"&amp;D235,D235))))</f>
        <v/>
      </c>
      <c r="AE235" s="32">
        <f>IF(B235="","",PROPER(IFERROR(LEFT(B235,FIND(" ",B235)-1),B235)))</f>
        <v/>
      </c>
      <c r="AF235" s="32">
        <f>SUBSTITUTE(SUBSTITUTE(SUBSTITUTE(SUBSTITUTE(SUBSTITUTE(SUBSTITUTE(SUBSTITUTE(SUBSTITUTE(SUBSTITUTE(SUBSTITUTE(AE235,"%","%25"),"&amp;","%26"),"#","%23"),"+","%2B"),"=","%3D"),"?","%3F"),CHAR(34),"%22"),CHAR(10),"%0A"),CHAR(13),"")," ","+")</f>
        <v/>
      </c>
      <c r="AG235" s="32">
        <f>IF(OR(AD235="",AE235=""),"",'Start Here'!$B$20&amp;"#p="&amp;SUBSTITUTE(AD235,"+","%2B")&amp;"&amp;n="&amp;AF235&amp;"&amp;m="&amp;SUBSTITUTE('Start Here'!$B$24,"{name}",AF235))</f>
        <v/>
      </c>
      <c r="AH235" s="32">
        <f>N(AH234)+W235</f>
        <v/>
      </c>
      <c r="AI235" s="32">
        <f>IF(W235=1,AH235,"")</f>
        <v/>
      </c>
    </row>
    <row r="236">
      <c r="A236" s="32">
        <f>IF(INDEX('Form Responses'!$A:$A,ROW())="","",INDEX('Form Responses'!$A:$A,ROW()))</f>
        <v/>
      </c>
      <c r="B236" s="32">
        <f>TRIM(INDEX('Form Responses'!$B:$B,ROW())&amp;"")</f>
        <v/>
      </c>
      <c r="C236" s="32">
        <f>IF(B236="","",TRIM(INDEX('Form Responses'!$C:$C,ROW())&amp;""))</f>
        <v/>
      </c>
      <c r="D236" s="32">
        <f>SUBSTITUTE(SUBSTITUTE(SUBSTITUTE(SUBSTITUTE(SUBSTITUTE(SUBSTITUTE(SUBSTITUTE(SUBSTITUTE(C236," ",""),"-",""),"(",""),")",""),".",""),"+",""),"/",""),CHAR(160),"")</f>
        <v/>
      </c>
      <c r="E236" s="32">
        <f>IF(LEN(D236)&gt;=10,RIGHT(D236,10),D236)</f>
        <v/>
      </c>
      <c r="F236" s="32">
        <f>IF(B236="","",TRIM(INDEX('Form Responses'!$D:$D,ROW())&amp;""))</f>
        <v/>
      </c>
      <c r="G236" s="32">
        <f>IF(B236="","",IF(LEFT(TRIM(INDEX('Form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6" s="32">
        <f>IF(B236="","",MAX(0,IFERROR(INT(--(INDEX('Form Responses'!$F:$F,ROW())&amp;"")),1)))</f>
        <v/>
      </c>
      <c r="I236" s="32">
        <f>IF(B236="","",MAX(0,IFERROR(INT(--(INDEX('Form Responses'!$G:$G,ROW())&amp;"")),0)))</f>
        <v/>
      </c>
      <c r="J236" s="32">
        <f>IF(B236="","",TRIM(INDEX('Form Responses'!$H:$H,ROW())&amp;""))</f>
        <v/>
      </c>
      <c r="K236" s="32">
        <f>IF(B236="","",TRIM(INDEX('Form Responses'!$I:$I,ROW())&amp;""))</f>
        <v/>
      </c>
      <c r="L236" s="32">
        <f>IF(B236="","",TRIM(INDEX('Form Responses'!$J:$J,ROW())&amp;""))</f>
        <v/>
      </c>
      <c r="M236" s="32">
        <f>IF(B236="","",TRIM(INDEX('Form Responses'!$K:$K,ROW())&amp;""))</f>
        <v/>
      </c>
      <c r="N236" s="32">
        <f>IF(B236="","",IF(E236&lt;&gt;"","P"&amp;E236,"N"&amp;B236))</f>
        <v/>
      </c>
      <c r="O236" s="32">
        <f>IF(N236="",0,IF(COUNTIF(N237:N$602,N236)=0,1,0))</f>
        <v/>
      </c>
      <c r="P236" s="32">
        <f>IF(AND(O236=1,E236&lt;&gt;""),E236,"")</f>
        <v/>
      </c>
      <c r="Q236" s="32">
        <f>IF(O236=1,B236,"")</f>
        <v/>
      </c>
      <c r="R236" s="32">
        <f>IF(O236&lt;&gt;1,"",IF(E236&lt;&gt;"",IFERROR(MATCH(E236,Guests!$S$6:$S$505,0)+5,IFERROR(MATCH(B236,Guests!$A$6:$A$505,0)+5,"")),IFERROR(MATCH(B236,Guests!$A$6:$A$505,0)+5,"")))</f>
        <v/>
      </c>
      <c r="S236" s="32">
        <f>IF(R236="","",TRIM(INDEX(Guests!$E$1:$E$505,R236)&amp;""))</f>
        <v/>
      </c>
      <c r="T236" s="32">
        <f>IF(R236="","",IF(S236="",1,COUNTIF(Guests!$E$6:$E$505,S236)))</f>
        <v/>
      </c>
      <c r="U236" s="32">
        <f>IF(R236="","",IF(S236="",1,IF(COUNTIF(S$1:S235,S236)=0,1,0)))</f>
        <v/>
      </c>
      <c r="V236" s="32">
        <f>IF(AND(R236&lt;&gt;"",G236="Attending",U236=1),MAX(0,H236+I236-T236),0)</f>
        <v/>
      </c>
      <c r="W236" s="32">
        <f>IF(AND(O236=1,R236=""),1,0)</f>
        <v/>
      </c>
      <c r="X236" s="32">
        <f>IF(B236="",0,H236+I236)</f>
        <v/>
      </c>
      <c r="Y236" s="32">
        <f>N(Y235)+O236</f>
        <v/>
      </c>
      <c r="Z236" s="32">
        <f>IF(O236=1,Y236,"")</f>
        <v/>
      </c>
      <c r="AA236" s="32">
        <f>IF(AND(W236=1,G236="Not sure yet"),1,0)</f>
        <v/>
      </c>
      <c r="AB236" s="32">
        <f>N(AB235)+AA236</f>
        <v/>
      </c>
      <c r="AC236" s="32">
        <f>IF(AA236=1,AB236,"")</f>
        <v/>
      </c>
      <c r="AD236" s="32">
        <f>IF(D236="","",IF(LEN(D236)=10,"+1"&amp;D236,IF(AND(LEN(D236)=11,LEFT(D236,1)="1"),"+"&amp;D236,IF(LEFT(C236,1)="+","+"&amp;D236,D236))))</f>
        <v/>
      </c>
      <c r="AE236" s="32">
        <f>IF(B236="","",PROPER(IFERROR(LEFT(B236,FIND(" ",B236)-1),B236)))</f>
        <v/>
      </c>
      <c r="AF236" s="32">
        <f>SUBSTITUTE(SUBSTITUTE(SUBSTITUTE(SUBSTITUTE(SUBSTITUTE(SUBSTITUTE(SUBSTITUTE(SUBSTITUTE(SUBSTITUTE(SUBSTITUTE(AE236,"%","%25"),"&amp;","%26"),"#","%23"),"+","%2B"),"=","%3D"),"?","%3F"),CHAR(34),"%22"),CHAR(10),"%0A"),CHAR(13),"")," ","+")</f>
        <v/>
      </c>
      <c r="AG236" s="32">
        <f>IF(OR(AD236="",AE236=""),"",'Start Here'!$B$20&amp;"#p="&amp;SUBSTITUTE(AD236,"+","%2B")&amp;"&amp;n="&amp;AF236&amp;"&amp;m="&amp;SUBSTITUTE('Start Here'!$B$24,"{name}",AF236))</f>
        <v/>
      </c>
      <c r="AH236" s="32">
        <f>N(AH235)+W236</f>
        <v/>
      </c>
      <c r="AI236" s="32">
        <f>IF(W236=1,AH236,"")</f>
        <v/>
      </c>
    </row>
    <row r="237">
      <c r="A237" s="32">
        <f>IF(INDEX('Form Responses'!$A:$A,ROW())="","",INDEX('Form Responses'!$A:$A,ROW()))</f>
        <v/>
      </c>
      <c r="B237" s="32">
        <f>TRIM(INDEX('Form Responses'!$B:$B,ROW())&amp;"")</f>
        <v/>
      </c>
      <c r="C237" s="32">
        <f>IF(B237="","",TRIM(INDEX('Form Responses'!$C:$C,ROW())&amp;""))</f>
        <v/>
      </c>
      <c r="D237" s="32">
        <f>SUBSTITUTE(SUBSTITUTE(SUBSTITUTE(SUBSTITUTE(SUBSTITUTE(SUBSTITUTE(SUBSTITUTE(SUBSTITUTE(C237," ",""),"-",""),"(",""),")",""),".",""),"+",""),"/",""),CHAR(160),"")</f>
        <v/>
      </c>
      <c r="E237" s="32">
        <f>IF(LEN(D237)&gt;=10,RIGHT(D237,10),D237)</f>
        <v/>
      </c>
      <c r="F237" s="32">
        <f>IF(B237="","",TRIM(INDEX('Form Responses'!$D:$D,ROW())&amp;""))</f>
        <v/>
      </c>
      <c r="G237" s="32">
        <f>IF(B237="","",IF(LEFT(TRIM(INDEX('Form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7" s="32">
        <f>IF(B237="","",MAX(0,IFERROR(INT(--(INDEX('Form Responses'!$F:$F,ROW())&amp;"")),1)))</f>
        <v/>
      </c>
      <c r="I237" s="32">
        <f>IF(B237="","",MAX(0,IFERROR(INT(--(INDEX('Form Responses'!$G:$G,ROW())&amp;"")),0)))</f>
        <v/>
      </c>
      <c r="J237" s="32">
        <f>IF(B237="","",TRIM(INDEX('Form Responses'!$H:$H,ROW())&amp;""))</f>
        <v/>
      </c>
      <c r="K237" s="32">
        <f>IF(B237="","",TRIM(INDEX('Form Responses'!$I:$I,ROW())&amp;""))</f>
        <v/>
      </c>
      <c r="L237" s="32">
        <f>IF(B237="","",TRIM(INDEX('Form Responses'!$J:$J,ROW())&amp;""))</f>
        <v/>
      </c>
      <c r="M237" s="32">
        <f>IF(B237="","",TRIM(INDEX('Form Responses'!$K:$K,ROW())&amp;""))</f>
        <v/>
      </c>
      <c r="N237" s="32">
        <f>IF(B237="","",IF(E237&lt;&gt;"","P"&amp;E237,"N"&amp;B237))</f>
        <v/>
      </c>
      <c r="O237" s="32">
        <f>IF(N237="",0,IF(COUNTIF(N238:N$602,N237)=0,1,0))</f>
        <v/>
      </c>
      <c r="P237" s="32">
        <f>IF(AND(O237=1,E237&lt;&gt;""),E237,"")</f>
        <v/>
      </c>
      <c r="Q237" s="32">
        <f>IF(O237=1,B237,"")</f>
        <v/>
      </c>
      <c r="R237" s="32">
        <f>IF(O237&lt;&gt;1,"",IF(E237&lt;&gt;"",IFERROR(MATCH(E237,Guests!$S$6:$S$505,0)+5,IFERROR(MATCH(B237,Guests!$A$6:$A$505,0)+5,"")),IFERROR(MATCH(B237,Guests!$A$6:$A$505,0)+5,"")))</f>
        <v/>
      </c>
      <c r="S237" s="32">
        <f>IF(R237="","",TRIM(INDEX(Guests!$E$1:$E$505,R237)&amp;""))</f>
        <v/>
      </c>
      <c r="T237" s="32">
        <f>IF(R237="","",IF(S237="",1,COUNTIF(Guests!$E$6:$E$505,S237)))</f>
        <v/>
      </c>
      <c r="U237" s="32">
        <f>IF(R237="","",IF(S237="",1,IF(COUNTIF(S$1:S236,S237)=0,1,0)))</f>
        <v/>
      </c>
      <c r="V237" s="32">
        <f>IF(AND(R237&lt;&gt;"",G237="Attending",U237=1),MAX(0,H237+I237-T237),0)</f>
        <v/>
      </c>
      <c r="W237" s="32">
        <f>IF(AND(O237=1,R237=""),1,0)</f>
        <v/>
      </c>
      <c r="X237" s="32">
        <f>IF(B237="",0,H237+I237)</f>
        <v/>
      </c>
      <c r="Y237" s="32">
        <f>N(Y236)+O237</f>
        <v/>
      </c>
      <c r="Z237" s="32">
        <f>IF(O237=1,Y237,"")</f>
        <v/>
      </c>
      <c r="AA237" s="32">
        <f>IF(AND(W237=1,G237="Not sure yet"),1,0)</f>
        <v/>
      </c>
      <c r="AB237" s="32">
        <f>N(AB236)+AA237</f>
        <v/>
      </c>
      <c r="AC237" s="32">
        <f>IF(AA237=1,AB237,"")</f>
        <v/>
      </c>
      <c r="AD237" s="32">
        <f>IF(D237="","",IF(LEN(D237)=10,"+1"&amp;D237,IF(AND(LEN(D237)=11,LEFT(D237,1)="1"),"+"&amp;D237,IF(LEFT(C237,1)="+","+"&amp;D237,D237))))</f>
        <v/>
      </c>
      <c r="AE237" s="32">
        <f>IF(B237="","",PROPER(IFERROR(LEFT(B237,FIND(" ",B237)-1),B237)))</f>
        <v/>
      </c>
      <c r="AF237" s="32">
        <f>SUBSTITUTE(SUBSTITUTE(SUBSTITUTE(SUBSTITUTE(SUBSTITUTE(SUBSTITUTE(SUBSTITUTE(SUBSTITUTE(SUBSTITUTE(SUBSTITUTE(AE237,"%","%25"),"&amp;","%26"),"#","%23"),"+","%2B"),"=","%3D"),"?","%3F"),CHAR(34),"%22"),CHAR(10),"%0A"),CHAR(13),"")," ","+")</f>
        <v/>
      </c>
      <c r="AG237" s="32">
        <f>IF(OR(AD237="",AE237=""),"",'Start Here'!$B$20&amp;"#p="&amp;SUBSTITUTE(AD237,"+","%2B")&amp;"&amp;n="&amp;AF237&amp;"&amp;m="&amp;SUBSTITUTE('Start Here'!$B$24,"{name}",AF237))</f>
        <v/>
      </c>
      <c r="AH237" s="32">
        <f>N(AH236)+W237</f>
        <v/>
      </c>
      <c r="AI237" s="32">
        <f>IF(W237=1,AH237,"")</f>
        <v/>
      </c>
    </row>
    <row r="238">
      <c r="A238" s="32">
        <f>IF(INDEX('Form Responses'!$A:$A,ROW())="","",INDEX('Form Responses'!$A:$A,ROW()))</f>
        <v/>
      </c>
      <c r="B238" s="32">
        <f>TRIM(INDEX('Form Responses'!$B:$B,ROW())&amp;"")</f>
        <v/>
      </c>
      <c r="C238" s="32">
        <f>IF(B238="","",TRIM(INDEX('Form Responses'!$C:$C,ROW())&amp;""))</f>
        <v/>
      </c>
      <c r="D238" s="32">
        <f>SUBSTITUTE(SUBSTITUTE(SUBSTITUTE(SUBSTITUTE(SUBSTITUTE(SUBSTITUTE(SUBSTITUTE(SUBSTITUTE(C238," ",""),"-",""),"(",""),")",""),".",""),"+",""),"/",""),CHAR(160),"")</f>
        <v/>
      </c>
      <c r="E238" s="32">
        <f>IF(LEN(D238)&gt;=10,RIGHT(D238,10),D238)</f>
        <v/>
      </c>
      <c r="F238" s="32">
        <f>IF(B238="","",TRIM(INDEX('Form Responses'!$D:$D,ROW())&amp;""))</f>
        <v/>
      </c>
      <c r="G238" s="32">
        <f>IF(B238="","",IF(LEFT(TRIM(INDEX('Form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8" s="32">
        <f>IF(B238="","",MAX(0,IFERROR(INT(--(INDEX('Form Responses'!$F:$F,ROW())&amp;"")),1)))</f>
        <v/>
      </c>
      <c r="I238" s="32">
        <f>IF(B238="","",MAX(0,IFERROR(INT(--(INDEX('Form Responses'!$G:$G,ROW())&amp;"")),0)))</f>
        <v/>
      </c>
      <c r="J238" s="32">
        <f>IF(B238="","",TRIM(INDEX('Form Responses'!$H:$H,ROW())&amp;""))</f>
        <v/>
      </c>
      <c r="K238" s="32">
        <f>IF(B238="","",TRIM(INDEX('Form Responses'!$I:$I,ROW())&amp;""))</f>
        <v/>
      </c>
      <c r="L238" s="32">
        <f>IF(B238="","",TRIM(INDEX('Form Responses'!$J:$J,ROW())&amp;""))</f>
        <v/>
      </c>
      <c r="M238" s="32">
        <f>IF(B238="","",TRIM(INDEX('Form Responses'!$K:$K,ROW())&amp;""))</f>
        <v/>
      </c>
      <c r="N238" s="32">
        <f>IF(B238="","",IF(E238&lt;&gt;"","P"&amp;E238,"N"&amp;B238))</f>
        <v/>
      </c>
      <c r="O238" s="32">
        <f>IF(N238="",0,IF(COUNTIF(N239:N$602,N238)=0,1,0))</f>
        <v/>
      </c>
      <c r="P238" s="32">
        <f>IF(AND(O238=1,E238&lt;&gt;""),E238,"")</f>
        <v/>
      </c>
      <c r="Q238" s="32">
        <f>IF(O238=1,B238,"")</f>
        <v/>
      </c>
      <c r="R238" s="32">
        <f>IF(O238&lt;&gt;1,"",IF(E238&lt;&gt;"",IFERROR(MATCH(E238,Guests!$S$6:$S$505,0)+5,IFERROR(MATCH(B238,Guests!$A$6:$A$505,0)+5,"")),IFERROR(MATCH(B238,Guests!$A$6:$A$505,0)+5,"")))</f>
        <v/>
      </c>
      <c r="S238" s="32">
        <f>IF(R238="","",TRIM(INDEX(Guests!$E$1:$E$505,R238)&amp;""))</f>
        <v/>
      </c>
      <c r="T238" s="32">
        <f>IF(R238="","",IF(S238="",1,COUNTIF(Guests!$E$6:$E$505,S238)))</f>
        <v/>
      </c>
      <c r="U238" s="32">
        <f>IF(R238="","",IF(S238="",1,IF(COUNTIF(S$1:S237,S238)=0,1,0)))</f>
        <v/>
      </c>
      <c r="V238" s="32">
        <f>IF(AND(R238&lt;&gt;"",G238="Attending",U238=1),MAX(0,H238+I238-T238),0)</f>
        <v/>
      </c>
      <c r="W238" s="32">
        <f>IF(AND(O238=1,R238=""),1,0)</f>
        <v/>
      </c>
      <c r="X238" s="32">
        <f>IF(B238="",0,H238+I238)</f>
        <v/>
      </c>
      <c r="Y238" s="32">
        <f>N(Y237)+O238</f>
        <v/>
      </c>
      <c r="Z238" s="32">
        <f>IF(O238=1,Y238,"")</f>
        <v/>
      </c>
      <c r="AA238" s="32">
        <f>IF(AND(W238=1,G238="Not sure yet"),1,0)</f>
        <v/>
      </c>
      <c r="AB238" s="32">
        <f>N(AB237)+AA238</f>
        <v/>
      </c>
      <c r="AC238" s="32">
        <f>IF(AA238=1,AB238,"")</f>
        <v/>
      </c>
      <c r="AD238" s="32">
        <f>IF(D238="","",IF(LEN(D238)=10,"+1"&amp;D238,IF(AND(LEN(D238)=11,LEFT(D238,1)="1"),"+"&amp;D238,IF(LEFT(C238,1)="+","+"&amp;D238,D238))))</f>
        <v/>
      </c>
      <c r="AE238" s="32">
        <f>IF(B238="","",PROPER(IFERROR(LEFT(B238,FIND(" ",B238)-1),B238)))</f>
        <v/>
      </c>
      <c r="AF238" s="32">
        <f>SUBSTITUTE(SUBSTITUTE(SUBSTITUTE(SUBSTITUTE(SUBSTITUTE(SUBSTITUTE(SUBSTITUTE(SUBSTITUTE(SUBSTITUTE(SUBSTITUTE(AE238,"%","%25"),"&amp;","%26"),"#","%23"),"+","%2B"),"=","%3D"),"?","%3F"),CHAR(34),"%22"),CHAR(10),"%0A"),CHAR(13),"")," ","+")</f>
        <v/>
      </c>
      <c r="AG238" s="32">
        <f>IF(OR(AD238="",AE238=""),"",'Start Here'!$B$20&amp;"#p="&amp;SUBSTITUTE(AD238,"+","%2B")&amp;"&amp;n="&amp;AF238&amp;"&amp;m="&amp;SUBSTITUTE('Start Here'!$B$24,"{name}",AF238))</f>
        <v/>
      </c>
      <c r="AH238" s="32">
        <f>N(AH237)+W238</f>
        <v/>
      </c>
      <c r="AI238" s="32">
        <f>IF(W238=1,AH238,"")</f>
        <v/>
      </c>
    </row>
    <row r="239">
      <c r="A239" s="32">
        <f>IF(INDEX('Form Responses'!$A:$A,ROW())="","",INDEX('Form Responses'!$A:$A,ROW()))</f>
        <v/>
      </c>
      <c r="B239" s="32">
        <f>TRIM(INDEX('Form Responses'!$B:$B,ROW())&amp;"")</f>
        <v/>
      </c>
      <c r="C239" s="32">
        <f>IF(B239="","",TRIM(INDEX('Form Responses'!$C:$C,ROW())&amp;""))</f>
        <v/>
      </c>
      <c r="D239" s="32">
        <f>SUBSTITUTE(SUBSTITUTE(SUBSTITUTE(SUBSTITUTE(SUBSTITUTE(SUBSTITUTE(SUBSTITUTE(SUBSTITUTE(C239," ",""),"-",""),"(",""),")",""),".",""),"+",""),"/",""),CHAR(160),"")</f>
        <v/>
      </c>
      <c r="E239" s="32">
        <f>IF(LEN(D239)&gt;=10,RIGHT(D239,10),D239)</f>
        <v/>
      </c>
      <c r="F239" s="32">
        <f>IF(B239="","",TRIM(INDEX('Form Responses'!$D:$D,ROW())&amp;""))</f>
        <v/>
      </c>
      <c r="G239" s="32">
        <f>IF(B239="","",IF(LEFT(TRIM(INDEX('Form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39" s="32">
        <f>IF(B239="","",MAX(0,IFERROR(INT(--(INDEX('Form Responses'!$F:$F,ROW())&amp;"")),1)))</f>
        <v/>
      </c>
      <c r="I239" s="32">
        <f>IF(B239="","",MAX(0,IFERROR(INT(--(INDEX('Form Responses'!$G:$G,ROW())&amp;"")),0)))</f>
        <v/>
      </c>
      <c r="J239" s="32">
        <f>IF(B239="","",TRIM(INDEX('Form Responses'!$H:$H,ROW())&amp;""))</f>
        <v/>
      </c>
      <c r="K239" s="32">
        <f>IF(B239="","",TRIM(INDEX('Form Responses'!$I:$I,ROW())&amp;""))</f>
        <v/>
      </c>
      <c r="L239" s="32">
        <f>IF(B239="","",TRIM(INDEX('Form Responses'!$J:$J,ROW())&amp;""))</f>
        <v/>
      </c>
      <c r="M239" s="32">
        <f>IF(B239="","",TRIM(INDEX('Form Responses'!$K:$K,ROW())&amp;""))</f>
        <v/>
      </c>
      <c r="N239" s="32">
        <f>IF(B239="","",IF(E239&lt;&gt;"","P"&amp;E239,"N"&amp;B239))</f>
        <v/>
      </c>
      <c r="O239" s="32">
        <f>IF(N239="",0,IF(COUNTIF(N240:N$602,N239)=0,1,0))</f>
        <v/>
      </c>
      <c r="P239" s="32">
        <f>IF(AND(O239=1,E239&lt;&gt;""),E239,"")</f>
        <v/>
      </c>
      <c r="Q239" s="32">
        <f>IF(O239=1,B239,"")</f>
        <v/>
      </c>
      <c r="R239" s="32">
        <f>IF(O239&lt;&gt;1,"",IF(E239&lt;&gt;"",IFERROR(MATCH(E239,Guests!$S$6:$S$505,0)+5,IFERROR(MATCH(B239,Guests!$A$6:$A$505,0)+5,"")),IFERROR(MATCH(B239,Guests!$A$6:$A$505,0)+5,"")))</f>
        <v/>
      </c>
      <c r="S239" s="32">
        <f>IF(R239="","",TRIM(INDEX(Guests!$E$1:$E$505,R239)&amp;""))</f>
        <v/>
      </c>
      <c r="T239" s="32">
        <f>IF(R239="","",IF(S239="",1,COUNTIF(Guests!$E$6:$E$505,S239)))</f>
        <v/>
      </c>
      <c r="U239" s="32">
        <f>IF(R239="","",IF(S239="",1,IF(COUNTIF(S$1:S238,S239)=0,1,0)))</f>
        <v/>
      </c>
      <c r="V239" s="32">
        <f>IF(AND(R239&lt;&gt;"",G239="Attending",U239=1),MAX(0,H239+I239-T239),0)</f>
        <v/>
      </c>
      <c r="W239" s="32">
        <f>IF(AND(O239=1,R239=""),1,0)</f>
        <v/>
      </c>
      <c r="X239" s="32">
        <f>IF(B239="",0,H239+I239)</f>
        <v/>
      </c>
      <c r="Y239" s="32">
        <f>N(Y238)+O239</f>
        <v/>
      </c>
      <c r="Z239" s="32">
        <f>IF(O239=1,Y239,"")</f>
        <v/>
      </c>
      <c r="AA239" s="32">
        <f>IF(AND(W239=1,G239="Not sure yet"),1,0)</f>
        <v/>
      </c>
      <c r="AB239" s="32">
        <f>N(AB238)+AA239</f>
        <v/>
      </c>
      <c r="AC239" s="32">
        <f>IF(AA239=1,AB239,"")</f>
        <v/>
      </c>
      <c r="AD239" s="32">
        <f>IF(D239="","",IF(LEN(D239)=10,"+1"&amp;D239,IF(AND(LEN(D239)=11,LEFT(D239,1)="1"),"+"&amp;D239,IF(LEFT(C239,1)="+","+"&amp;D239,D239))))</f>
        <v/>
      </c>
      <c r="AE239" s="32">
        <f>IF(B239="","",PROPER(IFERROR(LEFT(B239,FIND(" ",B239)-1),B239)))</f>
        <v/>
      </c>
      <c r="AF239" s="32">
        <f>SUBSTITUTE(SUBSTITUTE(SUBSTITUTE(SUBSTITUTE(SUBSTITUTE(SUBSTITUTE(SUBSTITUTE(SUBSTITUTE(SUBSTITUTE(SUBSTITUTE(AE239,"%","%25"),"&amp;","%26"),"#","%23"),"+","%2B"),"=","%3D"),"?","%3F"),CHAR(34),"%22"),CHAR(10),"%0A"),CHAR(13),"")," ","+")</f>
        <v/>
      </c>
      <c r="AG239" s="32">
        <f>IF(OR(AD239="",AE239=""),"",'Start Here'!$B$20&amp;"#p="&amp;SUBSTITUTE(AD239,"+","%2B")&amp;"&amp;n="&amp;AF239&amp;"&amp;m="&amp;SUBSTITUTE('Start Here'!$B$24,"{name}",AF239))</f>
        <v/>
      </c>
      <c r="AH239" s="32">
        <f>N(AH238)+W239</f>
        <v/>
      </c>
      <c r="AI239" s="32">
        <f>IF(W239=1,AH239,"")</f>
        <v/>
      </c>
    </row>
    <row r="240">
      <c r="A240" s="32">
        <f>IF(INDEX('Form Responses'!$A:$A,ROW())="","",INDEX('Form Responses'!$A:$A,ROW()))</f>
        <v/>
      </c>
      <c r="B240" s="32">
        <f>TRIM(INDEX('Form Responses'!$B:$B,ROW())&amp;"")</f>
        <v/>
      </c>
      <c r="C240" s="32">
        <f>IF(B240="","",TRIM(INDEX('Form Responses'!$C:$C,ROW())&amp;""))</f>
        <v/>
      </c>
      <c r="D240" s="32">
        <f>SUBSTITUTE(SUBSTITUTE(SUBSTITUTE(SUBSTITUTE(SUBSTITUTE(SUBSTITUTE(SUBSTITUTE(SUBSTITUTE(C240," ",""),"-",""),"(",""),")",""),".",""),"+",""),"/",""),CHAR(160),"")</f>
        <v/>
      </c>
      <c r="E240" s="32">
        <f>IF(LEN(D240)&gt;=10,RIGHT(D240,10),D240)</f>
        <v/>
      </c>
      <c r="F240" s="32">
        <f>IF(B240="","",TRIM(INDEX('Form Responses'!$D:$D,ROW())&amp;""))</f>
        <v/>
      </c>
      <c r="G240" s="32">
        <f>IF(B240="","",IF(LEFT(TRIM(INDEX('Form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0" s="32">
        <f>IF(B240="","",MAX(0,IFERROR(INT(--(INDEX('Form Responses'!$F:$F,ROW())&amp;"")),1)))</f>
        <v/>
      </c>
      <c r="I240" s="32">
        <f>IF(B240="","",MAX(0,IFERROR(INT(--(INDEX('Form Responses'!$G:$G,ROW())&amp;"")),0)))</f>
        <v/>
      </c>
      <c r="J240" s="32">
        <f>IF(B240="","",TRIM(INDEX('Form Responses'!$H:$H,ROW())&amp;""))</f>
        <v/>
      </c>
      <c r="K240" s="32">
        <f>IF(B240="","",TRIM(INDEX('Form Responses'!$I:$I,ROW())&amp;""))</f>
        <v/>
      </c>
      <c r="L240" s="32">
        <f>IF(B240="","",TRIM(INDEX('Form Responses'!$J:$J,ROW())&amp;""))</f>
        <v/>
      </c>
      <c r="M240" s="32">
        <f>IF(B240="","",TRIM(INDEX('Form Responses'!$K:$K,ROW())&amp;""))</f>
        <v/>
      </c>
      <c r="N240" s="32">
        <f>IF(B240="","",IF(E240&lt;&gt;"","P"&amp;E240,"N"&amp;B240))</f>
        <v/>
      </c>
      <c r="O240" s="32">
        <f>IF(N240="",0,IF(COUNTIF(N241:N$602,N240)=0,1,0))</f>
        <v/>
      </c>
      <c r="P240" s="32">
        <f>IF(AND(O240=1,E240&lt;&gt;""),E240,"")</f>
        <v/>
      </c>
      <c r="Q240" s="32">
        <f>IF(O240=1,B240,"")</f>
        <v/>
      </c>
      <c r="R240" s="32">
        <f>IF(O240&lt;&gt;1,"",IF(E240&lt;&gt;"",IFERROR(MATCH(E240,Guests!$S$6:$S$505,0)+5,IFERROR(MATCH(B240,Guests!$A$6:$A$505,0)+5,"")),IFERROR(MATCH(B240,Guests!$A$6:$A$505,0)+5,"")))</f>
        <v/>
      </c>
      <c r="S240" s="32">
        <f>IF(R240="","",TRIM(INDEX(Guests!$E$1:$E$505,R240)&amp;""))</f>
        <v/>
      </c>
      <c r="T240" s="32">
        <f>IF(R240="","",IF(S240="",1,COUNTIF(Guests!$E$6:$E$505,S240)))</f>
        <v/>
      </c>
      <c r="U240" s="32">
        <f>IF(R240="","",IF(S240="",1,IF(COUNTIF(S$1:S239,S240)=0,1,0)))</f>
        <v/>
      </c>
      <c r="V240" s="32">
        <f>IF(AND(R240&lt;&gt;"",G240="Attending",U240=1),MAX(0,H240+I240-T240),0)</f>
        <v/>
      </c>
      <c r="W240" s="32">
        <f>IF(AND(O240=1,R240=""),1,0)</f>
        <v/>
      </c>
      <c r="X240" s="32">
        <f>IF(B240="",0,H240+I240)</f>
        <v/>
      </c>
      <c r="Y240" s="32">
        <f>N(Y239)+O240</f>
        <v/>
      </c>
      <c r="Z240" s="32">
        <f>IF(O240=1,Y240,"")</f>
        <v/>
      </c>
      <c r="AA240" s="32">
        <f>IF(AND(W240=1,G240="Not sure yet"),1,0)</f>
        <v/>
      </c>
      <c r="AB240" s="32">
        <f>N(AB239)+AA240</f>
        <v/>
      </c>
      <c r="AC240" s="32">
        <f>IF(AA240=1,AB240,"")</f>
        <v/>
      </c>
      <c r="AD240" s="32">
        <f>IF(D240="","",IF(LEN(D240)=10,"+1"&amp;D240,IF(AND(LEN(D240)=11,LEFT(D240,1)="1"),"+"&amp;D240,IF(LEFT(C240,1)="+","+"&amp;D240,D240))))</f>
        <v/>
      </c>
      <c r="AE240" s="32">
        <f>IF(B240="","",PROPER(IFERROR(LEFT(B240,FIND(" ",B240)-1),B240)))</f>
        <v/>
      </c>
      <c r="AF240" s="32">
        <f>SUBSTITUTE(SUBSTITUTE(SUBSTITUTE(SUBSTITUTE(SUBSTITUTE(SUBSTITUTE(SUBSTITUTE(SUBSTITUTE(SUBSTITUTE(SUBSTITUTE(AE240,"%","%25"),"&amp;","%26"),"#","%23"),"+","%2B"),"=","%3D"),"?","%3F"),CHAR(34),"%22"),CHAR(10),"%0A"),CHAR(13),"")," ","+")</f>
        <v/>
      </c>
      <c r="AG240" s="32">
        <f>IF(OR(AD240="",AE240=""),"",'Start Here'!$B$20&amp;"#p="&amp;SUBSTITUTE(AD240,"+","%2B")&amp;"&amp;n="&amp;AF240&amp;"&amp;m="&amp;SUBSTITUTE('Start Here'!$B$24,"{name}",AF240))</f>
        <v/>
      </c>
      <c r="AH240" s="32">
        <f>N(AH239)+W240</f>
        <v/>
      </c>
      <c r="AI240" s="32">
        <f>IF(W240=1,AH240,"")</f>
        <v/>
      </c>
    </row>
    <row r="241">
      <c r="A241" s="32">
        <f>IF(INDEX('Form Responses'!$A:$A,ROW())="","",INDEX('Form Responses'!$A:$A,ROW()))</f>
        <v/>
      </c>
      <c r="B241" s="32">
        <f>TRIM(INDEX('Form Responses'!$B:$B,ROW())&amp;"")</f>
        <v/>
      </c>
      <c r="C241" s="32">
        <f>IF(B241="","",TRIM(INDEX('Form Responses'!$C:$C,ROW())&amp;""))</f>
        <v/>
      </c>
      <c r="D241" s="32">
        <f>SUBSTITUTE(SUBSTITUTE(SUBSTITUTE(SUBSTITUTE(SUBSTITUTE(SUBSTITUTE(SUBSTITUTE(SUBSTITUTE(C241," ",""),"-",""),"(",""),")",""),".",""),"+",""),"/",""),CHAR(160),"")</f>
        <v/>
      </c>
      <c r="E241" s="32">
        <f>IF(LEN(D241)&gt;=10,RIGHT(D241,10),D241)</f>
        <v/>
      </c>
      <c r="F241" s="32">
        <f>IF(B241="","",TRIM(INDEX('Form Responses'!$D:$D,ROW())&amp;""))</f>
        <v/>
      </c>
      <c r="G241" s="32">
        <f>IF(B241="","",IF(LEFT(TRIM(INDEX('Form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1" s="32">
        <f>IF(B241="","",MAX(0,IFERROR(INT(--(INDEX('Form Responses'!$F:$F,ROW())&amp;"")),1)))</f>
        <v/>
      </c>
      <c r="I241" s="32">
        <f>IF(B241="","",MAX(0,IFERROR(INT(--(INDEX('Form Responses'!$G:$G,ROW())&amp;"")),0)))</f>
        <v/>
      </c>
      <c r="J241" s="32">
        <f>IF(B241="","",TRIM(INDEX('Form Responses'!$H:$H,ROW())&amp;""))</f>
        <v/>
      </c>
      <c r="K241" s="32">
        <f>IF(B241="","",TRIM(INDEX('Form Responses'!$I:$I,ROW())&amp;""))</f>
        <v/>
      </c>
      <c r="L241" s="32">
        <f>IF(B241="","",TRIM(INDEX('Form Responses'!$J:$J,ROW())&amp;""))</f>
        <v/>
      </c>
      <c r="M241" s="32">
        <f>IF(B241="","",TRIM(INDEX('Form Responses'!$K:$K,ROW())&amp;""))</f>
        <v/>
      </c>
      <c r="N241" s="32">
        <f>IF(B241="","",IF(E241&lt;&gt;"","P"&amp;E241,"N"&amp;B241))</f>
        <v/>
      </c>
      <c r="O241" s="32">
        <f>IF(N241="",0,IF(COUNTIF(N242:N$602,N241)=0,1,0))</f>
        <v/>
      </c>
      <c r="P241" s="32">
        <f>IF(AND(O241=1,E241&lt;&gt;""),E241,"")</f>
        <v/>
      </c>
      <c r="Q241" s="32">
        <f>IF(O241=1,B241,"")</f>
        <v/>
      </c>
      <c r="R241" s="32">
        <f>IF(O241&lt;&gt;1,"",IF(E241&lt;&gt;"",IFERROR(MATCH(E241,Guests!$S$6:$S$505,0)+5,IFERROR(MATCH(B241,Guests!$A$6:$A$505,0)+5,"")),IFERROR(MATCH(B241,Guests!$A$6:$A$505,0)+5,"")))</f>
        <v/>
      </c>
      <c r="S241" s="32">
        <f>IF(R241="","",TRIM(INDEX(Guests!$E$1:$E$505,R241)&amp;""))</f>
        <v/>
      </c>
      <c r="T241" s="32">
        <f>IF(R241="","",IF(S241="",1,COUNTIF(Guests!$E$6:$E$505,S241)))</f>
        <v/>
      </c>
      <c r="U241" s="32">
        <f>IF(R241="","",IF(S241="",1,IF(COUNTIF(S$1:S240,S241)=0,1,0)))</f>
        <v/>
      </c>
      <c r="V241" s="32">
        <f>IF(AND(R241&lt;&gt;"",G241="Attending",U241=1),MAX(0,H241+I241-T241),0)</f>
        <v/>
      </c>
      <c r="W241" s="32">
        <f>IF(AND(O241=1,R241=""),1,0)</f>
        <v/>
      </c>
      <c r="X241" s="32">
        <f>IF(B241="",0,H241+I241)</f>
        <v/>
      </c>
      <c r="Y241" s="32">
        <f>N(Y240)+O241</f>
        <v/>
      </c>
      <c r="Z241" s="32">
        <f>IF(O241=1,Y241,"")</f>
        <v/>
      </c>
      <c r="AA241" s="32">
        <f>IF(AND(W241=1,G241="Not sure yet"),1,0)</f>
        <v/>
      </c>
      <c r="AB241" s="32">
        <f>N(AB240)+AA241</f>
        <v/>
      </c>
      <c r="AC241" s="32">
        <f>IF(AA241=1,AB241,"")</f>
        <v/>
      </c>
      <c r="AD241" s="32">
        <f>IF(D241="","",IF(LEN(D241)=10,"+1"&amp;D241,IF(AND(LEN(D241)=11,LEFT(D241,1)="1"),"+"&amp;D241,IF(LEFT(C241,1)="+","+"&amp;D241,D241))))</f>
        <v/>
      </c>
      <c r="AE241" s="32">
        <f>IF(B241="","",PROPER(IFERROR(LEFT(B241,FIND(" ",B241)-1),B241)))</f>
        <v/>
      </c>
      <c r="AF241" s="32">
        <f>SUBSTITUTE(SUBSTITUTE(SUBSTITUTE(SUBSTITUTE(SUBSTITUTE(SUBSTITUTE(SUBSTITUTE(SUBSTITUTE(SUBSTITUTE(SUBSTITUTE(AE241,"%","%25"),"&amp;","%26"),"#","%23"),"+","%2B"),"=","%3D"),"?","%3F"),CHAR(34),"%22"),CHAR(10),"%0A"),CHAR(13),"")," ","+")</f>
        <v/>
      </c>
      <c r="AG241" s="32">
        <f>IF(OR(AD241="",AE241=""),"",'Start Here'!$B$20&amp;"#p="&amp;SUBSTITUTE(AD241,"+","%2B")&amp;"&amp;n="&amp;AF241&amp;"&amp;m="&amp;SUBSTITUTE('Start Here'!$B$24,"{name}",AF241))</f>
        <v/>
      </c>
      <c r="AH241" s="32">
        <f>N(AH240)+W241</f>
        <v/>
      </c>
      <c r="AI241" s="32">
        <f>IF(W241=1,AH241,"")</f>
        <v/>
      </c>
    </row>
    <row r="242">
      <c r="A242" s="32">
        <f>IF(INDEX('Form Responses'!$A:$A,ROW())="","",INDEX('Form Responses'!$A:$A,ROW()))</f>
        <v/>
      </c>
      <c r="B242" s="32">
        <f>TRIM(INDEX('Form Responses'!$B:$B,ROW())&amp;"")</f>
        <v/>
      </c>
      <c r="C242" s="32">
        <f>IF(B242="","",TRIM(INDEX('Form Responses'!$C:$C,ROW())&amp;""))</f>
        <v/>
      </c>
      <c r="D242" s="32">
        <f>SUBSTITUTE(SUBSTITUTE(SUBSTITUTE(SUBSTITUTE(SUBSTITUTE(SUBSTITUTE(SUBSTITUTE(SUBSTITUTE(C242," ",""),"-",""),"(",""),")",""),".",""),"+",""),"/",""),CHAR(160),"")</f>
        <v/>
      </c>
      <c r="E242" s="32">
        <f>IF(LEN(D242)&gt;=10,RIGHT(D242,10),D242)</f>
        <v/>
      </c>
      <c r="F242" s="32">
        <f>IF(B242="","",TRIM(INDEX('Form Responses'!$D:$D,ROW())&amp;""))</f>
        <v/>
      </c>
      <c r="G242" s="32">
        <f>IF(B242="","",IF(LEFT(TRIM(INDEX('Form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2" s="32">
        <f>IF(B242="","",MAX(0,IFERROR(INT(--(INDEX('Form Responses'!$F:$F,ROW())&amp;"")),1)))</f>
        <v/>
      </c>
      <c r="I242" s="32">
        <f>IF(B242="","",MAX(0,IFERROR(INT(--(INDEX('Form Responses'!$G:$G,ROW())&amp;"")),0)))</f>
        <v/>
      </c>
      <c r="J242" s="32">
        <f>IF(B242="","",TRIM(INDEX('Form Responses'!$H:$H,ROW())&amp;""))</f>
        <v/>
      </c>
      <c r="K242" s="32">
        <f>IF(B242="","",TRIM(INDEX('Form Responses'!$I:$I,ROW())&amp;""))</f>
        <v/>
      </c>
      <c r="L242" s="32">
        <f>IF(B242="","",TRIM(INDEX('Form Responses'!$J:$J,ROW())&amp;""))</f>
        <v/>
      </c>
      <c r="M242" s="32">
        <f>IF(B242="","",TRIM(INDEX('Form Responses'!$K:$K,ROW())&amp;""))</f>
        <v/>
      </c>
      <c r="N242" s="32">
        <f>IF(B242="","",IF(E242&lt;&gt;"","P"&amp;E242,"N"&amp;B242))</f>
        <v/>
      </c>
      <c r="O242" s="32">
        <f>IF(N242="",0,IF(COUNTIF(N243:N$602,N242)=0,1,0))</f>
        <v/>
      </c>
      <c r="P242" s="32">
        <f>IF(AND(O242=1,E242&lt;&gt;""),E242,"")</f>
        <v/>
      </c>
      <c r="Q242" s="32">
        <f>IF(O242=1,B242,"")</f>
        <v/>
      </c>
      <c r="R242" s="32">
        <f>IF(O242&lt;&gt;1,"",IF(E242&lt;&gt;"",IFERROR(MATCH(E242,Guests!$S$6:$S$505,0)+5,IFERROR(MATCH(B242,Guests!$A$6:$A$505,0)+5,"")),IFERROR(MATCH(B242,Guests!$A$6:$A$505,0)+5,"")))</f>
        <v/>
      </c>
      <c r="S242" s="32">
        <f>IF(R242="","",TRIM(INDEX(Guests!$E$1:$E$505,R242)&amp;""))</f>
        <v/>
      </c>
      <c r="T242" s="32">
        <f>IF(R242="","",IF(S242="",1,COUNTIF(Guests!$E$6:$E$505,S242)))</f>
        <v/>
      </c>
      <c r="U242" s="32">
        <f>IF(R242="","",IF(S242="",1,IF(COUNTIF(S$1:S241,S242)=0,1,0)))</f>
        <v/>
      </c>
      <c r="V242" s="32">
        <f>IF(AND(R242&lt;&gt;"",G242="Attending",U242=1),MAX(0,H242+I242-T242),0)</f>
        <v/>
      </c>
      <c r="W242" s="32">
        <f>IF(AND(O242=1,R242=""),1,0)</f>
        <v/>
      </c>
      <c r="X242" s="32">
        <f>IF(B242="",0,H242+I242)</f>
        <v/>
      </c>
      <c r="Y242" s="32">
        <f>N(Y241)+O242</f>
        <v/>
      </c>
      <c r="Z242" s="32">
        <f>IF(O242=1,Y242,"")</f>
        <v/>
      </c>
      <c r="AA242" s="32">
        <f>IF(AND(W242=1,G242="Not sure yet"),1,0)</f>
        <v/>
      </c>
      <c r="AB242" s="32">
        <f>N(AB241)+AA242</f>
        <v/>
      </c>
      <c r="AC242" s="32">
        <f>IF(AA242=1,AB242,"")</f>
        <v/>
      </c>
      <c r="AD242" s="32">
        <f>IF(D242="","",IF(LEN(D242)=10,"+1"&amp;D242,IF(AND(LEN(D242)=11,LEFT(D242,1)="1"),"+"&amp;D242,IF(LEFT(C242,1)="+","+"&amp;D242,D242))))</f>
        <v/>
      </c>
      <c r="AE242" s="32">
        <f>IF(B242="","",PROPER(IFERROR(LEFT(B242,FIND(" ",B242)-1),B242)))</f>
        <v/>
      </c>
      <c r="AF242" s="32">
        <f>SUBSTITUTE(SUBSTITUTE(SUBSTITUTE(SUBSTITUTE(SUBSTITUTE(SUBSTITUTE(SUBSTITUTE(SUBSTITUTE(SUBSTITUTE(SUBSTITUTE(AE242,"%","%25"),"&amp;","%26"),"#","%23"),"+","%2B"),"=","%3D"),"?","%3F"),CHAR(34),"%22"),CHAR(10),"%0A"),CHAR(13),"")," ","+")</f>
        <v/>
      </c>
      <c r="AG242" s="32">
        <f>IF(OR(AD242="",AE242=""),"",'Start Here'!$B$20&amp;"#p="&amp;SUBSTITUTE(AD242,"+","%2B")&amp;"&amp;n="&amp;AF242&amp;"&amp;m="&amp;SUBSTITUTE('Start Here'!$B$24,"{name}",AF242))</f>
        <v/>
      </c>
      <c r="AH242" s="32">
        <f>N(AH241)+W242</f>
        <v/>
      </c>
      <c r="AI242" s="32">
        <f>IF(W242=1,AH242,"")</f>
        <v/>
      </c>
    </row>
    <row r="243">
      <c r="A243" s="32">
        <f>IF(INDEX('Form Responses'!$A:$A,ROW())="","",INDEX('Form Responses'!$A:$A,ROW()))</f>
        <v/>
      </c>
      <c r="B243" s="32">
        <f>TRIM(INDEX('Form Responses'!$B:$B,ROW())&amp;"")</f>
        <v/>
      </c>
      <c r="C243" s="32">
        <f>IF(B243="","",TRIM(INDEX('Form Responses'!$C:$C,ROW())&amp;""))</f>
        <v/>
      </c>
      <c r="D243" s="32">
        <f>SUBSTITUTE(SUBSTITUTE(SUBSTITUTE(SUBSTITUTE(SUBSTITUTE(SUBSTITUTE(SUBSTITUTE(SUBSTITUTE(C243," ",""),"-",""),"(",""),")",""),".",""),"+",""),"/",""),CHAR(160),"")</f>
        <v/>
      </c>
      <c r="E243" s="32">
        <f>IF(LEN(D243)&gt;=10,RIGHT(D243,10),D243)</f>
        <v/>
      </c>
      <c r="F243" s="32">
        <f>IF(B243="","",TRIM(INDEX('Form Responses'!$D:$D,ROW())&amp;""))</f>
        <v/>
      </c>
      <c r="G243" s="32">
        <f>IF(B243="","",IF(LEFT(TRIM(INDEX('Form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3" s="32">
        <f>IF(B243="","",MAX(0,IFERROR(INT(--(INDEX('Form Responses'!$F:$F,ROW())&amp;"")),1)))</f>
        <v/>
      </c>
      <c r="I243" s="32">
        <f>IF(B243="","",MAX(0,IFERROR(INT(--(INDEX('Form Responses'!$G:$G,ROW())&amp;"")),0)))</f>
        <v/>
      </c>
      <c r="J243" s="32">
        <f>IF(B243="","",TRIM(INDEX('Form Responses'!$H:$H,ROW())&amp;""))</f>
        <v/>
      </c>
      <c r="K243" s="32">
        <f>IF(B243="","",TRIM(INDEX('Form Responses'!$I:$I,ROW())&amp;""))</f>
        <v/>
      </c>
      <c r="L243" s="32">
        <f>IF(B243="","",TRIM(INDEX('Form Responses'!$J:$J,ROW())&amp;""))</f>
        <v/>
      </c>
      <c r="M243" s="32">
        <f>IF(B243="","",TRIM(INDEX('Form Responses'!$K:$K,ROW())&amp;""))</f>
        <v/>
      </c>
      <c r="N243" s="32">
        <f>IF(B243="","",IF(E243&lt;&gt;"","P"&amp;E243,"N"&amp;B243))</f>
        <v/>
      </c>
      <c r="O243" s="32">
        <f>IF(N243="",0,IF(COUNTIF(N244:N$602,N243)=0,1,0))</f>
        <v/>
      </c>
      <c r="P243" s="32">
        <f>IF(AND(O243=1,E243&lt;&gt;""),E243,"")</f>
        <v/>
      </c>
      <c r="Q243" s="32">
        <f>IF(O243=1,B243,"")</f>
        <v/>
      </c>
      <c r="R243" s="32">
        <f>IF(O243&lt;&gt;1,"",IF(E243&lt;&gt;"",IFERROR(MATCH(E243,Guests!$S$6:$S$505,0)+5,IFERROR(MATCH(B243,Guests!$A$6:$A$505,0)+5,"")),IFERROR(MATCH(B243,Guests!$A$6:$A$505,0)+5,"")))</f>
        <v/>
      </c>
      <c r="S243" s="32">
        <f>IF(R243="","",TRIM(INDEX(Guests!$E$1:$E$505,R243)&amp;""))</f>
        <v/>
      </c>
      <c r="T243" s="32">
        <f>IF(R243="","",IF(S243="",1,COUNTIF(Guests!$E$6:$E$505,S243)))</f>
        <v/>
      </c>
      <c r="U243" s="32">
        <f>IF(R243="","",IF(S243="",1,IF(COUNTIF(S$1:S242,S243)=0,1,0)))</f>
        <v/>
      </c>
      <c r="V243" s="32">
        <f>IF(AND(R243&lt;&gt;"",G243="Attending",U243=1),MAX(0,H243+I243-T243),0)</f>
        <v/>
      </c>
      <c r="W243" s="32">
        <f>IF(AND(O243=1,R243=""),1,0)</f>
        <v/>
      </c>
      <c r="X243" s="32">
        <f>IF(B243="",0,H243+I243)</f>
        <v/>
      </c>
      <c r="Y243" s="32">
        <f>N(Y242)+O243</f>
        <v/>
      </c>
      <c r="Z243" s="32">
        <f>IF(O243=1,Y243,"")</f>
        <v/>
      </c>
      <c r="AA243" s="32">
        <f>IF(AND(W243=1,G243="Not sure yet"),1,0)</f>
        <v/>
      </c>
      <c r="AB243" s="32">
        <f>N(AB242)+AA243</f>
        <v/>
      </c>
      <c r="AC243" s="32">
        <f>IF(AA243=1,AB243,"")</f>
        <v/>
      </c>
      <c r="AD243" s="32">
        <f>IF(D243="","",IF(LEN(D243)=10,"+1"&amp;D243,IF(AND(LEN(D243)=11,LEFT(D243,1)="1"),"+"&amp;D243,IF(LEFT(C243,1)="+","+"&amp;D243,D243))))</f>
        <v/>
      </c>
      <c r="AE243" s="32">
        <f>IF(B243="","",PROPER(IFERROR(LEFT(B243,FIND(" ",B243)-1),B243)))</f>
        <v/>
      </c>
      <c r="AF243" s="32">
        <f>SUBSTITUTE(SUBSTITUTE(SUBSTITUTE(SUBSTITUTE(SUBSTITUTE(SUBSTITUTE(SUBSTITUTE(SUBSTITUTE(SUBSTITUTE(SUBSTITUTE(AE243,"%","%25"),"&amp;","%26"),"#","%23"),"+","%2B"),"=","%3D"),"?","%3F"),CHAR(34),"%22"),CHAR(10),"%0A"),CHAR(13),"")," ","+")</f>
        <v/>
      </c>
      <c r="AG243" s="32">
        <f>IF(OR(AD243="",AE243=""),"",'Start Here'!$B$20&amp;"#p="&amp;SUBSTITUTE(AD243,"+","%2B")&amp;"&amp;n="&amp;AF243&amp;"&amp;m="&amp;SUBSTITUTE('Start Here'!$B$24,"{name}",AF243))</f>
        <v/>
      </c>
      <c r="AH243" s="32">
        <f>N(AH242)+W243</f>
        <v/>
      </c>
      <c r="AI243" s="32">
        <f>IF(W243=1,AH243,"")</f>
        <v/>
      </c>
    </row>
    <row r="244">
      <c r="A244" s="32">
        <f>IF(INDEX('Form Responses'!$A:$A,ROW())="","",INDEX('Form Responses'!$A:$A,ROW()))</f>
        <v/>
      </c>
      <c r="B244" s="32">
        <f>TRIM(INDEX('Form Responses'!$B:$B,ROW())&amp;"")</f>
        <v/>
      </c>
      <c r="C244" s="32">
        <f>IF(B244="","",TRIM(INDEX('Form Responses'!$C:$C,ROW())&amp;""))</f>
        <v/>
      </c>
      <c r="D244" s="32">
        <f>SUBSTITUTE(SUBSTITUTE(SUBSTITUTE(SUBSTITUTE(SUBSTITUTE(SUBSTITUTE(SUBSTITUTE(SUBSTITUTE(C244," ",""),"-",""),"(",""),")",""),".",""),"+",""),"/",""),CHAR(160),"")</f>
        <v/>
      </c>
      <c r="E244" s="32">
        <f>IF(LEN(D244)&gt;=10,RIGHT(D244,10),D244)</f>
        <v/>
      </c>
      <c r="F244" s="32">
        <f>IF(B244="","",TRIM(INDEX('Form Responses'!$D:$D,ROW())&amp;""))</f>
        <v/>
      </c>
      <c r="G244" s="32">
        <f>IF(B244="","",IF(LEFT(TRIM(INDEX('Form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4" s="32">
        <f>IF(B244="","",MAX(0,IFERROR(INT(--(INDEX('Form Responses'!$F:$F,ROW())&amp;"")),1)))</f>
        <v/>
      </c>
      <c r="I244" s="32">
        <f>IF(B244="","",MAX(0,IFERROR(INT(--(INDEX('Form Responses'!$G:$G,ROW())&amp;"")),0)))</f>
        <v/>
      </c>
      <c r="J244" s="32">
        <f>IF(B244="","",TRIM(INDEX('Form Responses'!$H:$H,ROW())&amp;""))</f>
        <v/>
      </c>
      <c r="K244" s="32">
        <f>IF(B244="","",TRIM(INDEX('Form Responses'!$I:$I,ROW())&amp;""))</f>
        <v/>
      </c>
      <c r="L244" s="32">
        <f>IF(B244="","",TRIM(INDEX('Form Responses'!$J:$J,ROW())&amp;""))</f>
        <v/>
      </c>
      <c r="M244" s="32">
        <f>IF(B244="","",TRIM(INDEX('Form Responses'!$K:$K,ROW())&amp;""))</f>
        <v/>
      </c>
      <c r="N244" s="32">
        <f>IF(B244="","",IF(E244&lt;&gt;"","P"&amp;E244,"N"&amp;B244))</f>
        <v/>
      </c>
      <c r="O244" s="32">
        <f>IF(N244="",0,IF(COUNTIF(N245:N$602,N244)=0,1,0))</f>
        <v/>
      </c>
      <c r="P244" s="32">
        <f>IF(AND(O244=1,E244&lt;&gt;""),E244,"")</f>
        <v/>
      </c>
      <c r="Q244" s="32">
        <f>IF(O244=1,B244,"")</f>
        <v/>
      </c>
      <c r="R244" s="32">
        <f>IF(O244&lt;&gt;1,"",IF(E244&lt;&gt;"",IFERROR(MATCH(E244,Guests!$S$6:$S$505,0)+5,IFERROR(MATCH(B244,Guests!$A$6:$A$505,0)+5,"")),IFERROR(MATCH(B244,Guests!$A$6:$A$505,0)+5,"")))</f>
        <v/>
      </c>
      <c r="S244" s="32">
        <f>IF(R244="","",TRIM(INDEX(Guests!$E$1:$E$505,R244)&amp;""))</f>
        <v/>
      </c>
      <c r="T244" s="32">
        <f>IF(R244="","",IF(S244="",1,COUNTIF(Guests!$E$6:$E$505,S244)))</f>
        <v/>
      </c>
      <c r="U244" s="32">
        <f>IF(R244="","",IF(S244="",1,IF(COUNTIF(S$1:S243,S244)=0,1,0)))</f>
        <v/>
      </c>
      <c r="V244" s="32">
        <f>IF(AND(R244&lt;&gt;"",G244="Attending",U244=1),MAX(0,H244+I244-T244),0)</f>
        <v/>
      </c>
      <c r="W244" s="32">
        <f>IF(AND(O244=1,R244=""),1,0)</f>
        <v/>
      </c>
      <c r="X244" s="32">
        <f>IF(B244="",0,H244+I244)</f>
        <v/>
      </c>
      <c r="Y244" s="32">
        <f>N(Y243)+O244</f>
        <v/>
      </c>
      <c r="Z244" s="32">
        <f>IF(O244=1,Y244,"")</f>
        <v/>
      </c>
      <c r="AA244" s="32">
        <f>IF(AND(W244=1,G244="Not sure yet"),1,0)</f>
        <v/>
      </c>
      <c r="AB244" s="32">
        <f>N(AB243)+AA244</f>
        <v/>
      </c>
      <c r="AC244" s="32">
        <f>IF(AA244=1,AB244,"")</f>
        <v/>
      </c>
      <c r="AD244" s="32">
        <f>IF(D244="","",IF(LEN(D244)=10,"+1"&amp;D244,IF(AND(LEN(D244)=11,LEFT(D244,1)="1"),"+"&amp;D244,IF(LEFT(C244,1)="+","+"&amp;D244,D244))))</f>
        <v/>
      </c>
      <c r="AE244" s="32">
        <f>IF(B244="","",PROPER(IFERROR(LEFT(B244,FIND(" ",B244)-1),B244)))</f>
        <v/>
      </c>
      <c r="AF244" s="32">
        <f>SUBSTITUTE(SUBSTITUTE(SUBSTITUTE(SUBSTITUTE(SUBSTITUTE(SUBSTITUTE(SUBSTITUTE(SUBSTITUTE(SUBSTITUTE(SUBSTITUTE(AE244,"%","%25"),"&amp;","%26"),"#","%23"),"+","%2B"),"=","%3D"),"?","%3F"),CHAR(34),"%22"),CHAR(10),"%0A"),CHAR(13),"")," ","+")</f>
        <v/>
      </c>
      <c r="AG244" s="32">
        <f>IF(OR(AD244="",AE244=""),"",'Start Here'!$B$20&amp;"#p="&amp;SUBSTITUTE(AD244,"+","%2B")&amp;"&amp;n="&amp;AF244&amp;"&amp;m="&amp;SUBSTITUTE('Start Here'!$B$24,"{name}",AF244))</f>
        <v/>
      </c>
      <c r="AH244" s="32">
        <f>N(AH243)+W244</f>
        <v/>
      </c>
      <c r="AI244" s="32">
        <f>IF(W244=1,AH244,"")</f>
        <v/>
      </c>
    </row>
    <row r="245">
      <c r="A245" s="32">
        <f>IF(INDEX('Form Responses'!$A:$A,ROW())="","",INDEX('Form Responses'!$A:$A,ROW()))</f>
        <v/>
      </c>
      <c r="B245" s="32">
        <f>TRIM(INDEX('Form Responses'!$B:$B,ROW())&amp;"")</f>
        <v/>
      </c>
      <c r="C245" s="32">
        <f>IF(B245="","",TRIM(INDEX('Form Responses'!$C:$C,ROW())&amp;""))</f>
        <v/>
      </c>
      <c r="D245" s="32">
        <f>SUBSTITUTE(SUBSTITUTE(SUBSTITUTE(SUBSTITUTE(SUBSTITUTE(SUBSTITUTE(SUBSTITUTE(SUBSTITUTE(C245," ",""),"-",""),"(",""),")",""),".",""),"+",""),"/",""),CHAR(160),"")</f>
        <v/>
      </c>
      <c r="E245" s="32">
        <f>IF(LEN(D245)&gt;=10,RIGHT(D245,10),D245)</f>
        <v/>
      </c>
      <c r="F245" s="32">
        <f>IF(B245="","",TRIM(INDEX('Form Responses'!$D:$D,ROW())&amp;""))</f>
        <v/>
      </c>
      <c r="G245" s="32">
        <f>IF(B245="","",IF(LEFT(TRIM(INDEX('Form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5" s="32">
        <f>IF(B245="","",MAX(0,IFERROR(INT(--(INDEX('Form Responses'!$F:$F,ROW())&amp;"")),1)))</f>
        <v/>
      </c>
      <c r="I245" s="32">
        <f>IF(B245="","",MAX(0,IFERROR(INT(--(INDEX('Form Responses'!$G:$G,ROW())&amp;"")),0)))</f>
        <v/>
      </c>
      <c r="J245" s="32">
        <f>IF(B245="","",TRIM(INDEX('Form Responses'!$H:$H,ROW())&amp;""))</f>
        <v/>
      </c>
      <c r="K245" s="32">
        <f>IF(B245="","",TRIM(INDEX('Form Responses'!$I:$I,ROW())&amp;""))</f>
        <v/>
      </c>
      <c r="L245" s="32">
        <f>IF(B245="","",TRIM(INDEX('Form Responses'!$J:$J,ROW())&amp;""))</f>
        <v/>
      </c>
      <c r="M245" s="32">
        <f>IF(B245="","",TRIM(INDEX('Form Responses'!$K:$K,ROW())&amp;""))</f>
        <v/>
      </c>
      <c r="N245" s="32">
        <f>IF(B245="","",IF(E245&lt;&gt;"","P"&amp;E245,"N"&amp;B245))</f>
        <v/>
      </c>
      <c r="O245" s="32">
        <f>IF(N245="",0,IF(COUNTIF(N246:N$602,N245)=0,1,0))</f>
        <v/>
      </c>
      <c r="P245" s="32">
        <f>IF(AND(O245=1,E245&lt;&gt;""),E245,"")</f>
        <v/>
      </c>
      <c r="Q245" s="32">
        <f>IF(O245=1,B245,"")</f>
        <v/>
      </c>
      <c r="R245" s="32">
        <f>IF(O245&lt;&gt;1,"",IF(E245&lt;&gt;"",IFERROR(MATCH(E245,Guests!$S$6:$S$505,0)+5,IFERROR(MATCH(B245,Guests!$A$6:$A$505,0)+5,"")),IFERROR(MATCH(B245,Guests!$A$6:$A$505,0)+5,"")))</f>
        <v/>
      </c>
      <c r="S245" s="32">
        <f>IF(R245="","",TRIM(INDEX(Guests!$E$1:$E$505,R245)&amp;""))</f>
        <v/>
      </c>
      <c r="T245" s="32">
        <f>IF(R245="","",IF(S245="",1,COUNTIF(Guests!$E$6:$E$505,S245)))</f>
        <v/>
      </c>
      <c r="U245" s="32">
        <f>IF(R245="","",IF(S245="",1,IF(COUNTIF(S$1:S244,S245)=0,1,0)))</f>
        <v/>
      </c>
      <c r="V245" s="32">
        <f>IF(AND(R245&lt;&gt;"",G245="Attending",U245=1),MAX(0,H245+I245-T245),0)</f>
        <v/>
      </c>
      <c r="W245" s="32">
        <f>IF(AND(O245=1,R245=""),1,0)</f>
        <v/>
      </c>
      <c r="X245" s="32">
        <f>IF(B245="",0,H245+I245)</f>
        <v/>
      </c>
      <c r="Y245" s="32">
        <f>N(Y244)+O245</f>
        <v/>
      </c>
      <c r="Z245" s="32">
        <f>IF(O245=1,Y245,"")</f>
        <v/>
      </c>
      <c r="AA245" s="32">
        <f>IF(AND(W245=1,G245="Not sure yet"),1,0)</f>
        <v/>
      </c>
      <c r="AB245" s="32">
        <f>N(AB244)+AA245</f>
        <v/>
      </c>
      <c r="AC245" s="32">
        <f>IF(AA245=1,AB245,"")</f>
        <v/>
      </c>
      <c r="AD245" s="32">
        <f>IF(D245="","",IF(LEN(D245)=10,"+1"&amp;D245,IF(AND(LEN(D245)=11,LEFT(D245,1)="1"),"+"&amp;D245,IF(LEFT(C245,1)="+","+"&amp;D245,D245))))</f>
        <v/>
      </c>
      <c r="AE245" s="32">
        <f>IF(B245="","",PROPER(IFERROR(LEFT(B245,FIND(" ",B245)-1),B245)))</f>
        <v/>
      </c>
      <c r="AF245" s="32">
        <f>SUBSTITUTE(SUBSTITUTE(SUBSTITUTE(SUBSTITUTE(SUBSTITUTE(SUBSTITUTE(SUBSTITUTE(SUBSTITUTE(SUBSTITUTE(SUBSTITUTE(AE245,"%","%25"),"&amp;","%26"),"#","%23"),"+","%2B"),"=","%3D"),"?","%3F"),CHAR(34),"%22"),CHAR(10),"%0A"),CHAR(13),"")," ","+")</f>
        <v/>
      </c>
      <c r="AG245" s="32">
        <f>IF(OR(AD245="",AE245=""),"",'Start Here'!$B$20&amp;"#p="&amp;SUBSTITUTE(AD245,"+","%2B")&amp;"&amp;n="&amp;AF245&amp;"&amp;m="&amp;SUBSTITUTE('Start Here'!$B$24,"{name}",AF245))</f>
        <v/>
      </c>
      <c r="AH245" s="32">
        <f>N(AH244)+W245</f>
        <v/>
      </c>
      <c r="AI245" s="32">
        <f>IF(W245=1,AH245,"")</f>
        <v/>
      </c>
    </row>
    <row r="246">
      <c r="A246" s="32">
        <f>IF(INDEX('Form Responses'!$A:$A,ROW())="","",INDEX('Form Responses'!$A:$A,ROW()))</f>
        <v/>
      </c>
      <c r="B246" s="32">
        <f>TRIM(INDEX('Form Responses'!$B:$B,ROW())&amp;"")</f>
        <v/>
      </c>
      <c r="C246" s="32">
        <f>IF(B246="","",TRIM(INDEX('Form Responses'!$C:$C,ROW())&amp;""))</f>
        <v/>
      </c>
      <c r="D246" s="32">
        <f>SUBSTITUTE(SUBSTITUTE(SUBSTITUTE(SUBSTITUTE(SUBSTITUTE(SUBSTITUTE(SUBSTITUTE(SUBSTITUTE(C246," ",""),"-",""),"(",""),")",""),".",""),"+",""),"/",""),CHAR(160),"")</f>
        <v/>
      </c>
      <c r="E246" s="32">
        <f>IF(LEN(D246)&gt;=10,RIGHT(D246,10),D246)</f>
        <v/>
      </c>
      <c r="F246" s="32">
        <f>IF(B246="","",TRIM(INDEX('Form Responses'!$D:$D,ROW())&amp;""))</f>
        <v/>
      </c>
      <c r="G246" s="32">
        <f>IF(B246="","",IF(LEFT(TRIM(INDEX('Form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6" s="32">
        <f>IF(B246="","",MAX(0,IFERROR(INT(--(INDEX('Form Responses'!$F:$F,ROW())&amp;"")),1)))</f>
        <v/>
      </c>
      <c r="I246" s="32">
        <f>IF(B246="","",MAX(0,IFERROR(INT(--(INDEX('Form Responses'!$G:$G,ROW())&amp;"")),0)))</f>
        <v/>
      </c>
      <c r="J246" s="32">
        <f>IF(B246="","",TRIM(INDEX('Form Responses'!$H:$H,ROW())&amp;""))</f>
        <v/>
      </c>
      <c r="K246" s="32">
        <f>IF(B246="","",TRIM(INDEX('Form Responses'!$I:$I,ROW())&amp;""))</f>
        <v/>
      </c>
      <c r="L246" s="32">
        <f>IF(B246="","",TRIM(INDEX('Form Responses'!$J:$J,ROW())&amp;""))</f>
        <v/>
      </c>
      <c r="M246" s="32">
        <f>IF(B246="","",TRIM(INDEX('Form Responses'!$K:$K,ROW())&amp;""))</f>
        <v/>
      </c>
      <c r="N246" s="32">
        <f>IF(B246="","",IF(E246&lt;&gt;"","P"&amp;E246,"N"&amp;B246))</f>
        <v/>
      </c>
      <c r="O246" s="32">
        <f>IF(N246="",0,IF(COUNTIF(N247:N$602,N246)=0,1,0))</f>
        <v/>
      </c>
      <c r="P246" s="32">
        <f>IF(AND(O246=1,E246&lt;&gt;""),E246,"")</f>
        <v/>
      </c>
      <c r="Q246" s="32">
        <f>IF(O246=1,B246,"")</f>
        <v/>
      </c>
      <c r="R246" s="32">
        <f>IF(O246&lt;&gt;1,"",IF(E246&lt;&gt;"",IFERROR(MATCH(E246,Guests!$S$6:$S$505,0)+5,IFERROR(MATCH(B246,Guests!$A$6:$A$505,0)+5,"")),IFERROR(MATCH(B246,Guests!$A$6:$A$505,0)+5,"")))</f>
        <v/>
      </c>
      <c r="S246" s="32">
        <f>IF(R246="","",TRIM(INDEX(Guests!$E$1:$E$505,R246)&amp;""))</f>
        <v/>
      </c>
      <c r="T246" s="32">
        <f>IF(R246="","",IF(S246="",1,COUNTIF(Guests!$E$6:$E$505,S246)))</f>
        <v/>
      </c>
      <c r="U246" s="32">
        <f>IF(R246="","",IF(S246="",1,IF(COUNTIF(S$1:S245,S246)=0,1,0)))</f>
        <v/>
      </c>
      <c r="V246" s="32">
        <f>IF(AND(R246&lt;&gt;"",G246="Attending",U246=1),MAX(0,H246+I246-T246),0)</f>
        <v/>
      </c>
      <c r="W246" s="32">
        <f>IF(AND(O246=1,R246=""),1,0)</f>
        <v/>
      </c>
      <c r="X246" s="32">
        <f>IF(B246="",0,H246+I246)</f>
        <v/>
      </c>
      <c r="Y246" s="32">
        <f>N(Y245)+O246</f>
        <v/>
      </c>
      <c r="Z246" s="32">
        <f>IF(O246=1,Y246,"")</f>
        <v/>
      </c>
      <c r="AA246" s="32">
        <f>IF(AND(W246=1,G246="Not sure yet"),1,0)</f>
        <v/>
      </c>
      <c r="AB246" s="32">
        <f>N(AB245)+AA246</f>
        <v/>
      </c>
      <c r="AC246" s="32">
        <f>IF(AA246=1,AB246,"")</f>
        <v/>
      </c>
      <c r="AD246" s="32">
        <f>IF(D246="","",IF(LEN(D246)=10,"+1"&amp;D246,IF(AND(LEN(D246)=11,LEFT(D246,1)="1"),"+"&amp;D246,IF(LEFT(C246,1)="+","+"&amp;D246,D246))))</f>
        <v/>
      </c>
      <c r="AE246" s="32">
        <f>IF(B246="","",PROPER(IFERROR(LEFT(B246,FIND(" ",B246)-1),B246)))</f>
        <v/>
      </c>
      <c r="AF246" s="32">
        <f>SUBSTITUTE(SUBSTITUTE(SUBSTITUTE(SUBSTITUTE(SUBSTITUTE(SUBSTITUTE(SUBSTITUTE(SUBSTITUTE(SUBSTITUTE(SUBSTITUTE(AE246,"%","%25"),"&amp;","%26"),"#","%23"),"+","%2B"),"=","%3D"),"?","%3F"),CHAR(34),"%22"),CHAR(10),"%0A"),CHAR(13),"")," ","+")</f>
        <v/>
      </c>
      <c r="AG246" s="32">
        <f>IF(OR(AD246="",AE246=""),"",'Start Here'!$B$20&amp;"#p="&amp;SUBSTITUTE(AD246,"+","%2B")&amp;"&amp;n="&amp;AF246&amp;"&amp;m="&amp;SUBSTITUTE('Start Here'!$B$24,"{name}",AF246))</f>
        <v/>
      </c>
      <c r="AH246" s="32">
        <f>N(AH245)+W246</f>
        <v/>
      </c>
      <c r="AI246" s="32">
        <f>IF(W246=1,AH246,"")</f>
        <v/>
      </c>
    </row>
    <row r="247">
      <c r="A247" s="32">
        <f>IF(INDEX('Form Responses'!$A:$A,ROW())="","",INDEX('Form Responses'!$A:$A,ROW()))</f>
        <v/>
      </c>
      <c r="B247" s="32">
        <f>TRIM(INDEX('Form Responses'!$B:$B,ROW())&amp;"")</f>
        <v/>
      </c>
      <c r="C247" s="32">
        <f>IF(B247="","",TRIM(INDEX('Form Responses'!$C:$C,ROW())&amp;""))</f>
        <v/>
      </c>
      <c r="D247" s="32">
        <f>SUBSTITUTE(SUBSTITUTE(SUBSTITUTE(SUBSTITUTE(SUBSTITUTE(SUBSTITUTE(SUBSTITUTE(SUBSTITUTE(C247," ",""),"-",""),"(",""),")",""),".",""),"+",""),"/",""),CHAR(160),"")</f>
        <v/>
      </c>
      <c r="E247" s="32">
        <f>IF(LEN(D247)&gt;=10,RIGHT(D247,10),D247)</f>
        <v/>
      </c>
      <c r="F247" s="32">
        <f>IF(B247="","",TRIM(INDEX('Form Responses'!$D:$D,ROW())&amp;""))</f>
        <v/>
      </c>
      <c r="G247" s="32">
        <f>IF(B247="","",IF(LEFT(TRIM(INDEX('Form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7" s="32">
        <f>IF(B247="","",MAX(0,IFERROR(INT(--(INDEX('Form Responses'!$F:$F,ROW())&amp;"")),1)))</f>
        <v/>
      </c>
      <c r="I247" s="32">
        <f>IF(B247="","",MAX(0,IFERROR(INT(--(INDEX('Form Responses'!$G:$G,ROW())&amp;"")),0)))</f>
        <v/>
      </c>
      <c r="J247" s="32">
        <f>IF(B247="","",TRIM(INDEX('Form Responses'!$H:$H,ROW())&amp;""))</f>
        <v/>
      </c>
      <c r="K247" s="32">
        <f>IF(B247="","",TRIM(INDEX('Form Responses'!$I:$I,ROW())&amp;""))</f>
        <v/>
      </c>
      <c r="L247" s="32">
        <f>IF(B247="","",TRIM(INDEX('Form Responses'!$J:$J,ROW())&amp;""))</f>
        <v/>
      </c>
      <c r="M247" s="32">
        <f>IF(B247="","",TRIM(INDEX('Form Responses'!$K:$K,ROW())&amp;""))</f>
        <v/>
      </c>
      <c r="N247" s="32">
        <f>IF(B247="","",IF(E247&lt;&gt;"","P"&amp;E247,"N"&amp;B247))</f>
        <v/>
      </c>
      <c r="O247" s="32">
        <f>IF(N247="",0,IF(COUNTIF(N248:N$602,N247)=0,1,0))</f>
        <v/>
      </c>
      <c r="P247" s="32">
        <f>IF(AND(O247=1,E247&lt;&gt;""),E247,"")</f>
        <v/>
      </c>
      <c r="Q247" s="32">
        <f>IF(O247=1,B247,"")</f>
        <v/>
      </c>
      <c r="R247" s="32">
        <f>IF(O247&lt;&gt;1,"",IF(E247&lt;&gt;"",IFERROR(MATCH(E247,Guests!$S$6:$S$505,0)+5,IFERROR(MATCH(B247,Guests!$A$6:$A$505,0)+5,"")),IFERROR(MATCH(B247,Guests!$A$6:$A$505,0)+5,"")))</f>
        <v/>
      </c>
      <c r="S247" s="32">
        <f>IF(R247="","",TRIM(INDEX(Guests!$E$1:$E$505,R247)&amp;""))</f>
        <v/>
      </c>
      <c r="T247" s="32">
        <f>IF(R247="","",IF(S247="",1,COUNTIF(Guests!$E$6:$E$505,S247)))</f>
        <v/>
      </c>
      <c r="U247" s="32">
        <f>IF(R247="","",IF(S247="",1,IF(COUNTIF(S$1:S246,S247)=0,1,0)))</f>
        <v/>
      </c>
      <c r="V247" s="32">
        <f>IF(AND(R247&lt;&gt;"",G247="Attending",U247=1),MAX(0,H247+I247-T247),0)</f>
        <v/>
      </c>
      <c r="W247" s="32">
        <f>IF(AND(O247=1,R247=""),1,0)</f>
        <v/>
      </c>
      <c r="X247" s="32">
        <f>IF(B247="",0,H247+I247)</f>
        <v/>
      </c>
      <c r="Y247" s="32">
        <f>N(Y246)+O247</f>
        <v/>
      </c>
      <c r="Z247" s="32">
        <f>IF(O247=1,Y247,"")</f>
        <v/>
      </c>
      <c r="AA247" s="32">
        <f>IF(AND(W247=1,G247="Not sure yet"),1,0)</f>
        <v/>
      </c>
      <c r="AB247" s="32">
        <f>N(AB246)+AA247</f>
        <v/>
      </c>
      <c r="AC247" s="32">
        <f>IF(AA247=1,AB247,"")</f>
        <v/>
      </c>
      <c r="AD247" s="32">
        <f>IF(D247="","",IF(LEN(D247)=10,"+1"&amp;D247,IF(AND(LEN(D247)=11,LEFT(D247,1)="1"),"+"&amp;D247,IF(LEFT(C247,1)="+","+"&amp;D247,D247))))</f>
        <v/>
      </c>
      <c r="AE247" s="32">
        <f>IF(B247="","",PROPER(IFERROR(LEFT(B247,FIND(" ",B247)-1),B247)))</f>
        <v/>
      </c>
      <c r="AF247" s="32">
        <f>SUBSTITUTE(SUBSTITUTE(SUBSTITUTE(SUBSTITUTE(SUBSTITUTE(SUBSTITUTE(SUBSTITUTE(SUBSTITUTE(SUBSTITUTE(SUBSTITUTE(AE247,"%","%25"),"&amp;","%26"),"#","%23"),"+","%2B"),"=","%3D"),"?","%3F"),CHAR(34),"%22"),CHAR(10),"%0A"),CHAR(13),"")," ","+")</f>
        <v/>
      </c>
      <c r="AG247" s="32">
        <f>IF(OR(AD247="",AE247=""),"",'Start Here'!$B$20&amp;"#p="&amp;SUBSTITUTE(AD247,"+","%2B")&amp;"&amp;n="&amp;AF247&amp;"&amp;m="&amp;SUBSTITUTE('Start Here'!$B$24,"{name}",AF247))</f>
        <v/>
      </c>
      <c r="AH247" s="32">
        <f>N(AH246)+W247</f>
        <v/>
      </c>
      <c r="AI247" s="32">
        <f>IF(W247=1,AH247,"")</f>
        <v/>
      </c>
    </row>
    <row r="248">
      <c r="A248" s="32">
        <f>IF(INDEX('Form Responses'!$A:$A,ROW())="","",INDEX('Form Responses'!$A:$A,ROW()))</f>
        <v/>
      </c>
      <c r="B248" s="32">
        <f>TRIM(INDEX('Form Responses'!$B:$B,ROW())&amp;"")</f>
        <v/>
      </c>
      <c r="C248" s="32">
        <f>IF(B248="","",TRIM(INDEX('Form Responses'!$C:$C,ROW())&amp;""))</f>
        <v/>
      </c>
      <c r="D248" s="32">
        <f>SUBSTITUTE(SUBSTITUTE(SUBSTITUTE(SUBSTITUTE(SUBSTITUTE(SUBSTITUTE(SUBSTITUTE(SUBSTITUTE(C248," ",""),"-",""),"(",""),")",""),".",""),"+",""),"/",""),CHAR(160),"")</f>
        <v/>
      </c>
      <c r="E248" s="32">
        <f>IF(LEN(D248)&gt;=10,RIGHT(D248,10),D248)</f>
        <v/>
      </c>
      <c r="F248" s="32">
        <f>IF(B248="","",TRIM(INDEX('Form Responses'!$D:$D,ROW())&amp;""))</f>
        <v/>
      </c>
      <c r="G248" s="32">
        <f>IF(B248="","",IF(LEFT(TRIM(INDEX('Form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8" s="32">
        <f>IF(B248="","",MAX(0,IFERROR(INT(--(INDEX('Form Responses'!$F:$F,ROW())&amp;"")),1)))</f>
        <v/>
      </c>
      <c r="I248" s="32">
        <f>IF(B248="","",MAX(0,IFERROR(INT(--(INDEX('Form Responses'!$G:$G,ROW())&amp;"")),0)))</f>
        <v/>
      </c>
      <c r="J248" s="32">
        <f>IF(B248="","",TRIM(INDEX('Form Responses'!$H:$H,ROW())&amp;""))</f>
        <v/>
      </c>
      <c r="K248" s="32">
        <f>IF(B248="","",TRIM(INDEX('Form Responses'!$I:$I,ROW())&amp;""))</f>
        <v/>
      </c>
      <c r="L248" s="32">
        <f>IF(B248="","",TRIM(INDEX('Form Responses'!$J:$J,ROW())&amp;""))</f>
        <v/>
      </c>
      <c r="M248" s="32">
        <f>IF(B248="","",TRIM(INDEX('Form Responses'!$K:$K,ROW())&amp;""))</f>
        <v/>
      </c>
      <c r="N248" s="32">
        <f>IF(B248="","",IF(E248&lt;&gt;"","P"&amp;E248,"N"&amp;B248))</f>
        <v/>
      </c>
      <c r="O248" s="32">
        <f>IF(N248="",0,IF(COUNTIF(N249:N$602,N248)=0,1,0))</f>
        <v/>
      </c>
      <c r="P248" s="32">
        <f>IF(AND(O248=1,E248&lt;&gt;""),E248,"")</f>
        <v/>
      </c>
      <c r="Q248" s="32">
        <f>IF(O248=1,B248,"")</f>
        <v/>
      </c>
      <c r="R248" s="32">
        <f>IF(O248&lt;&gt;1,"",IF(E248&lt;&gt;"",IFERROR(MATCH(E248,Guests!$S$6:$S$505,0)+5,IFERROR(MATCH(B248,Guests!$A$6:$A$505,0)+5,"")),IFERROR(MATCH(B248,Guests!$A$6:$A$505,0)+5,"")))</f>
        <v/>
      </c>
      <c r="S248" s="32">
        <f>IF(R248="","",TRIM(INDEX(Guests!$E$1:$E$505,R248)&amp;""))</f>
        <v/>
      </c>
      <c r="T248" s="32">
        <f>IF(R248="","",IF(S248="",1,COUNTIF(Guests!$E$6:$E$505,S248)))</f>
        <v/>
      </c>
      <c r="U248" s="32">
        <f>IF(R248="","",IF(S248="",1,IF(COUNTIF(S$1:S247,S248)=0,1,0)))</f>
        <v/>
      </c>
      <c r="V248" s="32">
        <f>IF(AND(R248&lt;&gt;"",G248="Attending",U248=1),MAX(0,H248+I248-T248),0)</f>
        <v/>
      </c>
      <c r="W248" s="32">
        <f>IF(AND(O248=1,R248=""),1,0)</f>
        <v/>
      </c>
      <c r="X248" s="32">
        <f>IF(B248="",0,H248+I248)</f>
        <v/>
      </c>
      <c r="Y248" s="32">
        <f>N(Y247)+O248</f>
        <v/>
      </c>
      <c r="Z248" s="32">
        <f>IF(O248=1,Y248,"")</f>
        <v/>
      </c>
      <c r="AA248" s="32">
        <f>IF(AND(W248=1,G248="Not sure yet"),1,0)</f>
        <v/>
      </c>
      <c r="AB248" s="32">
        <f>N(AB247)+AA248</f>
        <v/>
      </c>
      <c r="AC248" s="32">
        <f>IF(AA248=1,AB248,"")</f>
        <v/>
      </c>
      <c r="AD248" s="32">
        <f>IF(D248="","",IF(LEN(D248)=10,"+1"&amp;D248,IF(AND(LEN(D248)=11,LEFT(D248,1)="1"),"+"&amp;D248,IF(LEFT(C248,1)="+","+"&amp;D248,D248))))</f>
        <v/>
      </c>
      <c r="AE248" s="32">
        <f>IF(B248="","",PROPER(IFERROR(LEFT(B248,FIND(" ",B248)-1),B248)))</f>
        <v/>
      </c>
      <c r="AF248" s="32">
        <f>SUBSTITUTE(SUBSTITUTE(SUBSTITUTE(SUBSTITUTE(SUBSTITUTE(SUBSTITUTE(SUBSTITUTE(SUBSTITUTE(SUBSTITUTE(SUBSTITUTE(AE248,"%","%25"),"&amp;","%26"),"#","%23"),"+","%2B"),"=","%3D"),"?","%3F"),CHAR(34),"%22"),CHAR(10),"%0A"),CHAR(13),"")," ","+")</f>
        <v/>
      </c>
      <c r="AG248" s="32">
        <f>IF(OR(AD248="",AE248=""),"",'Start Here'!$B$20&amp;"#p="&amp;SUBSTITUTE(AD248,"+","%2B")&amp;"&amp;n="&amp;AF248&amp;"&amp;m="&amp;SUBSTITUTE('Start Here'!$B$24,"{name}",AF248))</f>
        <v/>
      </c>
      <c r="AH248" s="32">
        <f>N(AH247)+W248</f>
        <v/>
      </c>
      <c r="AI248" s="32">
        <f>IF(W248=1,AH248,"")</f>
        <v/>
      </c>
    </row>
    <row r="249">
      <c r="A249" s="32">
        <f>IF(INDEX('Form Responses'!$A:$A,ROW())="","",INDEX('Form Responses'!$A:$A,ROW()))</f>
        <v/>
      </c>
      <c r="B249" s="32">
        <f>TRIM(INDEX('Form Responses'!$B:$B,ROW())&amp;"")</f>
        <v/>
      </c>
      <c r="C249" s="32">
        <f>IF(B249="","",TRIM(INDEX('Form Responses'!$C:$C,ROW())&amp;""))</f>
        <v/>
      </c>
      <c r="D249" s="32">
        <f>SUBSTITUTE(SUBSTITUTE(SUBSTITUTE(SUBSTITUTE(SUBSTITUTE(SUBSTITUTE(SUBSTITUTE(SUBSTITUTE(C249," ",""),"-",""),"(",""),")",""),".",""),"+",""),"/",""),CHAR(160),"")</f>
        <v/>
      </c>
      <c r="E249" s="32">
        <f>IF(LEN(D249)&gt;=10,RIGHT(D249,10),D249)</f>
        <v/>
      </c>
      <c r="F249" s="32">
        <f>IF(B249="","",TRIM(INDEX('Form Responses'!$D:$D,ROW())&amp;""))</f>
        <v/>
      </c>
      <c r="G249" s="32">
        <f>IF(B249="","",IF(LEFT(TRIM(INDEX('Form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49" s="32">
        <f>IF(B249="","",MAX(0,IFERROR(INT(--(INDEX('Form Responses'!$F:$F,ROW())&amp;"")),1)))</f>
        <v/>
      </c>
      <c r="I249" s="32">
        <f>IF(B249="","",MAX(0,IFERROR(INT(--(INDEX('Form Responses'!$G:$G,ROW())&amp;"")),0)))</f>
        <v/>
      </c>
      <c r="J249" s="32">
        <f>IF(B249="","",TRIM(INDEX('Form Responses'!$H:$H,ROW())&amp;""))</f>
        <v/>
      </c>
      <c r="K249" s="32">
        <f>IF(B249="","",TRIM(INDEX('Form Responses'!$I:$I,ROW())&amp;""))</f>
        <v/>
      </c>
      <c r="L249" s="32">
        <f>IF(B249="","",TRIM(INDEX('Form Responses'!$J:$J,ROW())&amp;""))</f>
        <v/>
      </c>
      <c r="M249" s="32">
        <f>IF(B249="","",TRIM(INDEX('Form Responses'!$K:$K,ROW())&amp;""))</f>
        <v/>
      </c>
      <c r="N249" s="32">
        <f>IF(B249="","",IF(E249&lt;&gt;"","P"&amp;E249,"N"&amp;B249))</f>
        <v/>
      </c>
      <c r="O249" s="32">
        <f>IF(N249="",0,IF(COUNTIF(N250:N$602,N249)=0,1,0))</f>
        <v/>
      </c>
      <c r="P249" s="32">
        <f>IF(AND(O249=1,E249&lt;&gt;""),E249,"")</f>
        <v/>
      </c>
      <c r="Q249" s="32">
        <f>IF(O249=1,B249,"")</f>
        <v/>
      </c>
      <c r="R249" s="32">
        <f>IF(O249&lt;&gt;1,"",IF(E249&lt;&gt;"",IFERROR(MATCH(E249,Guests!$S$6:$S$505,0)+5,IFERROR(MATCH(B249,Guests!$A$6:$A$505,0)+5,"")),IFERROR(MATCH(B249,Guests!$A$6:$A$505,0)+5,"")))</f>
        <v/>
      </c>
      <c r="S249" s="32">
        <f>IF(R249="","",TRIM(INDEX(Guests!$E$1:$E$505,R249)&amp;""))</f>
        <v/>
      </c>
      <c r="T249" s="32">
        <f>IF(R249="","",IF(S249="",1,COUNTIF(Guests!$E$6:$E$505,S249)))</f>
        <v/>
      </c>
      <c r="U249" s="32">
        <f>IF(R249="","",IF(S249="",1,IF(COUNTIF(S$1:S248,S249)=0,1,0)))</f>
        <v/>
      </c>
      <c r="V249" s="32">
        <f>IF(AND(R249&lt;&gt;"",G249="Attending",U249=1),MAX(0,H249+I249-T249),0)</f>
        <v/>
      </c>
      <c r="W249" s="32">
        <f>IF(AND(O249=1,R249=""),1,0)</f>
        <v/>
      </c>
      <c r="X249" s="32">
        <f>IF(B249="",0,H249+I249)</f>
        <v/>
      </c>
      <c r="Y249" s="32">
        <f>N(Y248)+O249</f>
        <v/>
      </c>
      <c r="Z249" s="32">
        <f>IF(O249=1,Y249,"")</f>
        <v/>
      </c>
      <c r="AA249" s="32">
        <f>IF(AND(W249=1,G249="Not sure yet"),1,0)</f>
        <v/>
      </c>
      <c r="AB249" s="32">
        <f>N(AB248)+AA249</f>
        <v/>
      </c>
      <c r="AC249" s="32">
        <f>IF(AA249=1,AB249,"")</f>
        <v/>
      </c>
      <c r="AD249" s="32">
        <f>IF(D249="","",IF(LEN(D249)=10,"+1"&amp;D249,IF(AND(LEN(D249)=11,LEFT(D249,1)="1"),"+"&amp;D249,IF(LEFT(C249,1)="+","+"&amp;D249,D249))))</f>
        <v/>
      </c>
      <c r="AE249" s="32">
        <f>IF(B249="","",PROPER(IFERROR(LEFT(B249,FIND(" ",B249)-1),B249)))</f>
        <v/>
      </c>
      <c r="AF249" s="32">
        <f>SUBSTITUTE(SUBSTITUTE(SUBSTITUTE(SUBSTITUTE(SUBSTITUTE(SUBSTITUTE(SUBSTITUTE(SUBSTITUTE(SUBSTITUTE(SUBSTITUTE(AE249,"%","%25"),"&amp;","%26"),"#","%23"),"+","%2B"),"=","%3D"),"?","%3F"),CHAR(34),"%22"),CHAR(10),"%0A"),CHAR(13),"")," ","+")</f>
        <v/>
      </c>
      <c r="AG249" s="32">
        <f>IF(OR(AD249="",AE249=""),"",'Start Here'!$B$20&amp;"#p="&amp;SUBSTITUTE(AD249,"+","%2B")&amp;"&amp;n="&amp;AF249&amp;"&amp;m="&amp;SUBSTITUTE('Start Here'!$B$24,"{name}",AF249))</f>
        <v/>
      </c>
      <c r="AH249" s="32">
        <f>N(AH248)+W249</f>
        <v/>
      </c>
      <c r="AI249" s="32">
        <f>IF(W249=1,AH249,"")</f>
        <v/>
      </c>
    </row>
    <row r="250">
      <c r="A250" s="32">
        <f>IF(INDEX('Form Responses'!$A:$A,ROW())="","",INDEX('Form Responses'!$A:$A,ROW()))</f>
        <v/>
      </c>
      <c r="B250" s="32">
        <f>TRIM(INDEX('Form Responses'!$B:$B,ROW())&amp;"")</f>
        <v/>
      </c>
      <c r="C250" s="32">
        <f>IF(B250="","",TRIM(INDEX('Form Responses'!$C:$C,ROW())&amp;""))</f>
        <v/>
      </c>
      <c r="D250" s="32">
        <f>SUBSTITUTE(SUBSTITUTE(SUBSTITUTE(SUBSTITUTE(SUBSTITUTE(SUBSTITUTE(SUBSTITUTE(SUBSTITUTE(C250," ",""),"-",""),"(",""),")",""),".",""),"+",""),"/",""),CHAR(160),"")</f>
        <v/>
      </c>
      <c r="E250" s="32">
        <f>IF(LEN(D250)&gt;=10,RIGHT(D250,10),D250)</f>
        <v/>
      </c>
      <c r="F250" s="32">
        <f>IF(B250="","",TRIM(INDEX('Form Responses'!$D:$D,ROW())&amp;""))</f>
        <v/>
      </c>
      <c r="G250" s="32">
        <f>IF(B250="","",IF(LEFT(TRIM(INDEX('Form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0" s="32">
        <f>IF(B250="","",MAX(0,IFERROR(INT(--(INDEX('Form Responses'!$F:$F,ROW())&amp;"")),1)))</f>
        <v/>
      </c>
      <c r="I250" s="32">
        <f>IF(B250="","",MAX(0,IFERROR(INT(--(INDEX('Form Responses'!$G:$G,ROW())&amp;"")),0)))</f>
        <v/>
      </c>
      <c r="J250" s="32">
        <f>IF(B250="","",TRIM(INDEX('Form Responses'!$H:$H,ROW())&amp;""))</f>
        <v/>
      </c>
      <c r="K250" s="32">
        <f>IF(B250="","",TRIM(INDEX('Form Responses'!$I:$I,ROW())&amp;""))</f>
        <v/>
      </c>
      <c r="L250" s="32">
        <f>IF(B250="","",TRIM(INDEX('Form Responses'!$J:$J,ROW())&amp;""))</f>
        <v/>
      </c>
      <c r="M250" s="32">
        <f>IF(B250="","",TRIM(INDEX('Form Responses'!$K:$K,ROW())&amp;""))</f>
        <v/>
      </c>
      <c r="N250" s="32">
        <f>IF(B250="","",IF(E250&lt;&gt;"","P"&amp;E250,"N"&amp;B250))</f>
        <v/>
      </c>
      <c r="O250" s="32">
        <f>IF(N250="",0,IF(COUNTIF(N251:N$602,N250)=0,1,0))</f>
        <v/>
      </c>
      <c r="P250" s="32">
        <f>IF(AND(O250=1,E250&lt;&gt;""),E250,"")</f>
        <v/>
      </c>
      <c r="Q250" s="32">
        <f>IF(O250=1,B250,"")</f>
        <v/>
      </c>
      <c r="R250" s="32">
        <f>IF(O250&lt;&gt;1,"",IF(E250&lt;&gt;"",IFERROR(MATCH(E250,Guests!$S$6:$S$505,0)+5,IFERROR(MATCH(B250,Guests!$A$6:$A$505,0)+5,"")),IFERROR(MATCH(B250,Guests!$A$6:$A$505,0)+5,"")))</f>
        <v/>
      </c>
      <c r="S250" s="32">
        <f>IF(R250="","",TRIM(INDEX(Guests!$E$1:$E$505,R250)&amp;""))</f>
        <v/>
      </c>
      <c r="T250" s="32">
        <f>IF(R250="","",IF(S250="",1,COUNTIF(Guests!$E$6:$E$505,S250)))</f>
        <v/>
      </c>
      <c r="U250" s="32">
        <f>IF(R250="","",IF(S250="",1,IF(COUNTIF(S$1:S249,S250)=0,1,0)))</f>
        <v/>
      </c>
      <c r="V250" s="32">
        <f>IF(AND(R250&lt;&gt;"",G250="Attending",U250=1),MAX(0,H250+I250-T250),0)</f>
        <v/>
      </c>
      <c r="W250" s="32">
        <f>IF(AND(O250=1,R250=""),1,0)</f>
        <v/>
      </c>
      <c r="X250" s="32">
        <f>IF(B250="",0,H250+I250)</f>
        <v/>
      </c>
      <c r="Y250" s="32">
        <f>N(Y249)+O250</f>
        <v/>
      </c>
      <c r="Z250" s="32">
        <f>IF(O250=1,Y250,"")</f>
        <v/>
      </c>
      <c r="AA250" s="32">
        <f>IF(AND(W250=1,G250="Not sure yet"),1,0)</f>
        <v/>
      </c>
      <c r="AB250" s="32">
        <f>N(AB249)+AA250</f>
        <v/>
      </c>
      <c r="AC250" s="32">
        <f>IF(AA250=1,AB250,"")</f>
        <v/>
      </c>
      <c r="AD250" s="32">
        <f>IF(D250="","",IF(LEN(D250)=10,"+1"&amp;D250,IF(AND(LEN(D250)=11,LEFT(D250,1)="1"),"+"&amp;D250,IF(LEFT(C250,1)="+","+"&amp;D250,D250))))</f>
        <v/>
      </c>
      <c r="AE250" s="32">
        <f>IF(B250="","",PROPER(IFERROR(LEFT(B250,FIND(" ",B250)-1),B250)))</f>
        <v/>
      </c>
      <c r="AF250" s="32">
        <f>SUBSTITUTE(SUBSTITUTE(SUBSTITUTE(SUBSTITUTE(SUBSTITUTE(SUBSTITUTE(SUBSTITUTE(SUBSTITUTE(SUBSTITUTE(SUBSTITUTE(AE250,"%","%25"),"&amp;","%26"),"#","%23"),"+","%2B"),"=","%3D"),"?","%3F"),CHAR(34),"%22"),CHAR(10),"%0A"),CHAR(13),"")," ","+")</f>
        <v/>
      </c>
      <c r="AG250" s="32">
        <f>IF(OR(AD250="",AE250=""),"",'Start Here'!$B$20&amp;"#p="&amp;SUBSTITUTE(AD250,"+","%2B")&amp;"&amp;n="&amp;AF250&amp;"&amp;m="&amp;SUBSTITUTE('Start Here'!$B$24,"{name}",AF250))</f>
        <v/>
      </c>
      <c r="AH250" s="32">
        <f>N(AH249)+W250</f>
        <v/>
      </c>
      <c r="AI250" s="32">
        <f>IF(W250=1,AH250,"")</f>
        <v/>
      </c>
    </row>
    <row r="251">
      <c r="A251" s="32">
        <f>IF(INDEX('Form Responses'!$A:$A,ROW())="","",INDEX('Form Responses'!$A:$A,ROW()))</f>
        <v/>
      </c>
      <c r="B251" s="32">
        <f>TRIM(INDEX('Form Responses'!$B:$B,ROW())&amp;"")</f>
        <v/>
      </c>
      <c r="C251" s="32">
        <f>IF(B251="","",TRIM(INDEX('Form Responses'!$C:$C,ROW())&amp;""))</f>
        <v/>
      </c>
      <c r="D251" s="32">
        <f>SUBSTITUTE(SUBSTITUTE(SUBSTITUTE(SUBSTITUTE(SUBSTITUTE(SUBSTITUTE(SUBSTITUTE(SUBSTITUTE(C251," ",""),"-",""),"(",""),")",""),".",""),"+",""),"/",""),CHAR(160),"")</f>
        <v/>
      </c>
      <c r="E251" s="32">
        <f>IF(LEN(D251)&gt;=10,RIGHT(D251,10),D251)</f>
        <v/>
      </c>
      <c r="F251" s="32">
        <f>IF(B251="","",TRIM(INDEX('Form Responses'!$D:$D,ROW())&amp;""))</f>
        <v/>
      </c>
      <c r="G251" s="32">
        <f>IF(B251="","",IF(LEFT(TRIM(INDEX('Form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1" s="32">
        <f>IF(B251="","",MAX(0,IFERROR(INT(--(INDEX('Form Responses'!$F:$F,ROW())&amp;"")),1)))</f>
        <v/>
      </c>
      <c r="I251" s="32">
        <f>IF(B251="","",MAX(0,IFERROR(INT(--(INDEX('Form Responses'!$G:$G,ROW())&amp;"")),0)))</f>
        <v/>
      </c>
      <c r="J251" s="32">
        <f>IF(B251="","",TRIM(INDEX('Form Responses'!$H:$H,ROW())&amp;""))</f>
        <v/>
      </c>
      <c r="K251" s="32">
        <f>IF(B251="","",TRIM(INDEX('Form Responses'!$I:$I,ROW())&amp;""))</f>
        <v/>
      </c>
      <c r="L251" s="32">
        <f>IF(B251="","",TRIM(INDEX('Form Responses'!$J:$J,ROW())&amp;""))</f>
        <v/>
      </c>
      <c r="M251" s="32">
        <f>IF(B251="","",TRIM(INDEX('Form Responses'!$K:$K,ROW())&amp;""))</f>
        <v/>
      </c>
      <c r="N251" s="32">
        <f>IF(B251="","",IF(E251&lt;&gt;"","P"&amp;E251,"N"&amp;B251))</f>
        <v/>
      </c>
      <c r="O251" s="32">
        <f>IF(N251="",0,IF(COUNTIF(N252:N$602,N251)=0,1,0))</f>
        <v/>
      </c>
      <c r="P251" s="32">
        <f>IF(AND(O251=1,E251&lt;&gt;""),E251,"")</f>
        <v/>
      </c>
      <c r="Q251" s="32">
        <f>IF(O251=1,B251,"")</f>
        <v/>
      </c>
      <c r="R251" s="32">
        <f>IF(O251&lt;&gt;1,"",IF(E251&lt;&gt;"",IFERROR(MATCH(E251,Guests!$S$6:$S$505,0)+5,IFERROR(MATCH(B251,Guests!$A$6:$A$505,0)+5,"")),IFERROR(MATCH(B251,Guests!$A$6:$A$505,0)+5,"")))</f>
        <v/>
      </c>
      <c r="S251" s="32">
        <f>IF(R251="","",TRIM(INDEX(Guests!$E$1:$E$505,R251)&amp;""))</f>
        <v/>
      </c>
      <c r="T251" s="32">
        <f>IF(R251="","",IF(S251="",1,COUNTIF(Guests!$E$6:$E$505,S251)))</f>
        <v/>
      </c>
      <c r="U251" s="32">
        <f>IF(R251="","",IF(S251="",1,IF(COUNTIF(S$1:S250,S251)=0,1,0)))</f>
        <v/>
      </c>
      <c r="V251" s="32">
        <f>IF(AND(R251&lt;&gt;"",G251="Attending",U251=1),MAX(0,H251+I251-T251),0)</f>
        <v/>
      </c>
      <c r="W251" s="32">
        <f>IF(AND(O251=1,R251=""),1,0)</f>
        <v/>
      </c>
      <c r="X251" s="32">
        <f>IF(B251="",0,H251+I251)</f>
        <v/>
      </c>
      <c r="Y251" s="32">
        <f>N(Y250)+O251</f>
        <v/>
      </c>
      <c r="Z251" s="32">
        <f>IF(O251=1,Y251,"")</f>
        <v/>
      </c>
      <c r="AA251" s="32">
        <f>IF(AND(W251=1,G251="Not sure yet"),1,0)</f>
        <v/>
      </c>
      <c r="AB251" s="32">
        <f>N(AB250)+AA251</f>
        <v/>
      </c>
      <c r="AC251" s="32">
        <f>IF(AA251=1,AB251,"")</f>
        <v/>
      </c>
      <c r="AD251" s="32">
        <f>IF(D251="","",IF(LEN(D251)=10,"+1"&amp;D251,IF(AND(LEN(D251)=11,LEFT(D251,1)="1"),"+"&amp;D251,IF(LEFT(C251,1)="+","+"&amp;D251,D251))))</f>
        <v/>
      </c>
      <c r="AE251" s="32">
        <f>IF(B251="","",PROPER(IFERROR(LEFT(B251,FIND(" ",B251)-1),B251)))</f>
        <v/>
      </c>
      <c r="AF251" s="32">
        <f>SUBSTITUTE(SUBSTITUTE(SUBSTITUTE(SUBSTITUTE(SUBSTITUTE(SUBSTITUTE(SUBSTITUTE(SUBSTITUTE(SUBSTITUTE(SUBSTITUTE(AE251,"%","%25"),"&amp;","%26"),"#","%23"),"+","%2B"),"=","%3D"),"?","%3F"),CHAR(34),"%22"),CHAR(10),"%0A"),CHAR(13),"")," ","+")</f>
        <v/>
      </c>
      <c r="AG251" s="32">
        <f>IF(OR(AD251="",AE251=""),"",'Start Here'!$B$20&amp;"#p="&amp;SUBSTITUTE(AD251,"+","%2B")&amp;"&amp;n="&amp;AF251&amp;"&amp;m="&amp;SUBSTITUTE('Start Here'!$B$24,"{name}",AF251))</f>
        <v/>
      </c>
      <c r="AH251" s="32">
        <f>N(AH250)+W251</f>
        <v/>
      </c>
      <c r="AI251" s="32">
        <f>IF(W251=1,AH251,"")</f>
        <v/>
      </c>
    </row>
    <row r="252">
      <c r="A252" s="32">
        <f>IF(INDEX('Form Responses'!$A:$A,ROW())="","",INDEX('Form Responses'!$A:$A,ROW()))</f>
        <v/>
      </c>
      <c r="B252" s="32">
        <f>TRIM(INDEX('Form Responses'!$B:$B,ROW())&amp;"")</f>
        <v/>
      </c>
      <c r="C252" s="32">
        <f>IF(B252="","",TRIM(INDEX('Form Responses'!$C:$C,ROW())&amp;""))</f>
        <v/>
      </c>
      <c r="D252" s="32">
        <f>SUBSTITUTE(SUBSTITUTE(SUBSTITUTE(SUBSTITUTE(SUBSTITUTE(SUBSTITUTE(SUBSTITUTE(SUBSTITUTE(C252," ",""),"-",""),"(",""),")",""),".",""),"+",""),"/",""),CHAR(160),"")</f>
        <v/>
      </c>
      <c r="E252" s="32">
        <f>IF(LEN(D252)&gt;=10,RIGHT(D252,10),D252)</f>
        <v/>
      </c>
      <c r="F252" s="32">
        <f>IF(B252="","",TRIM(INDEX('Form Responses'!$D:$D,ROW())&amp;""))</f>
        <v/>
      </c>
      <c r="G252" s="32">
        <f>IF(B252="","",IF(LEFT(TRIM(INDEX('Form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2" s="32">
        <f>IF(B252="","",MAX(0,IFERROR(INT(--(INDEX('Form Responses'!$F:$F,ROW())&amp;"")),1)))</f>
        <v/>
      </c>
      <c r="I252" s="32">
        <f>IF(B252="","",MAX(0,IFERROR(INT(--(INDEX('Form Responses'!$G:$G,ROW())&amp;"")),0)))</f>
        <v/>
      </c>
      <c r="J252" s="32">
        <f>IF(B252="","",TRIM(INDEX('Form Responses'!$H:$H,ROW())&amp;""))</f>
        <v/>
      </c>
      <c r="K252" s="32">
        <f>IF(B252="","",TRIM(INDEX('Form Responses'!$I:$I,ROW())&amp;""))</f>
        <v/>
      </c>
      <c r="L252" s="32">
        <f>IF(B252="","",TRIM(INDEX('Form Responses'!$J:$J,ROW())&amp;""))</f>
        <v/>
      </c>
      <c r="M252" s="32">
        <f>IF(B252="","",TRIM(INDEX('Form Responses'!$K:$K,ROW())&amp;""))</f>
        <v/>
      </c>
      <c r="N252" s="32">
        <f>IF(B252="","",IF(E252&lt;&gt;"","P"&amp;E252,"N"&amp;B252))</f>
        <v/>
      </c>
      <c r="O252" s="32">
        <f>IF(N252="",0,IF(COUNTIF(N253:N$602,N252)=0,1,0))</f>
        <v/>
      </c>
      <c r="P252" s="32">
        <f>IF(AND(O252=1,E252&lt;&gt;""),E252,"")</f>
        <v/>
      </c>
      <c r="Q252" s="32">
        <f>IF(O252=1,B252,"")</f>
        <v/>
      </c>
      <c r="R252" s="32">
        <f>IF(O252&lt;&gt;1,"",IF(E252&lt;&gt;"",IFERROR(MATCH(E252,Guests!$S$6:$S$505,0)+5,IFERROR(MATCH(B252,Guests!$A$6:$A$505,0)+5,"")),IFERROR(MATCH(B252,Guests!$A$6:$A$505,0)+5,"")))</f>
        <v/>
      </c>
      <c r="S252" s="32">
        <f>IF(R252="","",TRIM(INDEX(Guests!$E$1:$E$505,R252)&amp;""))</f>
        <v/>
      </c>
      <c r="T252" s="32">
        <f>IF(R252="","",IF(S252="",1,COUNTIF(Guests!$E$6:$E$505,S252)))</f>
        <v/>
      </c>
      <c r="U252" s="32">
        <f>IF(R252="","",IF(S252="",1,IF(COUNTIF(S$1:S251,S252)=0,1,0)))</f>
        <v/>
      </c>
      <c r="V252" s="32">
        <f>IF(AND(R252&lt;&gt;"",G252="Attending",U252=1),MAX(0,H252+I252-T252),0)</f>
        <v/>
      </c>
      <c r="W252" s="32">
        <f>IF(AND(O252=1,R252=""),1,0)</f>
        <v/>
      </c>
      <c r="X252" s="32">
        <f>IF(B252="",0,H252+I252)</f>
        <v/>
      </c>
      <c r="Y252" s="32">
        <f>N(Y251)+O252</f>
        <v/>
      </c>
      <c r="Z252" s="32">
        <f>IF(O252=1,Y252,"")</f>
        <v/>
      </c>
      <c r="AA252" s="32">
        <f>IF(AND(W252=1,G252="Not sure yet"),1,0)</f>
        <v/>
      </c>
      <c r="AB252" s="32">
        <f>N(AB251)+AA252</f>
        <v/>
      </c>
      <c r="AC252" s="32">
        <f>IF(AA252=1,AB252,"")</f>
        <v/>
      </c>
      <c r="AD252" s="32">
        <f>IF(D252="","",IF(LEN(D252)=10,"+1"&amp;D252,IF(AND(LEN(D252)=11,LEFT(D252,1)="1"),"+"&amp;D252,IF(LEFT(C252,1)="+","+"&amp;D252,D252))))</f>
        <v/>
      </c>
      <c r="AE252" s="32">
        <f>IF(B252="","",PROPER(IFERROR(LEFT(B252,FIND(" ",B252)-1),B252)))</f>
        <v/>
      </c>
      <c r="AF252" s="32">
        <f>SUBSTITUTE(SUBSTITUTE(SUBSTITUTE(SUBSTITUTE(SUBSTITUTE(SUBSTITUTE(SUBSTITUTE(SUBSTITUTE(SUBSTITUTE(SUBSTITUTE(AE252,"%","%25"),"&amp;","%26"),"#","%23"),"+","%2B"),"=","%3D"),"?","%3F"),CHAR(34),"%22"),CHAR(10),"%0A"),CHAR(13),"")," ","+")</f>
        <v/>
      </c>
      <c r="AG252" s="32">
        <f>IF(OR(AD252="",AE252=""),"",'Start Here'!$B$20&amp;"#p="&amp;SUBSTITUTE(AD252,"+","%2B")&amp;"&amp;n="&amp;AF252&amp;"&amp;m="&amp;SUBSTITUTE('Start Here'!$B$24,"{name}",AF252))</f>
        <v/>
      </c>
      <c r="AH252" s="32">
        <f>N(AH251)+W252</f>
        <v/>
      </c>
      <c r="AI252" s="32">
        <f>IF(W252=1,AH252,"")</f>
        <v/>
      </c>
    </row>
    <row r="253">
      <c r="A253" s="32">
        <f>IF(INDEX('Form Responses'!$A:$A,ROW())="","",INDEX('Form Responses'!$A:$A,ROW()))</f>
        <v/>
      </c>
      <c r="B253" s="32">
        <f>TRIM(INDEX('Form Responses'!$B:$B,ROW())&amp;"")</f>
        <v/>
      </c>
      <c r="C253" s="32">
        <f>IF(B253="","",TRIM(INDEX('Form Responses'!$C:$C,ROW())&amp;""))</f>
        <v/>
      </c>
      <c r="D253" s="32">
        <f>SUBSTITUTE(SUBSTITUTE(SUBSTITUTE(SUBSTITUTE(SUBSTITUTE(SUBSTITUTE(SUBSTITUTE(SUBSTITUTE(C253," ",""),"-",""),"(",""),")",""),".",""),"+",""),"/",""),CHAR(160),"")</f>
        <v/>
      </c>
      <c r="E253" s="32">
        <f>IF(LEN(D253)&gt;=10,RIGHT(D253,10),D253)</f>
        <v/>
      </c>
      <c r="F253" s="32">
        <f>IF(B253="","",TRIM(INDEX('Form Responses'!$D:$D,ROW())&amp;""))</f>
        <v/>
      </c>
      <c r="G253" s="32">
        <f>IF(B253="","",IF(LEFT(TRIM(INDEX('Form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3" s="32">
        <f>IF(B253="","",MAX(0,IFERROR(INT(--(INDEX('Form Responses'!$F:$F,ROW())&amp;"")),1)))</f>
        <v/>
      </c>
      <c r="I253" s="32">
        <f>IF(B253="","",MAX(0,IFERROR(INT(--(INDEX('Form Responses'!$G:$G,ROW())&amp;"")),0)))</f>
        <v/>
      </c>
      <c r="J253" s="32">
        <f>IF(B253="","",TRIM(INDEX('Form Responses'!$H:$H,ROW())&amp;""))</f>
        <v/>
      </c>
      <c r="K253" s="32">
        <f>IF(B253="","",TRIM(INDEX('Form Responses'!$I:$I,ROW())&amp;""))</f>
        <v/>
      </c>
      <c r="L253" s="32">
        <f>IF(B253="","",TRIM(INDEX('Form Responses'!$J:$J,ROW())&amp;""))</f>
        <v/>
      </c>
      <c r="M253" s="32">
        <f>IF(B253="","",TRIM(INDEX('Form Responses'!$K:$K,ROW())&amp;""))</f>
        <v/>
      </c>
      <c r="N253" s="32">
        <f>IF(B253="","",IF(E253&lt;&gt;"","P"&amp;E253,"N"&amp;B253))</f>
        <v/>
      </c>
      <c r="O253" s="32">
        <f>IF(N253="",0,IF(COUNTIF(N254:N$602,N253)=0,1,0))</f>
        <v/>
      </c>
      <c r="P253" s="32">
        <f>IF(AND(O253=1,E253&lt;&gt;""),E253,"")</f>
        <v/>
      </c>
      <c r="Q253" s="32">
        <f>IF(O253=1,B253,"")</f>
        <v/>
      </c>
      <c r="R253" s="32">
        <f>IF(O253&lt;&gt;1,"",IF(E253&lt;&gt;"",IFERROR(MATCH(E253,Guests!$S$6:$S$505,0)+5,IFERROR(MATCH(B253,Guests!$A$6:$A$505,0)+5,"")),IFERROR(MATCH(B253,Guests!$A$6:$A$505,0)+5,"")))</f>
        <v/>
      </c>
      <c r="S253" s="32">
        <f>IF(R253="","",TRIM(INDEX(Guests!$E$1:$E$505,R253)&amp;""))</f>
        <v/>
      </c>
      <c r="T253" s="32">
        <f>IF(R253="","",IF(S253="",1,COUNTIF(Guests!$E$6:$E$505,S253)))</f>
        <v/>
      </c>
      <c r="U253" s="32">
        <f>IF(R253="","",IF(S253="",1,IF(COUNTIF(S$1:S252,S253)=0,1,0)))</f>
        <v/>
      </c>
      <c r="V253" s="32">
        <f>IF(AND(R253&lt;&gt;"",G253="Attending",U253=1),MAX(0,H253+I253-T253),0)</f>
        <v/>
      </c>
      <c r="W253" s="32">
        <f>IF(AND(O253=1,R253=""),1,0)</f>
        <v/>
      </c>
      <c r="X253" s="32">
        <f>IF(B253="",0,H253+I253)</f>
        <v/>
      </c>
      <c r="Y253" s="32">
        <f>N(Y252)+O253</f>
        <v/>
      </c>
      <c r="Z253" s="32">
        <f>IF(O253=1,Y253,"")</f>
        <v/>
      </c>
      <c r="AA253" s="32">
        <f>IF(AND(W253=1,G253="Not sure yet"),1,0)</f>
        <v/>
      </c>
      <c r="AB253" s="32">
        <f>N(AB252)+AA253</f>
        <v/>
      </c>
      <c r="AC253" s="32">
        <f>IF(AA253=1,AB253,"")</f>
        <v/>
      </c>
      <c r="AD253" s="32">
        <f>IF(D253="","",IF(LEN(D253)=10,"+1"&amp;D253,IF(AND(LEN(D253)=11,LEFT(D253,1)="1"),"+"&amp;D253,IF(LEFT(C253,1)="+","+"&amp;D253,D253))))</f>
        <v/>
      </c>
      <c r="AE253" s="32">
        <f>IF(B253="","",PROPER(IFERROR(LEFT(B253,FIND(" ",B253)-1),B253)))</f>
        <v/>
      </c>
      <c r="AF253" s="32">
        <f>SUBSTITUTE(SUBSTITUTE(SUBSTITUTE(SUBSTITUTE(SUBSTITUTE(SUBSTITUTE(SUBSTITUTE(SUBSTITUTE(SUBSTITUTE(SUBSTITUTE(AE253,"%","%25"),"&amp;","%26"),"#","%23"),"+","%2B"),"=","%3D"),"?","%3F"),CHAR(34),"%22"),CHAR(10),"%0A"),CHAR(13),"")," ","+")</f>
        <v/>
      </c>
      <c r="AG253" s="32">
        <f>IF(OR(AD253="",AE253=""),"",'Start Here'!$B$20&amp;"#p="&amp;SUBSTITUTE(AD253,"+","%2B")&amp;"&amp;n="&amp;AF253&amp;"&amp;m="&amp;SUBSTITUTE('Start Here'!$B$24,"{name}",AF253))</f>
        <v/>
      </c>
      <c r="AH253" s="32">
        <f>N(AH252)+W253</f>
        <v/>
      </c>
      <c r="AI253" s="32">
        <f>IF(W253=1,AH253,"")</f>
        <v/>
      </c>
    </row>
    <row r="254">
      <c r="A254" s="32">
        <f>IF(INDEX('Form Responses'!$A:$A,ROW())="","",INDEX('Form Responses'!$A:$A,ROW()))</f>
        <v/>
      </c>
      <c r="B254" s="32">
        <f>TRIM(INDEX('Form Responses'!$B:$B,ROW())&amp;"")</f>
        <v/>
      </c>
      <c r="C254" s="32">
        <f>IF(B254="","",TRIM(INDEX('Form Responses'!$C:$C,ROW())&amp;""))</f>
        <v/>
      </c>
      <c r="D254" s="32">
        <f>SUBSTITUTE(SUBSTITUTE(SUBSTITUTE(SUBSTITUTE(SUBSTITUTE(SUBSTITUTE(SUBSTITUTE(SUBSTITUTE(C254," ",""),"-",""),"(",""),")",""),".",""),"+",""),"/",""),CHAR(160),"")</f>
        <v/>
      </c>
      <c r="E254" s="32">
        <f>IF(LEN(D254)&gt;=10,RIGHT(D254,10),D254)</f>
        <v/>
      </c>
      <c r="F254" s="32">
        <f>IF(B254="","",TRIM(INDEX('Form Responses'!$D:$D,ROW())&amp;""))</f>
        <v/>
      </c>
      <c r="G254" s="32">
        <f>IF(B254="","",IF(LEFT(TRIM(INDEX('Form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4" s="32">
        <f>IF(B254="","",MAX(0,IFERROR(INT(--(INDEX('Form Responses'!$F:$F,ROW())&amp;"")),1)))</f>
        <v/>
      </c>
      <c r="I254" s="32">
        <f>IF(B254="","",MAX(0,IFERROR(INT(--(INDEX('Form Responses'!$G:$G,ROW())&amp;"")),0)))</f>
        <v/>
      </c>
      <c r="J254" s="32">
        <f>IF(B254="","",TRIM(INDEX('Form Responses'!$H:$H,ROW())&amp;""))</f>
        <v/>
      </c>
      <c r="K254" s="32">
        <f>IF(B254="","",TRIM(INDEX('Form Responses'!$I:$I,ROW())&amp;""))</f>
        <v/>
      </c>
      <c r="L254" s="32">
        <f>IF(B254="","",TRIM(INDEX('Form Responses'!$J:$J,ROW())&amp;""))</f>
        <v/>
      </c>
      <c r="M254" s="32">
        <f>IF(B254="","",TRIM(INDEX('Form Responses'!$K:$K,ROW())&amp;""))</f>
        <v/>
      </c>
      <c r="N254" s="32">
        <f>IF(B254="","",IF(E254&lt;&gt;"","P"&amp;E254,"N"&amp;B254))</f>
        <v/>
      </c>
      <c r="O254" s="32">
        <f>IF(N254="",0,IF(COUNTIF(N255:N$602,N254)=0,1,0))</f>
        <v/>
      </c>
      <c r="P254" s="32">
        <f>IF(AND(O254=1,E254&lt;&gt;""),E254,"")</f>
        <v/>
      </c>
      <c r="Q254" s="32">
        <f>IF(O254=1,B254,"")</f>
        <v/>
      </c>
      <c r="R254" s="32">
        <f>IF(O254&lt;&gt;1,"",IF(E254&lt;&gt;"",IFERROR(MATCH(E254,Guests!$S$6:$S$505,0)+5,IFERROR(MATCH(B254,Guests!$A$6:$A$505,0)+5,"")),IFERROR(MATCH(B254,Guests!$A$6:$A$505,0)+5,"")))</f>
        <v/>
      </c>
      <c r="S254" s="32">
        <f>IF(R254="","",TRIM(INDEX(Guests!$E$1:$E$505,R254)&amp;""))</f>
        <v/>
      </c>
      <c r="T254" s="32">
        <f>IF(R254="","",IF(S254="",1,COUNTIF(Guests!$E$6:$E$505,S254)))</f>
        <v/>
      </c>
      <c r="U254" s="32">
        <f>IF(R254="","",IF(S254="",1,IF(COUNTIF(S$1:S253,S254)=0,1,0)))</f>
        <v/>
      </c>
      <c r="V254" s="32">
        <f>IF(AND(R254&lt;&gt;"",G254="Attending",U254=1),MAX(0,H254+I254-T254),0)</f>
        <v/>
      </c>
      <c r="W254" s="32">
        <f>IF(AND(O254=1,R254=""),1,0)</f>
        <v/>
      </c>
      <c r="X254" s="32">
        <f>IF(B254="",0,H254+I254)</f>
        <v/>
      </c>
      <c r="Y254" s="32">
        <f>N(Y253)+O254</f>
        <v/>
      </c>
      <c r="Z254" s="32">
        <f>IF(O254=1,Y254,"")</f>
        <v/>
      </c>
      <c r="AA254" s="32">
        <f>IF(AND(W254=1,G254="Not sure yet"),1,0)</f>
        <v/>
      </c>
      <c r="AB254" s="32">
        <f>N(AB253)+AA254</f>
        <v/>
      </c>
      <c r="AC254" s="32">
        <f>IF(AA254=1,AB254,"")</f>
        <v/>
      </c>
      <c r="AD254" s="32">
        <f>IF(D254="","",IF(LEN(D254)=10,"+1"&amp;D254,IF(AND(LEN(D254)=11,LEFT(D254,1)="1"),"+"&amp;D254,IF(LEFT(C254,1)="+","+"&amp;D254,D254))))</f>
        <v/>
      </c>
      <c r="AE254" s="32">
        <f>IF(B254="","",PROPER(IFERROR(LEFT(B254,FIND(" ",B254)-1),B254)))</f>
        <v/>
      </c>
      <c r="AF254" s="32">
        <f>SUBSTITUTE(SUBSTITUTE(SUBSTITUTE(SUBSTITUTE(SUBSTITUTE(SUBSTITUTE(SUBSTITUTE(SUBSTITUTE(SUBSTITUTE(SUBSTITUTE(AE254,"%","%25"),"&amp;","%26"),"#","%23"),"+","%2B"),"=","%3D"),"?","%3F"),CHAR(34),"%22"),CHAR(10),"%0A"),CHAR(13),"")," ","+")</f>
        <v/>
      </c>
      <c r="AG254" s="32">
        <f>IF(OR(AD254="",AE254=""),"",'Start Here'!$B$20&amp;"#p="&amp;SUBSTITUTE(AD254,"+","%2B")&amp;"&amp;n="&amp;AF254&amp;"&amp;m="&amp;SUBSTITUTE('Start Here'!$B$24,"{name}",AF254))</f>
        <v/>
      </c>
      <c r="AH254" s="32">
        <f>N(AH253)+W254</f>
        <v/>
      </c>
      <c r="AI254" s="32">
        <f>IF(W254=1,AH254,"")</f>
        <v/>
      </c>
    </row>
    <row r="255">
      <c r="A255" s="32">
        <f>IF(INDEX('Form Responses'!$A:$A,ROW())="","",INDEX('Form Responses'!$A:$A,ROW()))</f>
        <v/>
      </c>
      <c r="B255" s="32">
        <f>TRIM(INDEX('Form Responses'!$B:$B,ROW())&amp;"")</f>
        <v/>
      </c>
      <c r="C255" s="32">
        <f>IF(B255="","",TRIM(INDEX('Form Responses'!$C:$C,ROW())&amp;""))</f>
        <v/>
      </c>
      <c r="D255" s="32">
        <f>SUBSTITUTE(SUBSTITUTE(SUBSTITUTE(SUBSTITUTE(SUBSTITUTE(SUBSTITUTE(SUBSTITUTE(SUBSTITUTE(C255," ",""),"-",""),"(",""),")",""),".",""),"+",""),"/",""),CHAR(160),"")</f>
        <v/>
      </c>
      <c r="E255" s="32">
        <f>IF(LEN(D255)&gt;=10,RIGHT(D255,10),D255)</f>
        <v/>
      </c>
      <c r="F255" s="32">
        <f>IF(B255="","",TRIM(INDEX('Form Responses'!$D:$D,ROW())&amp;""))</f>
        <v/>
      </c>
      <c r="G255" s="32">
        <f>IF(B255="","",IF(LEFT(TRIM(INDEX('Form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5" s="32">
        <f>IF(B255="","",MAX(0,IFERROR(INT(--(INDEX('Form Responses'!$F:$F,ROW())&amp;"")),1)))</f>
        <v/>
      </c>
      <c r="I255" s="32">
        <f>IF(B255="","",MAX(0,IFERROR(INT(--(INDEX('Form Responses'!$G:$G,ROW())&amp;"")),0)))</f>
        <v/>
      </c>
      <c r="J255" s="32">
        <f>IF(B255="","",TRIM(INDEX('Form Responses'!$H:$H,ROW())&amp;""))</f>
        <v/>
      </c>
      <c r="K255" s="32">
        <f>IF(B255="","",TRIM(INDEX('Form Responses'!$I:$I,ROW())&amp;""))</f>
        <v/>
      </c>
      <c r="L255" s="32">
        <f>IF(B255="","",TRIM(INDEX('Form Responses'!$J:$J,ROW())&amp;""))</f>
        <v/>
      </c>
      <c r="M255" s="32">
        <f>IF(B255="","",TRIM(INDEX('Form Responses'!$K:$K,ROW())&amp;""))</f>
        <v/>
      </c>
      <c r="N255" s="32">
        <f>IF(B255="","",IF(E255&lt;&gt;"","P"&amp;E255,"N"&amp;B255))</f>
        <v/>
      </c>
      <c r="O255" s="32">
        <f>IF(N255="",0,IF(COUNTIF(N256:N$602,N255)=0,1,0))</f>
        <v/>
      </c>
      <c r="P255" s="32">
        <f>IF(AND(O255=1,E255&lt;&gt;""),E255,"")</f>
        <v/>
      </c>
      <c r="Q255" s="32">
        <f>IF(O255=1,B255,"")</f>
        <v/>
      </c>
      <c r="R255" s="32">
        <f>IF(O255&lt;&gt;1,"",IF(E255&lt;&gt;"",IFERROR(MATCH(E255,Guests!$S$6:$S$505,0)+5,IFERROR(MATCH(B255,Guests!$A$6:$A$505,0)+5,"")),IFERROR(MATCH(B255,Guests!$A$6:$A$505,0)+5,"")))</f>
        <v/>
      </c>
      <c r="S255" s="32">
        <f>IF(R255="","",TRIM(INDEX(Guests!$E$1:$E$505,R255)&amp;""))</f>
        <v/>
      </c>
      <c r="T255" s="32">
        <f>IF(R255="","",IF(S255="",1,COUNTIF(Guests!$E$6:$E$505,S255)))</f>
        <v/>
      </c>
      <c r="U255" s="32">
        <f>IF(R255="","",IF(S255="",1,IF(COUNTIF(S$1:S254,S255)=0,1,0)))</f>
        <v/>
      </c>
      <c r="V255" s="32">
        <f>IF(AND(R255&lt;&gt;"",G255="Attending",U255=1),MAX(0,H255+I255-T255),0)</f>
        <v/>
      </c>
      <c r="W255" s="32">
        <f>IF(AND(O255=1,R255=""),1,0)</f>
        <v/>
      </c>
      <c r="X255" s="32">
        <f>IF(B255="",0,H255+I255)</f>
        <v/>
      </c>
      <c r="Y255" s="32">
        <f>N(Y254)+O255</f>
        <v/>
      </c>
      <c r="Z255" s="32">
        <f>IF(O255=1,Y255,"")</f>
        <v/>
      </c>
      <c r="AA255" s="32">
        <f>IF(AND(W255=1,G255="Not sure yet"),1,0)</f>
        <v/>
      </c>
      <c r="AB255" s="32">
        <f>N(AB254)+AA255</f>
        <v/>
      </c>
      <c r="AC255" s="32">
        <f>IF(AA255=1,AB255,"")</f>
        <v/>
      </c>
      <c r="AD255" s="32">
        <f>IF(D255="","",IF(LEN(D255)=10,"+1"&amp;D255,IF(AND(LEN(D255)=11,LEFT(D255,1)="1"),"+"&amp;D255,IF(LEFT(C255,1)="+","+"&amp;D255,D255))))</f>
        <v/>
      </c>
      <c r="AE255" s="32">
        <f>IF(B255="","",PROPER(IFERROR(LEFT(B255,FIND(" ",B255)-1),B255)))</f>
        <v/>
      </c>
      <c r="AF255" s="32">
        <f>SUBSTITUTE(SUBSTITUTE(SUBSTITUTE(SUBSTITUTE(SUBSTITUTE(SUBSTITUTE(SUBSTITUTE(SUBSTITUTE(SUBSTITUTE(SUBSTITUTE(AE255,"%","%25"),"&amp;","%26"),"#","%23"),"+","%2B"),"=","%3D"),"?","%3F"),CHAR(34),"%22"),CHAR(10),"%0A"),CHAR(13),"")," ","+")</f>
        <v/>
      </c>
      <c r="AG255" s="32">
        <f>IF(OR(AD255="",AE255=""),"",'Start Here'!$B$20&amp;"#p="&amp;SUBSTITUTE(AD255,"+","%2B")&amp;"&amp;n="&amp;AF255&amp;"&amp;m="&amp;SUBSTITUTE('Start Here'!$B$24,"{name}",AF255))</f>
        <v/>
      </c>
      <c r="AH255" s="32">
        <f>N(AH254)+W255</f>
        <v/>
      </c>
      <c r="AI255" s="32">
        <f>IF(W255=1,AH255,"")</f>
        <v/>
      </c>
    </row>
    <row r="256">
      <c r="A256" s="32">
        <f>IF(INDEX('Form Responses'!$A:$A,ROW())="","",INDEX('Form Responses'!$A:$A,ROW()))</f>
        <v/>
      </c>
      <c r="B256" s="32">
        <f>TRIM(INDEX('Form Responses'!$B:$B,ROW())&amp;"")</f>
        <v/>
      </c>
      <c r="C256" s="32">
        <f>IF(B256="","",TRIM(INDEX('Form Responses'!$C:$C,ROW())&amp;""))</f>
        <v/>
      </c>
      <c r="D256" s="32">
        <f>SUBSTITUTE(SUBSTITUTE(SUBSTITUTE(SUBSTITUTE(SUBSTITUTE(SUBSTITUTE(SUBSTITUTE(SUBSTITUTE(C256," ",""),"-",""),"(",""),")",""),".",""),"+",""),"/",""),CHAR(160),"")</f>
        <v/>
      </c>
      <c r="E256" s="32">
        <f>IF(LEN(D256)&gt;=10,RIGHT(D256,10),D256)</f>
        <v/>
      </c>
      <c r="F256" s="32">
        <f>IF(B256="","",TRIM(INDEX('Form Responses'!$D:$D,ROW())&amp;""))</f>
        <v/>
      </c>
      <c r="G256" s="32">
        <f>IF(B256="","",IF(LEFT(TRIM(INDEX('Form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6" s="32">
        <f>IF(B256="","",MAX(0,IFERROR(INT(--(INDEX('Form Responses'!$F:$F,ROW())&amp;"")),1)))</f>
        <v/>
      </c>
      <c r="I256" s="32">
        <f>IF(B256="","",MAX(0,IFERROR(INT(--(INDEX('Form Responses'!$G:$G,ROW())&amp;"")),0)))</f>
        <v/>
      </c>
      <c r="J256" s="32">
        <f>IF(B256="","",TRIM(INDEX('Form Responses'!$H:$H,ROW())&amp;""))</f>
        <v/>
      </c>
      <c r="K256" s="32">
        <f>IF(B256="","",TRIM(INDEX('Form Responses'!$I:$I,ROW())&amp;""))</f>
        <v/>
      </c>
      <c r="L256" s="32">
        <f>IF(B256="","",TRIM(INDEX('Form Responses'!$J:$J,ROW())&amp;""))</f>
        <v/>
      </c>
      <c r="M256" s="32">
        <f>IF(B256="","",TRIM(INDEX('Form Responses'!$K:$K,ROW())&amp;""))</f>
        <v/>
      </c>
      <c r="N256" s="32">
        <f>IF(B256="","",IF(E256&lt;&gt;"","P"&amp;E256,"N"&amp;B256))</f>
        <v/>
      </c>
      <c r="O256" s="32">
        <f>IF(N256="",0,IF(COUNTIF(N257:N$602,N256)=0,1,0))</f>
        <v/>
      </c>
      <c r="P256" s="32">
        <f>IF(AND(O256=1,E256&lt;&gt;""),E256,"")</f>
        <v/>
      </c>
      <c r="Q256" s="32">
        <f>IF(O256=1,B256,"")</f>
        <v/>
      </c>
      <c r="R256" s="32">
        <f>IF(O256&lt;&gt;1,"",IF(E256&lt;&gt;"",IFERROR(MATCH(E256,Guests!$S$6:$S$505,0)+5,IFERROR(MATCH(B256,Guests!$A$6:$A$505,0)+5,"")),IFERROR(MATCH(B256,Guests!$A$6:$A$505,0)+5,"")))</f>
        <v/>
      </c>
      <c r="S256" s="32">
        <f>IF(R256="","",TRIM(INDEX(Guests!$E$1:$E$505,R256)&amp;""))</f>
        <v/>
      </c>
      <c r="T256" s="32">
        <f>IF(R256="","",IF(S256="",1,COUNTIF(Guests!$E$6:$E$505,S256)))</f>
        <v/>
      </c>
      <c r="U256" s="32">
        <f>IF(R256="","",IF(S256="",1,IF(COUNTIF(S$1:S255,S256)=0,1,0)))</f>
        <v/>
      </c>
      <c r="V256" s="32">
        <f>IF(AND(R256&lt;&gt;"",G256="Attending",U256=1),MAX(0,H256+I256-T256),0)</f>
        <v/>
      </c>
      <c r="W256" s="32">
        <f>IF(AND(O256=1,R256=""),1,0)</f>
        <v/>
      </c>
      <c r="X256" s="32">
        <f>IF(B256="",0,H256+I256)</f>
        <v/>
      </c>
      <c r="Y256" s="32">
        <f>N(Y255)+O256</f>
        <v/>
      </c>
      <c r="Z256" s="32">
        <f>IF(O256=1,Y256,"")</f>
        <v/>
      </c>
      <c r="AA256" s="32">
        <f>IF(AND(W256=1,G256="Not sure yet"),1,0)</f>
        <v/>
      </c>
      <c r="AB256" s="32">
        <f>N(AB255)+AA256</f>
        <v/>
      </c>
      <c r="AC256" s="32">
        <f>IF(AA256=1,AB256,"")</f>
        <v/>
      </c>
      <c r="AD256" s="32">
        <f>IF(D256="","",IF(LEN(D256)=10,"+1"&amp;D256,IF(AND(LEN(D256)=11,LEFT(D256,1)="1"),"+"&amp;D256,IF(LEFT(C256,1)="+","+"&amp;D256,D256))))</f>
        <v/>
      </c>
      <c r="AE256" s="32">
        <f>IF(B256="","",PROPER(IFERROR(LEFT(B256,FIND(" ",B256)-1),B256)))</f>
        <v/>
      </c>
      <c r="AF256" s="32">
        <f>SUBSTITUTE(SUBSTITUTE(SUBSTITUTE(SUBSTITUTE(SUBSTITUTE(SUBSTITUTE(SUBSTITUTE(SUBSTITUTE(SUBSTITUTE(SUBSTITUTE(AE256,"%","%25"),"&amp;","%26"),"#","%23"),"+","%2B"),"=","%3D"),"?","%3F"),CHAR(34),"%22"),CHAR(10),"%0A"),CHAR(13),"")," ","+")</f>
        <v/>
      </c>
      <c r="AG256" s="32">
        <f>IF(OR(AD256="",AE256=""),"",'Start Here'!$B$20&amp;"#p="&amp;SUBSTITUTE(AD256,"+","%2B")&amp;"&amp;n="&amp;AF256&amp;"&amp;m="&amp;SUBSTITUTE('Start Here'!$B$24,"{name}",AF256))</f>
        <v/>
      </c>
      <c r="AH256" s="32">
        <f>N(AH255)+W256</f>
        <v/>
      </c>
      <c r="AI256" s="32">
        <f>IF(W256=1,AH256,"")</f>
        <v/>
      </c>
    </row>
    <row r="257">
      <c r="A257" s="32">
        <f>IF(INDEX('Form Responses'!$A:$A,ROW())="","",INDEX('Form Responses'!$A:$A,ROW()))</f>
        <v/>
      </c>
      <c r="B257" s="32">
        <f>TRIM(INDEX('Form Responses'!$B:$B,ROW())&amp;"")</f>
        <v/>
      </c>
      <c r="C257" s="32">
        <f>IF(B257="","",TRIM(INDEX('Form Responses'!$C:$C,ROW())&amp;""))</f>
        <v/>
      </c>
      <c r="D257" s="32">
        <f>SUBSTITUTE(SUBSTITUTE(SUBSTITUTE(SUBSTITUTE(SUBSTITUTE(SUBSTITUTE(SUBSTITUTE(SUBSTITUTE(C257," ",""),"-",""),"(",""),")",""),".",""),"+",""),"/",""),CHAR(160),"")</f>
        <v/>
      </c>
      <c r="E257" s="32">
        <f>IF(LEN(D257)&gt;=10,RIGHT(D257,10),D257)</f>
        <v/>
      </c>
      <c r="F257" s="32">
        <f>IF(B257="","",TRIM(INDEX('Form Responses'!$D:$D,ROW())&amp;""))</f>
        <v/>
      </c>
      <c r="G257" s="32">
        <f>IF(B257="","",IF(LEFT(TRIM(INDEX('Form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7" s="32">
        <f>IF(B257="","",MAX(0,IFERROR(INT(--(INDEX('Form Responses'!$F:$F,ROW())&amp;"")),1)))</f>
        <v/>
      </c>
      <c r="I257" s="32">
        <f>IF(B257="","",MAX(0,IFERROR(INT(--(INDEX('Form Responses'!$G:$G,ROW())&amp;"")),0)))</f>
        <v/>
      </c>
      <c r="J257" s="32">
        <f>IF(B257="","",TRIM(INDEX('Form Responses'!$H:$H,ROW())&amp;""))</f>
        <v/>
      </c>
      <c r="K257" s="32">
        <f>IF(B257="","",TRIM(INDEX('Form Responses'!$I:$I,ROW())&amp;""))</f>
        <v/>
      </c>
      <c r="L257" s="32">
        <f>IF(B257="","",TRIM(INDEX('Form Responses'!$J:$J,ROW())&amp;""))</f>
        <v/>
      </c>
      <c r="M257" s="32">
        <f>IF(B257="","",TRIM(INDEX('Form Responses'!$K:$K,ROW())&amp;""))</f>
        <v/>
      </c>
      <c r="N257" s="32">
        <f>IF(B257="","",IF(E257&lt;&gt;"","P"&amp;E257,"N"&amp;B257))</f>
        <v/>
      </c>
      <c r="O257" s="32">
        <f>IF(N257="",0,IF(COUNTIF(N258:N$602,N257)=0,1,0))</f>
        <v/>
      </c>
      <c r="P257" s="32">
        <f>IF(AND(O257=1,E257&lt;&gt;""),E257,"")</f>
        <v/>
      </c>
      <c r="Q257" s="32">
        <f>IF(O257=1,B257,"")</f>
        <v/>
      </c>
      <c r="R257" s="32">
        <f>IF(O257&lt;&gt;1,"",IF(E257&lt;&gt;"",IFERROR(MATCH(E257,Guests!$S$6:$S$505,0)+5,IFERROR(MATCH(B257,Guests!$A$6:$A$505,0)+5,"")),IFERROR(MATCH(B257,Guests!$A$6:$A$505,0)+5,"")))</f>
        <v/>
      </c>
      <c r="S257" s="32">
        <f>IF(R257="","",TRIM(INDEX(Guests!$E$1:$E$505,R257)&amp;""))</f>
        <v/>
      </c>
      <c r="T257" s="32">
        <f>IF(R257="","",IF(S257="",1,COUNTIF(Guests!$E$6:$E$505,S257)))</f>
        <v/>
      </c>
      <c r="U257" s="32">
        <f>IF(R257="","",IF(S257="",1,IF(COUNTIF(S$1:S256,S257)=0,1,0)))</f>
        <v/>
      </c>
      <c r="V257" s="32">
        <f>IF(AND(R257&lt;&gt;"",G257="Attending",U257=1),MAX(0,H257+I257-T257),0)</f>
        <v/>
      </c>
      <c r="W257" s="32">
        <f>IF(AND(O257=1,R257=""),1,0)</f>
        <v/>
      </c>
      <c r="X257" s="32">
        <f>IF(B257="",0,H257+I257)</f>
        <v/>
      </c>
      <c r="Y257" s="32">
        <f>N(Y256)+O257</f>
        <v/>
      </c>
      <c r="Z257" s="32">
        <f>IF(O257=1,Y257,"")</f>
        <v/>
      </c>
      <c r="AA257" s="32">
        <f>IF(AND(W257=1,G257="Not sure yet"),1,0)</f>
        <v/>
      </c>
      <c r="AB257" s="32">
        <f>N(AB256)+AA257</f>
        <v/>
      </c>
      <c r="AC257" s="32">
        <f>IF(AA257=1,AB257,"")</f>
        <v/>
      </c>
      <c r="AD257" s="32">
        <f>IF(D257="","",IF(LEN(D257)=10,"+1"&amp;D257,IF(AND(LEN(D257)=11,LEFT(D257,1)="1"),"+"&amp;D257,IF(LEFT(C257,1)="+","+"&amp;D257,D257))))</f>
        <v/>
      </c>
      <c r="AE257" s="32">
        <f>IF(B257="","",PROPER(IFERROR(LEFT(B257,FIND(" ",B257)-1),B257)))</f>
        <v/>
      </c>
      <c r="AF257" s="32">
        <f>SUBSTITUTE(SUBSTITUTE(SUBSTITUTE(SUBSTITUTE(SUBSTITUTE(SUBSTITUTE(SUBSTITUTE(SUBSTITUTE(SUBSTITUTE(SUBSTITUTE(AE257,"%","%25"),"&amp;","%26"),"#","%23"),"+","%2B"),"=","%3D"),"?","%3F"),CHAR(34),"%22"),CHAR(10),"%0A"),CHAR(13),"")," ","+")</f>
        <v/>
      </c>
      <c r="AG257" s="32">
        <f>IF(OR(AD257="",AE257=""),"",'Start Here'!$B$20&amp;"#p="&amp;SUBSTITUTE(AD257,"+","%2B")&amp;"&amp;n="&amp;AF257&amp;"&amp;m="&amp;SUBSTITUTE('Start Here'!$B$24,"{name}",AF257))</f>
        <v/>
      </c>
      <c r="AH257" s="32">
        <f>N(AH256)+W257</f>
        <v/>
      </c>
      <c r="AI257" s="32">
        <f>IF(W257=1,AH257,"")</f>
        <v/>
      </c>
    </row>
    <row r="258">
      <c r="A258" s="32">
        <f>IF(INDEX('Form Responses'!$A:$A,ROW())="","",INDEX('Form Responses'!$A:$A,ROW()))</f>
        <v/>
      </c>
      <c r="B258" s="32">
        <f>TRIM(INDEX('Form Responses'!$B:$B,ROW())&amp;"")</f>
        <v/>
      </c>
      <c r="C258" s="32">
        <f>IF(B258="","",TRIM(INDEX('Form Responses'!$C:$C,ROW())&amp;""))</f>
        <v/>
      </c>
      <c r="D258" s="32">
        <f>SUBSTITUTE(SUBSTITUTE(SUBSTITUTE(SUBSTITUTE(SUBSTITUTE(SUBSTITUTE(SUBSTITUTE(SUBSTITUTE(C258," ",""),"-",""),"(",""),")",""),".",""),"+",""),"/",""),CHAR(160),"")</f>
        <v/>
      </c>
      <c r="E258" s="32">
        <f>IF(LEN(D258)&gt;=10,RIGHT(D258,10),D258)</f>
        <v/>
      </c>
      <c r="F258" s="32">
        <f>IF(B258="","",TRIM(INDEX('Form Responses'!$D:$D,ROW())&amp;""))</f>
        <v/>
      </c>
      <c r="G258" s="32">
        <f>IF(B258="","",IF(LEFT(TRIM(INDEX('Form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8" s="32">
        <f>IF(B258="","",MAX(0,IFERROR(INT(--(INDEX('Form Responses'!$F:$F,ROW())&amp;"")),1)))</f>
        <v/>
      </c>
      <c r="I258" s="32">
        <f>IF(B258="","",MAX(0,IFERROR(INT(--(INDEX('Form Responses'!$G:$G,ROW())&amp;"")),0)))</f>
        <v/>
      </c>
      <c r="J258" s="32">
        <f>IF(B258="","",TRIM(INDEX('Form Responses'!$H:$H,ROW())&amp;""))</f>
        <v/>
      </c>
      <c r="K258" s="32">
        <f>IF(B258="","",TRIM(INDEX('Form Responses'!$I:$I,ROW())&amp;""))</f>
        <v/>
      </c>
      <c r="L258" s="32">
        <f>IF(B258="","",TRIM(INDEX('Form Responses'!$J:$J,ROW())&amp;""))</f>
        <v/>
      </c>
      <c r="M258" s="32">
        <f>IF(B258="","",TRIM(INDEX('Form Responses'!$K:$K,ROW())&amp;""))</f>
        <v/>
      </c>
      <c r="N258" s="32">
        <f>IF(B258="","",IF(E258&lt;&gt;"","P"&amp;E258,"N"&amp;B258))</f>
        <v/>
      </c>
      <c r="O258" s="32">
        <f>IF(N258="",0,IF(COUNTIF(N259:N$602,N258)=0,1,0))</f>
        <v/>
      </c>
      <c r="P258" s="32">
        <f>IF(AND(O258=1,E258&lt;&gt;""),E258,"")</f>
        <v/>
      </c>
      <c r="Q258" s="32">
        <f>IF(O258=1,B258,"")</f>
        <v/>
      </c>
      <c r="R258" s="32">
        <f>IF(O258&lt;&gt;1,"",IF(E258&lt;&gt;"",IFERROR(MATCH(E258,Guests!$S$6:$S$505,0)+5,IFERROR(MATCH(B258,Guests!$A$6:$A$505,0)+5,"")),IFERROR(MATCH(B258,Guests!$A$6:$A$505,0)+5,"")))</f>
        <v/>
      </c>
      <c r="S258" s="32">
        <f>IF(R258="","",TRIM(INDEX(Guests!$E$1:$E$505,R258)&amp;""))</f>
        <v/>
      </c>
      <c r="T258" s="32">
        <f>IF(R258="","",IF(S258="",1,COUNTIF(Guests!$E$6:$E$505,S258)))</f>
        <v/>
      </c>
      <c r="U258" s="32">
        <f>IF(R258="","",IF(S258="",1,IF(COUNTIF(S$1:S257,S258)=0,1,0)))</f>
        <v/>
      </c>
      <c r="V258" s="32">
        <f>IF(AND(R258&lt;&gt;"",G258="Attending",U258=1),MAX(0,H258+I258-T258),0)</f>
        <v/>
      </c>
      <c r="W258" s="32">
        <f>IF(AND(O258=1,R258=""),1,0)</f>
        <v/>
      </c>
      <c r="X258" s="32">
        <f>IF(B258="",0,H258+I258)</f>
        <v/>
      </c>
      <c r="Y258" s="32">
        <f>N(Y257)+O258</f>
        <v/>
      </c>
      <c r="Z258" s="32">
        <f>IF(O258=1,Y258,"")</f>
        <v/>
      </c>
      <c r="AA258" s="32">
        <f>IF(AND(W258=1,G258="Not sure yet"),1,0)</f>
        <v/>
      </c>
      <c r="AB258" s="32">
        <f>N(AB257)+AA258</f>
        <v/>
      </c>
      <c r="AC258" s="32">
        <f>IF(AA258=1,AB258,"")</f>
        <v/>
      </c>
      <c r="AD258" s="32">
        <f>IF(D258="","",IF(LEN(D258)=10,"+1"&amp;D258,IF(AND(LEN(D258)=11,LEFT(D258,1)="1"),"+"&amp;D258,IF(LEFT(C258,1)="+","+"&amp;D258,D258))))</f>
        <v/>
      </c>
      <c r="AE258" s="32">
        <f>IF(B258="","",PROPER(IFERROR(LEFT(B258,FIND(" ",B258)-1),B258)))</f>
        <v/>
      </c>
      <c r="AF258" s="32">
        <f>SUBSTITUTE(SUBSTITUTE(SUBSTITUTE(SUBSTITUTE(SUBSTITUTE(SUBSTITUTE(SUBSTITUTE(SUBSTITUTE(SUBSTITUTE(SUBSTITUTE(AE258,"%","%25"),"&amp;","%26"),"#","%23"),"+","%2B"),"=","%3D"),"?","%3F"),CHAR(34),"%22"),CHAR(10),"%0A"),CHAR(13),"")," ","+")</f>
        <v/>
      </c>
      <c r="AG258" s="32">
        <f>IF(OR(AD258="",AE258=""),"",'Start Here'!$B$20&amp;"#p="&amp;SUBSTITUTE(AD258,"+","%2B")&amp;"&amp;n="&amp;AF258&amp;"&amp;m="&amp;SUBSTITUTE('Start Here'!$B$24,"{name}",AF258))</f>
        <v/>
      </c>
      <c r="AH258" s="32">
        <f>N(AH257)+W258</f>
        <v/>
      </c>
      <c r="AI258" s="32">
        <f>IF(W258=1,AH258,"")</f>
        <v/>
      </c>
    </row>
    <row r="259">
      <c r="A259" s="32">
        <f>IF(INDEX('Form Responses'!$A:$A,ROW())="","",INDEX('Form Responses'!$A:$A,ROW()))</f>
        <v/>
      </c>
      <c r="B259" s="32">
        <f>TRIM(INDEX('Form Responses'!$B:$B,ROW())&amp;"")</f>
        <v/>
      </c>
      <c r="C259" s="32">
        <f>IF(B259="","",TRIM(INDEX('Form Responses'!$C:$C,ROW())&amp;""))</f>
        <v/>
      </c>
      <c r="D259" s="32">
        <f>SUBSTITUTE(SUBSTITUTE(SUBSTITUTE(SUBSTITUTE(SUBSTITUTE(SUBSTITUTE(SUBSTITUTE(SUBSTITUTE(C259," ",""),"-",""),"(",""),")",""),".",""),"+",""),"/",""),CHAR(160),"")</f>
        <v/>
      </c>
      <c r="E259" s="32">
        <f>IF(LEN(D259)&gt;=10,RIGHT(D259,10),D259)</f>
        <v/>
      </c>
      <c r="F259" s="32">
        <f>IF(B259="","",TRIM(INDEX('Form Responses'!$D:$D,ROW())&amp;""))</f>
        <v/>
      </c>
      <c r="G259" s="32">
        <f>IF(B259="","",IF(LEFT(TRIM(INDEX('Form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59" s="32">
        <f>IF(B259="","",MAX(0,IFERROR(INT(--(INDEX('Form Responses'!$F:$F,ROW())&amp;"")),1)))</f>
        <v/>
      </c>
      <c r="I259" s="32">
        <f>IF(B259="","",MAX(0,IFERROR(INT(--(INDEX('Form Responses'!$G:$G,ROW())&amp;"")),0)))</f>
        <v/>
      </c>
      <c r="J259" s="32">
        <f>IF(B259="","",TRIM(INDEX('Form Responses'!$H:$H,ROW())&amp;""))</f>
        <v/>
      </c>
      <c r="K259" s="32">
        <f>IF(B259="","",TRIM(INDEX('Form Responses'!$I:$I,ROW())&amp;""))</f>
        <v/>
      </c>
      <c r="L259" s="32">
        <f>IF(B259="","",TRIM(INDEX('Form Responses'!$J:$J,ROW())&amp;""))</f>
        <v/>
      </c>
      <c r="M259" s="32">
        <f>IF(B259="","",TRIM(INDEX('Form Responses'!$K:$K,ROW())&amp;""))</f>
        <v/>
      </c>
      <c r="N259" s="32">
        <f>IF(B259="","",IF(E259&lt;&gt;"","P"&amp;E259,"N"&amp;B259))</f>
        <v/>
      </c>
      <c r="O259" s="32">
        <f>IF(N259="",0,IF(COUNTIF(N260:N$602,N259)=0,1,0))</f>
        <v/>
      </c>
      <c r="P259" s="32">
        <f>IF(AND(O259=1,E259&lt;&gt;""),E259,"")</f>
        <v/>
      </c>
      <c r="Q259" s="32">
        <f>IF(O259=1,B259,"")</f>
        <v/>
      </c>
      <c r="R259" s="32">
        <f>IF(O259&lt;&gt;1,"",IF(E259&lt;&gt;"",IFERROR(MATCH(E259,Guests!$S$6:$S$505,0)+5,IFERROR(MATCH(B259,Guests!$A$6:$A$505,0)+5,"")),IFERROR(MATCH(B259,Guests!$A$6:$A$505,0)+5,"")))</f>
        <v/>
      </c>
      <c r="S259" s="32">
        <f>IF(R259="","",TRIM(INDEX(Guests!$E$1:$E$505,R259)&amp;""))</f>
        <v/>
      </c>
      <c r="T259" s="32">
        <f>IF(R259="","",IF(S259="",1,COUNTIF(Guests!$E$6:$E$505,S259)))</f>
        <v/>
      </c>
      <c r="U259" s="32">
        <f>IF(R259="","",IF(S259="",1,IF(COUNTIF(S$1:S258,S259)=0,1,0)))</f>
        <v/>
      </c>
      <c r="V259" s="32">
        <f>IF(AND(R259&lt;&gt;"",G259="Attending",U259=1),MAX(0,H259+I259-T259),0)</f>
        <v/>
      </c>
      <c r="W259" s="32">
        <f>IF(AND(O259=1,R259=""),1,0)</f>
        <v/>
      </c>
      <c r="X259" s="32">
        <f>IF(B259="",0,H259+I259)</f>
        <v/>
      </c>
      <c r="Y259" s="32">
        <f>N(Y258)+O259</f>
        <v/>
      </c>
      <c r="Z259" s="32">
        <f>IF(O259=1,Y259,"")</f>
        <v/>
      </c>
      <c r="AA259" s="32">
        <f>IF(AND(W259=1,G259="Not sure yet"),1,0)</f>
        <v/>
      </c>
      <c r="AB259" s="32">
        <f>N(AB258)+AA259</f>
        <v/>
      </c>
      <c r="AC259" s="32">
        <f>IF(AA259=1,AB259,"")</f>
        <v/>
      </c>
      <c r="AD259" s="32">
        <f>IF(D259="","",IF(LEN(D259)=10,"+1"&amp;D259,IF(AND(LEN(D259)=11,LEFT(D259,1)="1"),"+"&amp;D259,IF(LEFT(C259,1)="+","+"&amp;D259,D259))))</f>
        <v/>
      </c>
      <c r="AE259" s="32">
        <f>IF(B259="","",PROPER(IFERROR(LEFT(B259,FIND(" ",B259)-1),B259)))</f>
        <v/>
      </c>
      <c r="AF259" s="32">
        <f>SUBSTITUTE(SUBSTITUTE(SUBSTITUTE(SUBSTITUTE(SUBSTITUTE(SUBSTITUTE(SUBSTITUTE(SUBSTITUTE(SUBSTITUTE(SUBSTITUTE(AE259,"%","%25"),"&amp;","%26"),"#","%23"),"+","%2B"),"=","%3D"),"?","%3F"),CHAR(34),"%22"),CHAR(10),"%0A"),CHAR(13),"")," ","+")</f>
        <v/>
      </c>
      <c r="AG259" s="32">
        <f>IF(OR(AD259="",AE259=""),"",'Start Here'!$B$20&amp;"#p="&amp;SUBSTITUTE(AD259,"+","%2B")&amp;"&amp;n="&amp;AF259&amp;"&amp;m="&amp;SUBSTITUTE('Start Here'!$B$24,"{name}",AF259))</f>
        <v/>
      </c>
      <c r="AH259" s="32">
        <f>N(AH258)+W259</f>
        <v/>
      </c>
      <c r="AI259" s="32">
        <f>IF(W259=1,AH259,"")</f>
        <v/>
      </c>
    </row>
    <row r="260">
      <c r="A260" s="32">
        <f>IF(INDEX('Form Responses'!$A:$A,ROW())="","",INDEX('Form Responses'!$A:$A,ROW()))</f>
        <v/>
      </c>
      <c r="B260" s="32">
        <f>TRIM(INDEX('Form Responses'!$B:$B,ROW())&amp;"")</f>
        <v/>
      </c>
      <c r="C260" s="32">
        <f>IF(B260="","",TRIM(INDEX('Form Responses'!$C:$C,ROW())&amp;""))</f>
        <v/>
      </c>
      <c r="D260" s="32">
        <f>SUBSTITUTE(SUBSTITUTE(SUBSTITUTE(SUBSTITUTE(SUBSTITUTE(SUBSTITUTE(SUBSTITUTE(SUBSTITUTE(C260," ",""),"-",""),"(",""),")",""),".",""),"+",""),"/",""),CHAR(160),"")</f>
        <v/>
      </c>
      <c r="E260" s="32">
        <f>IF(LEN(D260)&gt;=10,RIGHT(D260,10),D260)</f>
        <v/>
      </c>
      <c r="F260" s="32">
        <f>IF(B260="","",TRIM(INDEX('Form Responses'!$D:$D,ROW())&amp;""))</f>
        <v/>
      </c>
      <c r="G260" s="32">
        <f>IF(B260="","",IF(LEFT(TRIM(INDEX('Form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0" s="32">
        <f>IF(B260="","",MAX(0,IFERROR(INT(--(INDEX('Form Responses'!$F:$F,ROW())&amp;"")),1)))</f>
        <v/>
      </c>
      <c r="I260" s="32">
        <f>IF(B260="","",MAX(0,IFERROR(INT(--(INDEX('Form Responses'!$G:$G,ROW())&amp;"")),0)))</f>
        <v/>
      </c>
      <c r="J260" s="32">
        <f>IF(B260="","",TRIM(INDEX('Form Responses'!$H:$H,ROW())&amp;""))</f>
        <v/>
      </c>
      <c r="K260" s="32">
        <f>IF(B260="","",TRIM(INDEX('Form Responses'!$I:$I,ROW())&amp;""))</f>
        <v/>
      </c>
      <c r="L260" s="32">
        <f>IF(B260="","",TRIM(INDEX('Form Responses'!$J:$J,ROW())&amp;""))</f>
        <v/>
      </c>
      <c r="M260" s="32">
        <f>IF(B260="","",TRIM(INDEX('Form Responses'!$K:$K,ROW())&amp;""))</f>
        <v/>
      </c>
      <c r="N260" s="32">
        <f>IF(B260="","",IF(E260&lt;&gt;"","P"&amp;E260,"N"&amp;B260))</f>
        <v/>
      </c>
      <c r="O260" s="32">
        <f>IF(N260="",0,IF(COUNTIF(N261:N$602,N260)=0,1,0))</f>
        <v/>
      </c>
      <c r="P260" s="32">
        <f>IF(AND(O260=1,E260&lt;&gt;""),E260,"")</f>
        <v/>
      </c>
      <c r="Q260" s="32">
        <f>IF(O260=1,B260,"")</f>
        <v/>
      </c>
      <c r="R260" s="32">
        <f>IF(O260&lt;&gt;1,"",IF(E260&lt;&gt;"",IFERROR(MATCH(E260,Guests!$S$6:$S$505,0)+5,IFERROR(MATCH(B260,Guests!$A$6:$A$505,0)+5,"")),IFERROR(MATCH(B260,Guests!$A$6:$A$505,0)+5,"")))</f>
        <v/>
      </c>
      <c r="S260" s="32">
        <f>IF(R260="","",TRIM(INDEX(Guests!$E$1:$E$505,R260)&amp;""))</f>
        <v/>
      </c>
      <c r="T260" s="32">
        <f>IF(R260="","",IF(S260="",1,COUNTIF(Guests!$E$6:$E$505,S260)))</f>
        <v/>
      </c>
      <c r="U260" s="32">
        <f>IF(R260="","",IF(S260="",1,IF(COUNTIF(S$1:S259,S260)=0,1,0)))</f>
        <v/>
      </c>
      <c r="V260" s="32">
        <f>IF(AND(R260&lt;&gt;"",G260="Attending",U260=1),MAX(0,H260+I260-T260),0)</f>
        <v/>
      </c>
      <c r="W260" s="32">
        <f>IF(AND(O260=1,R260=""),1,0)</f>
        <v/>
      </c>
      <c r="X260" s="32">
        <f>IF(B260="",0,H260+I260)</f>
        <v/>
      </c>
      <c r="Y260" s="32">
        <f>N(Y259)+O260</f>
        <v/>
      </c>
      <c r="Z260" s="32">
        <f>IF(O260=1,Y260,"")</f>
        <v/>
      </c>
      <c r="AA260" s="32">
        <f>IF(AND(W260=1,G260="Not sure yet"),1,0)</f>
        <v/>
      </c>
      <c r="AB260" s="32">
        <f>N(AB259)+AA260</f>
        <v/>
      </c>
      <c r="AC260" s="32">
        <f>IF(AA260=1,AB260,"")</f>
        <v/>
      </c>
      <c r="AD260" s="32">
        <f>IF(D260="","",IF(LEN(D260)=10,"+1"&amp;D260,IF(AND(LEN(D260)=11,LEFT(D260,1)="1"),"+"&amp;D260,IF(LEFT(C260,1)="+","+"&amp;D260,D260))))</f>
        <v/>
      </c>
      <c r="AE260" s="32">
        <f>IF(B260="","",PROPER(IFERROR(LEFT(B260,FIND(" ",B260)-1),B260)))</f>
        <v/>
      </c>
      <c r="AF260" s="32">
        <f>SUBSTITUTE(SUBSTITUTE(SUBSTITUTE(SUBSTITUTE(SUBSTITUTE(SUBSTITUTE(SUBSTITUTE(SUBSTITUTE(SUBSTITUTE(SUBSTITUTE(AE260,"%","%25"),"&amp;","%26"),"#","%23"),"+","%2B"),"=","%3D"),"?","%3F"),CHAR(34),"%22"),CHAR(10),"%0A"),CHAR(13),"")," ","+")</f>
        <v/>
      </c>
      <c r="AG260" s="32">
        <f>IF(OR(AD260="",AE260=""),"",'Start Here'!$B$20&amp;"#p="&amp;SUBSTITUTE(AD260,"+","%2B")&amp;"&amp;n="&amp;AF260&amp;"&amp;m="&amp;SUBSTITUTE('Start Here'!$B$24,"{name}",AF260))</f>
        <v/>
      </c>
      <c r="AH260" s="32">
        <f>N(AH259)+W260</f>
        <v/>
      </c>
      <c r="AI260" s="32">
        <f>IF(W260=1,AH260,"")</f>
        <v/>
      </c>
    </row>
    <row r="261">
      <c r="A261" s="32">
        <f>IF(INDEX('Form Responses'!$A:$A,ROW())="","",INDEX('Form Responses'!$A:$A,ROW()))</f>
        <v/>
      </c>
      <c r="B261" s="32">
        <f>TRIM(INDEX('Form Responses'!$B:$B,ROW())&amp;"")</f>
        <v/>
      </c>
      <c r="C261" s="32">
        <f>IF(B261="","",TRIM(INDEX('Form Responses'!$C:$C,ROW())&amp;""))</f>
        <v/>
      </c>
      <c r="D261" s="32">
        <f>SUBSTITUTE(SUBSTITUTE(SUBSTITUTE(SUBSTITUTE(SUBSTITUTE(SUBSTITUTE(SUBSTITUTE(SUBSTITUTE(C261," ",""),"-",""),"(",""),")",""),".",""),"+",""),"/",""),CHAR(160),"")</f>
        <v/>
      </c>
      <c r="E261" s="32">
        <f>IF(LEN(D261)&gt;=10,RIGHT(D261,10),D261)</f>
        <v/>
      </c>
      <c r="F261" s="32">
        <f>IF(B261="","",TRIM(INDEX('Form Responses'!$D:$D,ROW())&amp;""))</f>
        <v/>
      </c>
      <c r="G261" s="32">
        <f>IF(B261="","",IF(LEFT(TRIM(INDEX('Form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1" s="32">
        <f>IF(B261="","",MAX(0,IFERROR(INT(--(INDEX('Form Responses'!$F:$F,ROW())&amp;"")),1)))</f>
        <v/>
      </c>
      <c r="I261" s="32">
        <f>IF(B261="","",MAX(0,IFERROR(INT(--(INDEX('Form Responses'!$G:$G,ROW())&amp;"")),0)))</f>
        <v/>
      </c>
      <c r="J261" s="32">
        <f>IF(B261="","",TRIM(INDEX('Form Responses'!$H:$H,ROW())&amp;""))</f>
        <v/>
      </c>
      <c r="K261" s="32">
        <f>IF(B261="","",TRIM(INDEX('Form Responses'!$I:$I,ROW())&amp;""))</f>
        <v/>
      </c>
      <c r="L261" s="32">
        <f>IF(B261="","",TRIM(INDEX('Form Responses'!$J:$J,ROW())&amp;""))</f>
        <v/>
      </c>
      <c r="M261" s="32">
        <f>IF(B261="","",TRIM(INDEX('Form Responses'!$K:$K,ROW())&amp;""))</f>
        <v/>
      </c>
      <c r="N261" s="32">
        <f>IF(B261="","",IF(E261&lt;&gt;"","P"&amp;E261,"N"&amp;B261))</f>
        <v/>
      </c>
      <c r="O261" s="32">
        <f>IF(N261="",0,IF(COUNTIF(N262:N$602,N261)=0,1,0))</f>
        <v/>
      </c>
      <c r="P261" s="32">
        <f>IF(AND(O261=1,E261&lt;&gt;""),E261,"")</f>
        <v/>
      </c>
      <c r="Q261" s="32">
        <f>IF(O261=1,B261,"")</f>
        <v/>
      </c>
      <c r="R261" s="32">
        <f>IF(O261&lt;&gt;1,"",IF(E261&lt;&gt;"",IFERROR(MATCH(E261,Guests!$S$6:$S$505,0)+5,IFERROR(MATCH(B261,Guests!$A$6:$A$505,0)+5,"")),IFERROR(MATCH(B261,Guests!$A$6:$A$505,0)+5,"")))</f>
        <v/>
      </c>
      <c r="S261" s="32">
        <f>IF(R261="","",TRIM(INDEX(Guests!$E$1:$E$505,R261)&amp;""))</f>
        <v/>
      </c>
      <c r="T261" s="32">
        <f>IF(R261="","",IF(S261="",1,COUNTIF(Guests!$E$6:$E$505,S261)))</f>
        <v/>
      </c>
      <c r="U261" s="32">
        <f>IF(R261="","",IF(S261="",1,IF(COUNTIF(S$1:S260,S261)=0,1,0)))</f>
        <v/>
      </c>
      <c r="V261" s="32">
        <f>IF(AND(R261&lt;&gt;"",G261="Attending",U261=1),MAX(0,H261+I261-T261),0)</f>
        <v/>
      </c>
      <c r="W261" s="32">
        <f>IF(AND(O261=1,R261=""),1,0)</f>
        <v/>
      </c>
      <c r="X261" s="32">
        <f>IF(B261="",0,H261+I261)</f>
        <v/>
      </c>
      <c r="Y261" s="32">
        <f>N(Y260)+O261</f>
        <v/>
      </c>
      <c r="Z261" s="32">
        <f>IF(O261=1,Y261,"")</f>
        <v/>
      </c>
      <c r="AA261" s="32">
        <f>IF(AND(W261=1,G261="Not sure yet"),1,0)</f>
        <v/>
      </c>
      <c r="AB261" s="32">
        <f>N(AB260)+AA261</f>
        <v/>
      </c>
      <c r="AC261" s="32">
        <f>IF(AA261=1,AB261,"")</f>
        <v/>
      </c>
      <c r="AD261" s="32">
        <f>IF(D261="","",IF(LEN(D261)=10,"+1"&amp;D261,IF(AND(LEN(D261)=11,LEFT(D261,1)="1"),"+"&amp;D261,IF(LEFT(C261,1)="+","+"&amp;D261,D261))))</f>
        <v/>
      </c>
      <c r="AE261" s="32">
        <f>IF(B261="","",PROPER(IFERROR(LEFT(B261,FIND(" ",B261)-1),B261)))</f>
        <v/>
      </c>
      <c r="AF261" s="32">
        <f>SUBSTITUTE(SUBSTITUTE(SUBSTITUTE(SUBSTITUTE(SUBSTITUTE(SUBSTITUTE(SUBSTITUTE(SUBSTITUTE(SUBSTITUTE(SUBSTITUTE(AE261,"%","%25"),"&amp;","%26"),"#","%23"),"+","%2B"),"=","%3D"),"?","%3F"),CHAR(34),"%22"),CHAR(10),"%0A"),CHAR(13),"")," ","+")</f>
        <v/>
      </c>
      <c r="AG261" s="32">
        <f>IF(OR(AD261="",AE261=""),"",'Start Here'!$B$20&amp;"#p="&amp;SUBSTITUTE(AD261,"+","%2B")&amp;"&amp;n="&amp;AF261&amp;"&amp;m="&amp;SUBSTITUTE('Start Here'!$B$24,"{name}",AF261))</f>
        <v/>
      </c>
      <c r="AH261" s="32">
        <f>N(AH260)+W261</f>
        <v/>
      </c>
      <c r="AI261" s="32">
        <f>IF(W261=1,AH261,"")</f>
        <v/>
      </c>
    </row>
    <row r="262">
      <c r="A262" s="32">
        <f>IF(INDEX('Form Responses'!$A:$A,ROW())="","",INDEX('Form Responses'!$A:$A,ROW()))</f>
        <v/>
      </c>
      <c r="B262" s="32">
        <f>TRIM(INDEX('Form Responses'!$B:$B,ROW())&amp;"")</f>
        <v/>
      </c>
      <c r="C262" s="32">
        <f>IF(B262="","",TRIM(INDEX('Form Responses'!$C:$C,ROW())&amp;""))</f>
        <v/>
      </c>
      <c r="D262" s="32">
        <f>SUBSTITUTE(SUBSTITUTE(SUBSTITUTE(SUBSTITUTE(SUBSTITUTE(SUBSTITUTE(SUBSTITUTE(SUBSTITUTE(C262," ",""),"-",""),"(",""),")",""),".",""),"+",""),"/",""),CHAR(160),"")</f>
        <v/>
      </c>
      <c r="E262" s="32">
        <f>IF(LEN(D262)&gt;=10,RIGHT(D262,10),D262)</f>
        <v/>
      </c>
      <c r="F262" s="32">
        <f>IF(B262="","",TRIM(INDEX('Form Responses'!$D:$D,ROW())&amp;""))</f>
        <v/>
      </c>
      <c r="G262" s="32">
        <f>IF(B262="","",IF(LEFT(TRIM(INDEX('Form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2" s="32">
        <f>IF(B262="","",MAX(0,IFERROR(INT(--(INDEX('Form Responses'!$F:$F,ROW())&amp;"")),1)))</f>
        <v/>
      </c>
      <c r="I262" s="32">
        <f>IF(B262="","",MAX(0,IFERROR(INT(--(INDEX('Form Responses'!$G:$G,ROW())&amp;"")),0)))</f>
        <v/>
      </c>
      <c r="J262" s="32">
        <f>IF(B262="","",TRIM(INDEX('Form Responses'!$H:$H,ROW())&amp;""))</f>
        <v/>
      </c>
      <c r="K262" s="32">
        <f>IF(B262="","",TRIM(INDEX('Form Responses'!$I:$I,ROW())&amp;""))</f>
        <v/>
      </c>
      <c r="L262" s="32">
        <f>IF(B262="","",TRIM(INDEX('Form Responses'!$J:$J,ROW())&amp;""))</f>
        <v/>
      </c>
      <c r="M262" s="32">
        <f>IF(B262="","",TRIM(INDEX('Form Responses'!$K:$K,ROW())&amp;""))</f>
        <v/>
      </c>
      <c r="N262" s="32">
        <f>IF(B262="","",IF(E262&lt;&gt;"","P"&amp;E262,"N"&amp;B262))</f>
        <v/>
      </c>
      <c r="O262" s="32">
        <f>IF(N262="",0,IF(COUNTIF(N263:N$602,N262)=0,1,0))</f>
        <v/>
      </c>
      <c r="P262" s="32">
        <f>IF(AND(O262=1,E262&lt;&gt;""),E262,"")</f>
        <v/>
      </c>
      <c r="Q262" s="32">
        <f>IF(O262=1,B262,"")</f>
        <v/>
      </c>
      <c r="R262" s="32">
        <f>IF(O262&lt;&gt;1,"",IF(E262&lt;&gt;"",IFERROR(MATCH(E262,Guests!$S$6:$S$505,0)+5,IFERROR(MATCH(B262,Guests!$A$6:$A$505,0)+5,"")),IFERROR(MATCH(B262,Guests!$A$6:$A$505,0)+5,"")))</f>
        <v/>
      </c>
      <c r="S262" s="32">
        <f>IF(R262="","",TRIM(INDEX(Guests!$E$1:$E$505,R262)&amp;""))</f>
        <v/>
      </c>
      <c r="T262" s="32">
        <f>IF(R262="","",IF(S262="",1,COUNTIF(Guests!$E$6:$E$505,S262)))</f>
        <v/>
      </c>
      <c r="U262" s="32">
        <f>IF(R262="","",IF(S262="",1,IF(COUNTIF(S$1:S261,S262)=0,1,0)))</f>
        <v/>
      </c>
      <c r="V262" s="32">
        <f>IF(AND(R262&lt;&gt;"",G262="Attending",U262=1),MAX(0,H262+I262-T262),0)</f>
        <v/>
      </c>
      <c r="W262" s="32">
        <f>IF(AND(O262=1,R262=""),1,0)</f>
        <v/>
      </c>
      <c r="X262" s="32">
        <f>IF(B262="",0,H262+I262)</f>
        <v/>
      </c>
      <c r="Y262" s="32">
        <f>N(Y261)+O262</f>
        <v/>
      </c>
      <c r="Z262" s="32">
        <f>IF(O262=1,Y262,"")</f>
        <v/>
      </c>
      <c r="AA262" s="32">
        <f>IF(AND(W262=1,G262="Not sure yet"),1,0)</f>
        <v/>
      </c>
      <c r="AB262" s="32">
        <f>N(AB261)+AA262</f>
        <v/>
      </c>
      <c r="AC262" s="32">
        <f>IF(AA262=1,AB262,"")</f>
        <v/>
      </c>
      <c r="AD262" s="32">
        <f>IF(D262="","",IF(LEN(D262)=10,"+1"&amp;D262,IF(AND(LEN(D262)=11,LEFT(D262,1)="1"),"+"&amp;D262,IF(LEFT(C262,1)="+","+"&amp;D262,D262))))</f>
        <v/>
      </c>
      <c r="AE262" s="32">
        <f>IF(B262="","",PROPER(IFERROR(LEFT(B262,FIND(" ",B262)-1),B262)))</f>
        <v/>
      </c>
      <c r="AF262" s="32">
        <f>SUBSTITUTE(SUBSTITUTE(SUBSTITUTE(SUBSTITUTE(SUBSTITUTE(SUBSTITUTE(SUBSTITUTE(SUBSTITUTE(SUBSTITUTE(SUBSTITUTE(AE262,"%","%25"),"&amp;","%26"),"#","%23"),"+","%2B"),"=","%3D"),"?","%3F"),CHAR(34),"%22"),CHAR(10),"%0A"),CHAR(13),"")," ","+")</f>
        <v/>
      </c>
      <c r="AG262" s="32">
        <f>IF(OR(AD262="",AE262=""),"",'Start Here'!$B$20&amp;"#p="&amp;SUBSTITUTE(AD262,"+","%2B")&amp;"&amp;n="&amp;AF262&amp;"&amp;m="&amp;SUBSTITUTE('Start Here'!$B$24,"{name}",AF262))</f>
        <v/>
      </c>
      <c r="AH262" s="32">
        <f>N(AH261)+W262</f>
        <v/>
      </c>
      <c r="AI262" s="32">
        <f>IF(W262=1,AH262,"")</f>
        <v/>
      </c>
    </row>
    <row r="263">
      <c r="A263" s="32">
        <f>IF(INDEX('Form Responses'!$A:$A,ROW())="","",INDEX('Form Responses'!$A:$A,ROW()))</f>
        <v/>
      </c>
      <c r="B263" s="32">
        <f>TRIM(INDEX('Form Responses'!$B:$B,ROW())&amp;"")</f>
        <v/>
      </c>
      <c r="C263" s="32">
        <f>IF(B263="","",TRIM(INDEX('Form Responses'!$C:$C,ROW())&amp;""))</f>
        <v/>
      </c>
      <c r="D263" s="32">
        <f>SUBSTITUTE(SUBSTITUTE(SUBSTITUTE(SUBSTITUTE(SUBSTITUTE(SUBSTITUTE(SUBSTITUTE(SUBSTITUTE(C263," ",""),"-",""),"(",""),")",""),".",""),"+",""),"/",""),CHAR(160),"")</f>
        <v/>
      </c>
      <c r="E263" s="32">
        <f>IF(LEN(D263)&gt;=10,RIGHT(D263,10),D263)</f>
        <v/>
      </c>
      <c r="F263" s="32">
        <f>IF(B263="","",TRIM(INDEX('Form Responses'!$D:$D,ROW())&amp;""))</f>
        <v/>
      </c>
      <c r="G263" s="32">
        <f>IF(B263="","",IF(LEFT(TRIM(INDEX('Form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3" s="32">
        <f>IF(B263="","",MAX(0,IFERROR(INT(--(INDEX('Form Responses'!$F:$F,ROW())&amp;"")),1)))</f>
        <v/>
      </c>
      <c r="I263" s="32">
        <f>IF(B263="","",MAX(0,IFERROR(INT(--(INDEX('Form Responses'!$G:$G,ROW())&amp;"")),0)))</f>
        <v/>
      </c>
      <c r="J263" s="32">
        <f>IF(B263="","",TRIM(INDEX('Form Responses'!$H:$H,ROW())&amp;""))</f>
        <v/>
      </c>
      <c r="K263" s="32">
        <f>IF(B263="","",TRIM(INDEX('Form Responses'!$I:$I,ROW())&amp;""))</f>
        <v/>
      </c>
      <c r="L263" s="32">
        <f>IF(B263="","",TRIM(INDEX('Form Responses'!$J:$J,ROW())&amp;""))</f>
        <v/>
      </c>
      <c r="M263" s="32">
        <f>IF(B263="","",TRIM(INDEX('Form Responses'!$K:$K,ROW())&amp;""))</f>
        <v/>
      </c>
      <c r="N263" s="32">
        <f>IF(B263="","",IF(E263&lt;&gt;"","P"&amp;E263,"N"&amp;B263))</f>
        <v/>
      </c>
      <c r="O263" s="32">
        <f>IF(N263="",0,IF(COUNTIF(N264:N$602,N263)=0,1,0))</f>
        <v/>
      </c>
      <c r="P263" s="32">
        <f>IF(AND(O263=1,E263&lt;&gt;""),E263,"")</f>
        <v/>
      </c>
      <c r="Q263" s="32">
        <f>IF(O263=1,B263,"")</f>
        <v/>
      </c>
      <c r="R263" s="32">
        <f>IF(O263&lt;&gt;1,"",IF(E263&lt;&gt;"",IFERROR(MATCH(E263,Guests!$S$6:$S$505,0)+5,IFERROR(MATCH(B263,Guests!$A$6:$A$505,0)+5,"")),IFERROR(MATCH(B263,Guests!$A$6:$A$505,0)+5,"")))</f>
        <v/>
      </c>
      <c r="S263" s="32">
        <f>IF(R263="","",TRIM(INDEX(Guests!$E$1:$E$505,R263)&amp;""))</f>
        <v/>
      </c>
      <c r="T263" s="32">
        <f>IF(R263="","",IF(S263="",1,COUNTIF(Guests!$E$6:$E$505,S263)))</f>
        <v/>
      </c>
      <c r="U263" s="32">
        <f>IF(R263="","",IF(S263="",1,IF(COUNTIF(S$1:S262,S263)=0,1,0)))</f>
        <v/>
      </c>
      <c r="V263" s="32">
        <f>IF(AND(R263&lt;&gt;"",G263="Attending",U263=1),MAX(0,H263+I263-T263),0)</f>
        <v/>
      </c>
      <c r="W263" s="32">
        <f>IF(AND(O263=1,R263=""),1,0)</f>
        <v/>
      </c>
      <c r="X263" s="32">
        <f>IF(B263="",0,H263+I263)</f>
        <v/>
      </c>
      <c r="Y263" s="32">
        <f>N(Y262)+O263</f>
        <v/>
      </c>
      <c r="Z263" s="32">
        <f>IF(O263=1,Y263,"")</f>
        <v/>
      </c>
      <c r="AA263" s="32">
        <f>IF(AND(W263=1,G263="Not sure yet"),1,0)</f>
        <v/>
      </c>
      <c r="AB263" s="32">
        <f>N(AB262)+AA263</f>
        <v/>
      </c>
      <c r="AC263" s="32">
        <f>IF(AA263=1,AB263,"")</f>
        <v/>
      </c>
      <c r="AD263" s="32">
        <f>IF(D263="","",IF(LEN(D263)=10,"+1"&amp;D263,IF(AND(LEN(D263)=11,LEFT(D263,1)="1"),"+"&amp;D263,IF(LEFT(C263,1)="+","+"&amp;D263,D263))))</f>
        <v/>
      </c>
      <c r="AE263" s="32">
        <f>IF(B263="","",PROPER(IFERROR(LEFT(B263,FIND(" ",B263)-1),B263)))</f>
        <v/>
      </c>
      <c r="AF263" s="32">
        <f>SUBSTITUTE(SUBSTITUTE(SUBSTITUTE(SUBSTITUTE(SUBSTITUTE(SUBSTITUTE(SUBSTITUTE(SUBSTITUTE(SUBSTITUTE(SUBSTITUTE(AE263,"%","%25"),"&amp;","%26"),"#","%23"),"+","%2B"),"=","%3D"),"?","%3F"),CHAR(34),"%22"),CHAR(10),"%0A"),CHAR(13),"")," ","+")</f>
        <v/>
      </c>
      <c r="AG263" s="32">
        <f>IF(OR(AD263="",AE263=""),"",'Start Here'!$B$20&amp;"#p="&amp;SUBSTITUTE(AD263,"+","%2B")&amp;"&amp;n="&amp;AF263&amp;"&amp;m="&amp;SUBSTITUTE('Start Here'!$B$24,"{name}",AF263))</f>
        <v/>
      </c>
      <c r="AH263" s="32">
        <f>N(AH262)+W263</f>
        <v/>
      </c>
      <c r="AI263" s="32">
        <f>IF(W263=1,AH263,"")</f>
        <v/>
      </c>
    </row>
    <row r="264">
      <c r="A264" s="32">
        <f>IF(INDEX('Form Responses'!$A:$A,ROW())="","",INDEX('Form Responses'!$A:$A,ROW()))</f>
        <v/>
      </c>
      <c r="B264" s="32">
        <f>TRIM(INDEX('Form Responses'!$B:$B,ROW())&amp;"")</f>
        <v/>
      </c>
      <c r="C264" s="32">
        <f>IF(B264="","",TRIM(INDEX('Form Responses'!$C:$C,ROW())&amp;""))</f>
        <v/>
      </c>
      <c r="D264" s="32">
        <f>SUBSTITUTE(SUBSTITUTE(SUBSTITUTE(SUBSTITUTE(SUBSTITUTE(SUBSTITUTE(SUBSTITUTE(SUBSTITUTE(C264," ",""),"-",""),"(",""),")",""),".",""),"+",""),"/",""),CHAR(160),"")</f>
        <v/>
      </c>
      <c r="E264" s="32">
        <f>IF(LEN(D264)&gt;=10,RIGHT(D264,10),D264)</f>
        <v/>
      </c>
      <c r="F264" s="32">
        <f>IF(B264="","",TRIM(INDEX('Form Responses'!$D:$D,ROW())&amp;""))</f>
        <v/>
      </c>
      <c r="G264" s="32">
        <f>IF(B264="","",IF(LEFT(TRIM(INDEX('Form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4" s="32">
        <f>IF(B264="","",MAX(0,IFERROR(INT(--(INDEX('Form Responses'!$F:$F,ROW())&amp;"")),1)))</f>
        <v/>
      </c>
      <c r="I264" s="32">
        <f>IF(B264="","",MAX(0,IFERROR(INT(--(INDEX('Form Responses'!$G:$G,ROW())&amp;"")),0)))</f>
        <v/>
      </c>
      <c r="J264" s="32">
        <f>IF(B264="","",TRIM(INDEX('Form Responses'!$H:$H,ROW())&amp;""))</f>
        <v/>
      </c>
      <c r="K264" s="32">
        <f>IF(B264="","",TRIM(INDEX('Form Responses'!$I:$I,ROW())&amp;""))</f>
        <v/>
      </c>
      <c r="L264" s="32">
        <f>IF(B264="","",TRIM(INDEX('Form Responses'!$J:$J,ROW())&amp;""))</f>
        <v/>
      </c>
      <c r="M264" s="32">
        <f>IF(B264="","",TRIM(INDEX('Form Responses'!$K:$K,ROW())&amp;""))</f>
        <v/>
      </c>
      <c r="N264" s="32">
        <f>IF(B264="","",IF(E264&lt;&gt;"","P"&amp;E264,"N"&amp;B264))</f>
        <v/>
      </c>
      <c r="O264" s="32">
        <f>IF(N264="",0,IF(COUNTIF(N265:N$602,N264)=0,1,0))</f>
        <v/>
      </c>
      <c r="P264" s="32">
        <f>IF(AND(O264=1,E264&lt;&gt;""),E264,"")</f>
        <v/>
      </c>
      <c r="Q264" s="32">
        <f>IF(O264=1,B264,"")</f>
        <v/>
      </c>
      <c r="R264" s="32">
        <f>IF(O264&lt;&gt;1,"",IF(E264&lt;&gt;"",IFERROR(MATCH(E264,Guests!$S$6:$S$505,0)+5,IFERROR(MATCH(B264,Guests!$A$6:$A$505,0)+5,"")),IFERROR(MATCH(B264,Guests!$A$6:$A$505,0)+5,"")))</f>
        <v/>
      </c>
      <c r="S264" s="32">
        <f>IF(R264="","",TRIM(INDEX(Guests!$E$1:$E$505,R264)&amp;""))</f>
        <v/>
      </c>
      <c r="T264" s="32">
        <f>IF(R264="","",IF(S264="",1,COUNTIF(Guests!$E$6:$E$505,S264)))</f>
        <v/>
      </c>
      <c r="U264" s="32">
        <f>IF(R264="","",IF(S264="",1,IF(COUNTIF(S$1:S263,S264)=0,1,0)))</f>
        <v/>
      </c>
      <c r="V264" s="32">
        <f>IF(AND(R264&lt;&gt;"",G264="Attending",U264=1),MAX(0,H264+I264-T264),0)</f>
        <v/>
      </c>
      <c r="W264" s="32">
        <f>IF(AND(O264=1,R264=""),1,0)</f>
        <v/>
      </c>
      <c r="X264" s="32">
        <f>IF(B264="",0,H264+I264)</f>
        <v/>
      </c>
      <c r="Y264" s="32">
        <f>N(Y263)+O264</f>
        <v/>
      </c>
      <c r="Z264" s="32">
        <f>IF(O264=1,Y264,"")</f>
        <v/>
      </c>
      <c r="AA264" s="32">
        <f>IF(AND(W264=1,G264="Not sure yet"),1,0)</f>
        <v/>
      </c>
      <c r="AB264" s="32">
        <f>N(AB263)+AA264</f>
        <v/>
      </c>
      <c r="AC264" s="32">
        <f>IF(AA264=1,AB264,"")</f>
        <v/>
      </c>
      <c r="AD264" s="32">
        <f>IF(D264="","",IF(LEN(D264)=10,"+1"&amp;D264,IF(AND(LEN(D264)=11,LEFT(D264,1)="1"),"+"&amp;D264,IF(LEFT(C264,1)="+","+"&amp;D264,D264))))</f>
        <v/>
      </c>
      <c r="AE264" s="32">
        <f>IF(B264="","",PROPER(IFERROR(LEFT(B264,FIND(" ",B264)-1),B264)))</f>
        <v/>
      </c>
      <c r="AF264" s="32">
        <f>SUBSTITUTE(SUBSTITUTE(SUBSTITUTE(SUBSTITUTE(SUBSTITUTE(SUBSTITUTE(SUBSTITUTE(SUBSTITUTE(SUBSTITUTE(SUBSTITUTE(AE264,"%","%25"),"&amp;","%26"),"#","%23"),"+","%2B"),"=","%3D"),"?","%3F"),CHAR(34),"%22"),CHAR(10),"%0A"),CHAR(13),"")," ","+")</f>
        <v/>
      </c>
      <c r="AG264" s="32">
        <f>IF(OR(AD264="",AE264=""),"",'Start Here'!$B$20&amp;"#p="&amp;SUBSTITUTE(AD264,"+","%2B")&amp;"&amp;n="&amp;AF264&amp;"&amp;m="&amp;SUBSTITUTE('Start Here'!$B$24,"{name}",AF264))</f>
        <v/>
      </c>
      <c r="AH264" s="32">
        <f>N(AH263)+W264</f>
        <v/>
      </c>
      <c r="AI264" s="32">
        <f>IF(W264=1,AH264,"")</f>
        <v/>
      </c>
    </row>
    <row r="265">
      <c r="A265" s="32">
        <f>IF(INDEX('Form Responses'!$A:$A,ROW())="","",INDEX('Form Responses'!$A:$A,ROW()))</f>
        <v/>
      </c>
      <c r="B265" s="32">
        <f>TRIM(INDEX('Form Responses'!$B:$B,ROW())&amp;"")</f>
        <v/>
      </c>
      <c r="C265" s="32">
        <f>IF(B265="","",TRIM(INDEX('Form Responses'!$C:$C,ROW())&amp;""))</f>
        <v/>
      </c>
      <c r="D265" s="32">
        <f>SUBSTITUTE(SUBSTITUTE(SUBSTITUTE(SUBSTITUTE(SUBSTITUTE(SUBSTITUTE(SUBSTITUTE(SUBSTITUTE(C265," ",""),"-",""),"(",""),")",""),".",""),"+",""),"/",""),CHAR(160),"")</f>
        <v/>
      </c>
      <c r="E265" s="32">
        <f>IF(LEN(D265)&gt;=10,RIGHT(D265,10),D265)</f>
        <v/>
      </c>
      <c r="F265" s="32">
        <f>IF(B265="","",TRIM(INDEX('Form Responses'!$D:$D,ROW())&amp;""))</f>
        <v/>
      </c>
      <c r="G265" s="32">
        <f>IF(B265="","",IF(LEFT(TRIM(INDEX('Form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5" s="32">
        <f>IF(B265="","",MAX(0,IFERROR(INT(--(INDEX('Form Responses'!$F:$F,ROW())&amp;"")),1)))</f>
        <v/>
      </c>
      <c r="I265" s="32">
        <f>IF(B265="","",MAX(0,IFERROR(INT(--(INDEX('Form Responses'!$G:$G,ROW())&amp;"")),0)))</f>
        <v/>
      </c>
      <c r="J265" s="32">
        <f>IF(B265="","",TRIM(INDEX('Form Responses'!$H:$H,ROW())&amp;""))</f>
        <v/>
      </c>
      <c r="K265" s="32">
        <f>IF(B265="","",TRIM(INDEX('Form Responses'!$I:$I,ROW())&amp;""))</f>
        <v/>
      </c>
      <c r="L265" s="32">
        <f>IF(B265="","",TRIM(INDEX('Form Responses'!$J:$J,ROW())&amp;""))</f>
        <v/>
      </c>
      <c r="M265" s="32">
        <f>IF(B265="","",TRIM(INDEX('Form Responses'!$K:$K,ROW())&amp;""))</f>
        <v/>
      </c>
      <c r="N265" s="32">
        <f>IF(B265="","",IF(E265&lt;&gt;"","P"&amp;E265,"N"&amp;B265))</f>
        <v/>
      </c>
      <c r="O265" s="32">
        <f>IF(N265="",0,IF(COUNTIF(N266:N$602,N265)=0,1,0))</f>
        <v/>
      </c>
      <c r="P265" s="32">
        <f>IF(AND(O265=1,E265&lt;&gt;""),E265,"")</f>
        <v/>
      </c>
      <c r="Q265" s="32">
        <f>IF(O265=1,B265,"")</f>
        <v/>
      </c>
      <c r="R265" s="32">
        <f>IF(O265&lt;&gt;1,"",IF(E265&lt;&gt;"",IFERROR(MATCH(E265,Guests!$S$6:$S$505,0)+5,IFERROR(MATCH(B265,Guests!$A$6:$A$505,0)+5,"")),IFERROR(MATCH(B265,Guests!$A$6:$A$505,0)+5,"")))</f>
        <v/>
      </c>
      <c r="S265" s="32">
        <f>IF(R265="","",TRIM(INDEX(Guests!$E$1:$E$505,R265)&amp;""))</f>
        <v/>
      </c>
      <c r="T265" s="32">
        <f>IF(R265="","",IF(S265="",1,COUNTIF(Guests!$E$6:$E$505,S265)))</f>
        <v/>
      </c>
      <c r="U265" s="32">
        <f>IF(R265="","",IF(S265="",1,IF(COUNTIF(S$1:S264,S265)=0,1,0)))</f>
        <v/>
      </c>
      <c r="V265" s="32">
        <f>IF(AND(R265&lt;&gt;"",G265="Attending",U265=1),MAX(0,H265+I265-T265),0)</f>
        <v/>
      </c>
      <c r="W265" s="32">
        <f>IF(AND(O265=1,R265=""),1,0)</f>
        <v/>
      </c>
      <c r="X265" s="32">
        <f>IF(B265="",0,H265+I265)</f>
        <v/>
      </c>
      <c r="Y265" s="32">
        <f>N(Y264)+O265</f>
        <v/>
      </c>
      <c r="Z265" s="32">
        <f>IF(O265=1,Y265,"")</f>
        <v/>
      </c>
      <c r="AA265" s="32">
        <f>IF(AND(W265=1,G265="Not sure yet"),1,0)</f>
        <v/>
      </c>
      <c r="AB265" s="32">
        <f>N(AB264)+AA265</f>
        <v/>
      </c>
      <c r="AC265" s="32">
        <f>IF(AA265=1,AB265,"")</f>
        <v/>
      </c>
      <c r="AD265" s="32">
        <f>IF(D265="","",IF(LEN(D265)=10,"+1"&amp;D265,IF(AND(LEN(D265)=11,LEFT(D265,1)="1"),"+"&amp;D265,IF(LEFT(C265,1)="+","+"&amp;D265,D265))))</f>
        <v/>
      </c>
      <c r="AE265" s="32">
        <f>IF(B265="","",PROPER(IFERROR(LEFT(B265,FIND(" ",B265)-1),B265)))</f>
        <v/>
      </c>
      <c r="AF265" s="32">
        <f>SUBSTITUTE(SUBSTITUTE(SUBSTITUTE(SUBSTITUTE(SUBSTITUTE(SUBSTITUTE(SUBSTITUTE(SUBSTITUTE(SUBSTITUTE(SUBSTITUTE(AE265,"%","%25"),"&amp;","%26"),"#","%23"),"+","%2B"),"=","%3D"),"?","%3F"),CHAR(34),"%22"),CHAR(10),"%0A"),CHAR(13),"")," ","+")</f>
        <v/>
      </c>
      <c r="AG265" s="32">
        <f>IF(OR(AD265="",AE265=""),"",'Start Here'!$B$20&amp;"#p="&amp;SUBSTITUTE(AD265,"+","%2B")&amp;"&amp;n="&amp;AF265&amp;"&amp;m="&amp;SUBSTITUTE('Start Here'!$B$24,"{name}",AF265))</f>
        <v/>
      </c>
      <c r="AH265" s="32">
        <f>N(AH264)+W265</f>
        <v/>
      </c>
      <c r="AI265" s="32">
        <f>IF(W265=1,AH265,"")</f>
        <v/>
      </c>
    </row>
    <row r="266">
      <c r="A266" s="32">
        <f>IF(INDEX('Form Responses'!$A:$A,ROW())="","",INDEX('Form Responses'!$A:$A,ROW()))</f>
        <v/>
      </c>
      <c r="B266" s="32">
        <f>TRIM(INDEX('Form Responses'!$B:$B,ROW())&amp;"")</f>
        <v/>
      </c>
      <c r="C266" s="32">
        <f>IF(B266="","",TRIM(INDEX('Form Responses'!$C:$C,ROW())&amp;""))</f>
        <v/>
      </c>
      <c r="D266" s="32">
        <f>SUBSTITUTE(SUBSTITUTE(SUBSTITUTE(SUBSTITUTE(SUBSTITUTE(SUBSTITUTE(SUBSTITUTE(SUBSTITUTE(C266," ",""),"-",""),"(",""),")",""),".",""),"+",""),"/",""),CHAR(160),"")</f>
        <v/>
      </c>
      <c r="E266" s="32">
        <f>IF(LEN(D266)&gt;=10,RIGHT(D266,10),D266)</f>
        <v/>
      </c>
      <c r="F266" s="32">
        <f>IF(B266="","",TRIM(INDEX('Form Responses'!$D:$D,ROW())&amp;""))</f>
        <v/>
      </c>
      <c r="G266" s="32">
        <f>IF(B266="","",IF(LEFT(TRIM(INDEX('Form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6" s="32">
        <f>IF(B266="","",MAX(0,IFERROR(INT(--(INDEX('Form Responses'!$F:$F,ROW())&amp;"")),1)))</f>
        <v/>
      </c>
      <c r="I266" s="32">
        <f>IF(B266="","",MAX(0,IFERROR(INT(--(INDEX('Form Responses'!$G:$G,ROW())&amp;"")),0)))</f>
        <v/>
      </c>
      <c r="J266" s="32">
        <f>IF(B266="","",TRIM(INDEX('Form Responses'!$H:$H,ROW())&amp;""))</f>
        <v/>
      </c>
      <c r="K266" s="32">
        <f>IF(B266="","",TRIM(INDEX('Form Responses'!$I:$I,ROW())&amp;""))</f>
        <v/>
      </c>
      <c r="L266" s="32">
        <f>IF(B266="","",TRIM(INDEX('Form Responses'!$J:$J,ROW())&amp;""))</f>
        <v/>
      </c>
      <c r="M266" s="32">
        <f>IF(B266="","",TRIM(INDEX('Form Responses'!$K:$K,ROW())&amp;""))</f>
        <v/>
      </c>
      <c r="N266" s="32">
        <f>IF(B266="","",IF(E266&lt;&gt;"","P"&amp;E266,"N"&amp;B266))</f>
        <v/>
      </c>
      <c r="O266" s="32">
        <f>IF(N266="",0,IF(COUNTIF(N267:N$602,N266)=0,1,0))</f>
        <v/>
      </c>
      <c r="P266" s="32">
        <f>IF(AND(O266=1,E266&lt;&gt;""),E266,"")</f>
        <v/>
      </c>
      <c r="Q266" s="32">
        <f>IF(O266=1,B266,"")</f>
        <v/>
      </c>
      <c r="R266" s="32">
        <f>IF(O266&lt;&gt;1,"",IF(E266&lt;&gt;"",IFERROR(MATCH(E266,Guests!$S$6:$S$505,0)+5,IFERROR(MATCH(B266,Guests!$A$6:$A$505,0)+5,"")),IFERROR(MATCH(B266,Guests!$A$6:$A$505,0)+5,"")))</f>
        <v/>
      </c>
      <c r="S266" s="32">
        <f>IF(R266="","",TRIM(INDEX(Guests!$E$1:$E$505,R266)&amp;""))</f>
        <v/>
      </c>
      <c r="T266" s="32">
        <f>IF(R266="","",IF(S266="",1,COUNTIF(Guests!$E$6:$E$505,S266)))</f>
        <v/>
      </c>
      <c r="U266" s="32">
        <f>IF(R266="","",IF(S266="",1,IF(COUNTIF(S$1:S265,S266)=0,1,0)))</f>
        <v/>
      </c>
      <c r="V266" s="32">
        <f>IF(AND(R266&lt;&gt;"",G266="Attending",U266=1),MAX(0,H266+I266-T266),0)</f>
        <v/>
      </c>
      <c r="W266" s="32">
        <f>IF(AND(O266=1,R266=""),1,0)</f>
        <v/>
      </c>
      <c r="X266" s="32">
        <f>IF(B266="",0,H266+I266)</f>
        <v/>
      </c>
      <c r="Y266" s="32">
        <f>N(Y265)+O266</f>
        <v/>
      </c>
      <c r="Z266" s="32">
        <f>IF(O266=1,Y266,"")</f>
        <v/>
      </c>
      <c r="AA266" s="32">
        <f>IF(AND(W266=1,G266="Not sure yet"),1,0)</f>
        <v/>
      </c>
      <c r="AB266" s="32">
        <f>N(AB265)+AA266</f>
        <v/>
      </c>
      <c r="AC266" s="32">
        <f>IF(AA266=1,AB266,"")</f>
        <v/>
      </c>
      <c r="AD266" s="32">
        <f>IF(D266="","",IF(LEN(D266)=10,"+1"&amp;D266,IF(AND(LEN(D266)=11,LEFT(D266,1)="1"),"+"&amp;D266,IF(LEFT(C266,1)="+","+"&amp;D266,D266))))</f>
        <v/>
      </c>
      <c r="AE266" s="32">
        <f>IF(B266="","",PROPER(IFERROR(LEFT(B266,FIND(" ",B266)-1),B266)))</f>
        <v/>
      </c>
      <c r="AF266" s="32">
        <f>SUBSTITUTE(SUBSTITUTE(SUBSTITUTE(SUBSTITUTE(SUBSTITUTE(SUBSTITUTE(SUBSTITUTE(SUBSTITUTE(SUBSTITUTE(SUBSTITUTE(AE266,"%","%25"),"&amp;","%26"),"#","%23"),"+","%2B"),"=","%3D"),"?","%3F"),CHAR(34),"%22"),CHAR(10),"%0A"),CHAR(13),"")," ","+")</f>
        <v/>
      </c>
      <c r="AG266" s="32">
        <f>IF(OR(AD266="",AE266=""),"",'Start Here'!$B$20&amp;"#p="&amp;SUBSTITUTE(AD266,"+","%2B")&amp;"&amp;n="&amp;AF266&amp;"&amp;m="&amp;SUBSTITUTE('Start Here'!$B$24,"{name}",AF266))</f>
        <v/>
      </c>
      <c r="AH266" s="32">
        <f>N(AH265)+W266</f>
        <v/>
      </c>
      <c r="AI266" s="32">
        <f>IF(W266=1,AH266,"")</f>
        <v/>
      </c>
    </row>
    <row r="267">
      <c r="A267" s="32">
        <f>IF(INDEX('Form Responses'!$A:$A,ROW())="","",INDEX('Form Responses'!$A:$A,ROW()))</f>
        <v/>
      </c>
      <c r="B267" s="32">
        <f>TRIM(INDEX('Form Responses'!$B:$B,ROW())&amp;"")</f>
        <v/>
      </c>
      <c r="C267" s="32">
        <f>IF(B267="","",TRIM(INDEX('Form Responses'!$C:$C,ROW())&amp;""))</f>
        <v/>
      </c>
      <c r="D267" s="32">
        <f>SUBSTITUTE(SUBSTITUTE(SUBSTITUTE(SUBSTITUTE(SUBSTITUTE(SUBSTITUTE(SUBSTITUTE(SUBSTITUTE(C267," ",""),"-",""),"(",""),")",""),".",""),"+",""),"/",""),CHAR(160),"")</f>
        <v/>
      </c>
      <c r="E267" s="32">
        <f>IF(LEN(D267)&gt;=10,RIGHT(D267,10),D267)</f>
        <v/>
      </c>
      <c r="F267" s="32">
        <f>IF(B267="","",TRIM(INDEX('Form Responses'!$D:$D,ROW())&amp;""))</f>
        <v/>
      </c>
      <c r="G267" s="32">
        <f>IF(B267="","",IF(LEFT(TRIM(INDEX('Form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7" s="32">
        <f>IF(B267="","",MAX(0,IFERROR(INT(--(INDEX('Form Responses'!$F:$F,ROW())&amp;"")),1)))</f>
        <v/>
      </c>
      <c r="I267" s="32">
        <f>IF(B267="","",MAX(0,IFERROR(INT(--(INDEX('Form Responses'!$G:$G,ROW())&amp;"")),0)))</f>
        <v/>
      </c>
      <c r="J267" s="32">
        <f>IF(B267="","",TRIM(INDEX('Form Responses'!$H:$H,ROW())&amp;""))</f>
        <v/>
      </c>
      <c r="K267" s="32">
        <f>IF(B267="","",TRIM(INDEX('Form Responses'!$I:$I,ROW())&amp;""))</f>
        <v/>
      </c>
      <c r="L267" s="32">
        <f>IF(B267="","",TRIM(INDEX('Form Responses'!$J:$J,ROW())&amp;""))</f>
        <v/>
      </c>
      <c r="M267" s="32">
        <f>IF(B267="","",TRIM(INDEX('Form Responses'!$K:$K,ROW())&amp;""))</f>
        <v/>
      </c>
      <c r="N267" s="32">
        <f>IF(B267="","",IF(E267&lt;&gt;"","P"&amp;E267,"N"&amp;B267))</f>
        <v/>
      </c>
      <c r="O267" s="32">
        <f>IF(N267="",0,IF(COUNTIF(N268:N$602,N267)=0,1,0))</f>
        <v/>
      </c>
      <c r="P267" s="32">
        <f>IF(AND(O267=1,E267&lt;&gt;""),E267,"")</f>
        <v/>
      </c>
      <c r="Q267" s="32">
        <f>IF(O267=1,B267,"")</f>
        <v/>
      </c>
      <c r="R267" s="32">
        <f>IF(O267&lt;&gt;1,"",IF(E267&lt;&gt;"",IFERROR(MATCH(E267,Guests!$S$6:$S$505,0)+5,IFERROR(MATCH(B267,Guests!$A$6:$A$505,0)+5,"")),IFERROR(MATCH(B267,Guests!$A$6:$A$505,0)+5,"")))</f>
        <v/>
      </c>
      <c r="S267" s="32">
        <f>IF(R267="","",TRIM(INDEX(Guests!$E$1:$E$505,R267)&amp;""))</f>
        <v/>
      </c>
      <c r="T267" s="32">
        <f>IF(R267="","",IF(S267="",1,COUNTIF(Guests!$E$6:$E$505,S267)))</f>
        <v/>
      </c>
      <c r="U267" s="32">
        <f>IF(R267="","",IF(S267="",1,IF(COUNTIF(S$1:S266,S267)=0,1,0)))</f>
        <v/>
      </c>
      <c r="V267" s="32">
        <f>IF(AND(R267&lt;&gt;"",G267="Attending",U267=1),MAX(0,H267+I267-T267),0)</f>
        <v/>
      </c>
      <c r="W267" s="32">
        <f>IF(AND(O267=1,R267=""),1,0)</f>
        <v/>
      </c>
      <c r="X267" s="32">
        <f>IF(B267="",0,H267+I267)</f>
        <v/>
      </c>
      <c r="Y267" s="32">
        <f>N(Y266)+O267</f>
        <v/>
      </c>
      <c r="Z267" s="32">
        <f>IF(O267=1,Y267,"")</f>
        <v/>
      </c>
      <c r="AA267" s="32">
        <f>IF(AND(W267=1,G267="Not sure yet"),1,0)</f>
        <v/>
      </c>
      <c r="AB267" s="32">
        <f>N(AB266)+AA267</f>
        <v/>
      </c>
      <c r="AC267" s="32">
        <f>IF(AA267=1,AB267,"")</f>
        <v/>
      </c>
      <c r="AD267" s="32">
        <f>IF(D267="","",IF(LEN(D267)=10,"+1"&amp;D267,IF(AND(LEN(D267)=11,LEFT(D267,1)="1"),"+"&amp;D267,IF(LEFT(C267,1)="+","+"&amp;D267,D267))))</f>
        <v/>
      </c>
      <c r="AE267" s="32">
        <f>IF(B267="","",PROPER(IFERROR(LEFT(B267,FIND(" ",B267)-1),B267)))</f>
        <v/>
      </c>
      <c r="AF267" s="32">
        <f>SUBSTITUTE(SUBSTITUTE(SUBSTITUTE(SUBSTITUTE(SUBSTITUTE(SUBSTITUTE(SUBSTITUTE(SUBSTITUTE(SUBSTITUTE(SUBSTITUTE(AE267,"%","%25"),"&amp;","%26"),"#","%23"),"+","%2B"),"=","%3D"),"?","%3F"),CHAR(34),"%22"),CHAR(10),"%0A"),CHAR(13),"")," ","+")</f>
        <v/>
      </c>
      <c r="AG267" s="32">
        <f>IF(OR(AD267="",AE267=""),"",'Start Here'!$B$20&amp;"#p="&amp;SUBSTITUTE(AD267,"+","%2B")&amp;"&amp;n="&amp;AF267&amp;"&amp;m="&amp;SUBSTITUTE('Start Here'!$B$24,"{name}",AF267))</f>
        <v/>
      </c>
      <c r="AH267" s="32">
        <f>N(AH266)+W267</f>
        <v/>
      </c>
      <c r="AI267" s="32">
        <f>IF(W267=1,AH267,"")</f>
        <v/>
      </c>
    </row>
    <row r="268">
      <c r="A268" s="32">
        <f>IF(INDEX('Form Responses'!$A:$A,ROW())="","",INDEX('Form Responses'!$A:$A,ROW()))</f>
        <v/>
      </c>
      <c r="B268" s="32">
        <f>TRIM(INDEX('Form Responses'!$B:$B,ROW())&amp;"")</f>
        <v/>
      </c>
      <c r="C268" s="32">
        <f>IF(B268="","",TRIM(INDEX('Form Responses'!$C:$C,ROW())&amp;""))</f>
        <v/>
      </c>
      <c r="D268" s="32">
        <f>SUBSTITUTE(SUBSTITUTE(SUBSTITUTE(SUBSTITUTE(SUBSTITUTE(SUBSTITUTE(SUBSTITUTE(SUBSTITUTE(C268," ",""),"-",""),"(",""),")",""),".",""),"+",""),"/",""),CHAR(160),"")</f>
        <v/>
      </c>
      <c r="E268" s="32">
        <f>IF(LEN(D268)&gt;=10,RIGHT(D268,10),D268)</f>
        <v/>
      </c>
      <c r="F268" s="32">
        <f>IF(B268="","",TRIM(INDEX('Form Responses'!$D:$D,ROW())&amp;""))</f>
        <v/>
      </c>
      <c r="G268" s="32">
        <f>IF(B268="","",IF(LEFT(TRIM(INDEX('Form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8" s="32">
        <f>IF(B268="","",MAX(0,IFERROR(INT(--(INDEX('Form Responses'!$F:$F,ROW())&amp;"")),1)))</f>
        <v/>
      </c>
      <c r="I268" s="32">
        <f>IF(B268="","",MAX(0,IFERROR(INT(--(INDEX('Form Responses'!$G:$G,ROW())&amp;"")),0)))</f>
        <v/>
      </c>
      <c r="J268" s="32">
        <f>IF(B268="","",TRIM(INDEX('Form Responses'!$H:$H,ROW())&amp;""))</f>
        <v/>
      </c>
      <c r="K268" s="32">
        <f>IF(B268="","",TRIM(INDEX('Form Responses'!$I:$I,ROW())&amp;""))</f>
        <v/>
      </c>
      <c r="L268" s="32">
        <f>IF(B268="","",TRIM(INDEX('Form Responses'!$J:$J,ROW())&amp;""))</f>
        <v/>
      </c>
      <c r="M268" s="32">
        <f>IF(B268="","",TRIM(INDEX('Form Responses'!$K:$K,ROW())&amp;""))</f>
        <v/>
      </c>
      <c r="N268" s="32">
        <f>IF(B268="","",IF(E268&lt;&gt;"","P"&amp;E268,"N"&amp;B268))</f>
        <v/>
      </c>
      <c r="O268" s="32">
        <f>IF(N268="",0,IF(COUNTIF(N269:N$602,N268)=0,1,0))</f>
        <v/>
      </c>
      <c r="P268" s="32">
        <f>IF(AND(O268=1,E268&lt;&gt;""),E268,"")</f>
        <v/>
      </c>
      <c r="Q268" s="32">
        <f>IF(O268=1,B268,"")</f>
        <v/>
      </c>
      <c r="R268" s="32">
        <f>IF(O268&lt;&gt;1,"",IF(E268&lt;&gt;"",IFERROR(MATCH(E268,Guests!$S$6:$S$505,0)+5,IFERROR(MATCH(B268,Guests!$A$6:$A$505,0)+5,"")),IFERROR(MATCH(B268,Guests!$A$6:$A$505,0)+5,"")))</f>
        <v/>
      </c>
      <c r="S268" s="32">
        <f>IF(R268="","",TRIM(INDEX(Guests!$E$1:$E$505,R268)&amp;""))</f>
        <v/>
      </c>
      <c r="T268" s="32">
        <f>IF(R268="","",IF(S268="",1,COUNTIF(Guests!$E$6:$E$505,S268)))</f>
        <v/>
      </c>
      <c r="U268" s="32">
        <f>IF(R268="","",IF(S268="",1,IF(COUNTIF(S$1:S267,S268)=0,1,0)))</f>
        <v/>
      </c>
      <c r="V268" s="32">
        <f>IF(AND(R268&lt;&gt;"",G268="Attending",U268=1),MAX(0,H268+I268-T268),0)</f>
        <v/>
      </c>
      <c r="W268" s="32">
        <f>IF(AND(O268=1,R268=""),1,0)</f>
        <v/>
      </c>
      <c r="X268" s="32">
        <f>IF(B268="",0,H268+I268)</f>
        <v/>
      </c>
      <c r="Y268" s="32">
        <f>N(Y267)+O268</f>
        <v/>
      </c>
      <c r="Z268" s="32">
        <f>IF(O268=1,Y268,"")</f>
        <v/>
      </c>
      <c r="AA268" s="32">
        <f>IF(AND(W268=1,G268="Not sure yet"),1,0)</f>
        <v/>
      </c>
      <c r="AB268" s="32">
        <f>N(AB267)+AA268</f>
        <v/>
      </c>
      <c r="AC268" s="32">
        <f>IF(AA268=1,AB268,"")</f>
        <v/>
      </c>
      <c r="AD268" s="32">
        <f>IF(D268="","",IF(LEN(D268)=10,"+1"&amp;D268,IF(AND(LEN(D268)=11,LEFT(D268,1)="1"),"+"&amp;D268,IF(LEFT(C268,1)="+","+"&amp;D268,D268))))</f>
        <v/>
      </c>
      <c r="AE268" s="32">
        <f>IF(B268="","",PROPER(IFERROR(LEFT(B268,FIND(" ",B268)-1),B268)))</f>
        <v/>
      </c>
      <c r="AF268" s="32">
        <f>SUBSTITUTE(SUBSTITUTE(SUBSTITUTE(SUBSTITUTE(SUBSTITUTE(SUBSTITUTE(SUBSTITUTE(SUBSTITUTE(SUBSTITUTE(SUBSTITUTE(AE268,"%","%25"),"&amp;","%26"),"#","%23"),"+","%2B"),"=","%3D"),"?","%3F"),CHAR(34),"%22"),CHAR(10),"%0A"),CHAR(13),"")," ","+")</f>
        <v/>
      </c>
      <c r="AG268" s="32">
        <f>IF(OR(AD268="",AE268=""),"",'Start Here'!$B$20&amp;"#p="&amp;SUBSTITUTE(AD268,"+","%2B")&amp;"&amp;n="&amp;AF268&amp;"&amp;m="&amp;SUBSTITUTE('Start Here'!$B$24,"{name}",AF268))</f>
        <v/>
      </c>
      <c r="AH268" s="32">
        <f>N(AH267)+W268</f>
        <v/>
      </c>
      <c r="AI268" s="32">
        <f>IF(W268=1,AH268,"")</f>
        <v/>
      </c>
    </row>
    <row r="269">
      <c r="A269" s="32">
        <f>IF(INDEX('Form Responses'!$A:$A,ROW())="","",INDEX('Form Responses'!$A:$A,ROW()))</f>
        <v/>
      </c>
      <c r="B269" s="32">
        <f>TRIM(INDEX('Form Responses'!$B:$B,ROW())&amp;"")</f>
        <v/>
      </c>
      <c r="C269" s="32">
        <f>IF(B269="","",TRIM(INDEX('Form Responses'!$C:$C,ROW())&amp;""))</f>
        <v/>
      </c>
      <c r="D269" s="32">
        <f>SUBSTITUTE(SUBSTITUTE(SUBSTITUTE(SUBSTITUTE(SUBSTITUTE(SUBSTITUTE(SUBSTITUTE(SUBSTITUTE(C269," ",""),"-",""),"(",""),")",""),".",""),"+",""),"/",""),CHAR(160),"")</f>
        <v/>
      </c>
      <c r="E269" s="32">
        <f>IF(LEN(D269)&gt;=10,RIGHT(D269,10),D269)</f>
        <v/>
      </c>
      <c r="F269" s="32">
        <f>IF(B269="","",TRIM(INDEX('Form Responses'!$D:$D,ROW())&amp;""))</f>
        <v/>
      </c>
      <c r="G269" s="32">
        <f>IF(B269="","",IF(LEFT(TRIM(INDEX('Form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69" s="32">
        <f>IF(B269="","",MAX(0,IFERROR(INT(--(INDEX('Form Responses'!$F:$F,ROW())&amp;"")),1)))</f>
        <v/>
      </c>
      <c r="I269" s="32">
        <f>IF(B269="","",MAX(0,IFERROR(INT(--(INDEX('Form Responses'!$G:$G,ROW())&amp;"")),0)))</f>
        <v/>
      </c>
      <c r="J269" s="32">
        <f>IF(B269="","",TRIM(INDEX('Form Responses'!$H:$H,ROW())&amp;""))</f>
        <v/>
      </c>
      <c r="K269" s="32">
        <f>IF(B269="","",TRIM(INDEX('Form Responses'!$I:$I,ROW())&amp;""))</f>
        <v/>
      </c>
      <c r="L269" s="32">
        <f>IF(B269="","",TRIM(INDEX('Form Responses'!$J:$J,ROW())&amp;""))</f>
        <v/>
      </c>
      <c r="M269" s="32">
        <f>IF(B269="","",TRIM(INDEX('Form Responses'!$K:$K,ROW())&amp;""))</f>
        <v/>
      </c>
      <c r="N269" s="32">
        <f>IF(B269="","",IF(E269&lt;&gt;"","P"&amp;E269,"N"&amp;B269))</f>
        <v/>
      </c>
      <c r="O269" s="32">
        <f>IF(N269="",0,IF(COUNTIF(N270:N$602,N269)=0,1,0))</f>
        <v/>
      </c>
      <c r="P269" s="32">
        <f>IF(AND(O269=1,E269&lt;&gt;""),E269,"")</f>
        <v/>
      </c>
      <c r="Q269" s="32">
        <f>IF(O269=1,B269,"")</f>
        <v/>
      </c>
      <c r="R269" s="32">
        <f>IF(O269&lt;&gt;1,"",IF(E269&lt;&gt;"",IFERROR(MATCH(E269,Guests!$S$6:$S$505,0)+5,IFERROR(MATCH(B269,Guests!$A$6:$A$505,0)+5,"")),IFERROR(MATCH(B269,Guests!$A$6:$A$505,0)+5,"")))</f>
        <v/>
      </c>
      <c r="S269" s="32">
        <f>IF(R269="","",TRIM(INDEX(Guests!$E$1:$E$505,R269)&amp;""))</f>
        <v/>
      </c>
      <c r="T269" s="32">
        <f>IF(R269="","",IF(S269="",1,COUNTIF(Guests!$E$6:$E$505,S269)))</f>
        <v/>
      </c>
      <c r="U269" s="32">
        <f>IF(R269="","",IF(S269="",1,IF(COUNTIF(S$1:S268,S269)=0,1,0)))</f>
        <v/>
      </c>
      <c r="V269" s="32">
        <f>IF(AND(R269&lt;&gt;"",G269="Attending",U269=1),MAX(0,H269+I269-T269),0)</f>
        <v/>
      </c>
      <c r="W269" s="32">
        <f>IF(AND(O269=1,R269=""),1,0)</f>
        <v/>
      </c>
      <c r="X269" s="32">
        <f>IF(B269="",0,H269+I269)</f>
        <v/>
      </c>
      <c r="Y269" s="32">
        <f>N(Y268)+O269</f>
        <v/>
      </c>
      <c r="Z269" s="32">
        <f>IF(O269=1,Y269,"")</f>
        <v/>
      </c>
      <c r="AA269" s="32">
        <f>IF(AND(W269=1,G269="Not sure yet"),1,0)</f>
        <v/>
      </c>
      <c r="AB269" s="32">
        <f>N(AB268)+AA269</f>
        <v/>
      </c>
      <c r="AC269" s="32">
        <f>IF(AA269=1,AB269,"")</f>
        <v/>
      </c>
      <c r="AD269" s="32">
        <f>IF(D269="","",IF(LEN(D269)=10,"+1"&amp;D269,IF(AND(LEN(D269)=11,LEFT(D269,1)="1"),"+"&amp;D269,IF(LEFT(C269,1)="+","+"&amp;D269,D269))))</f>
        <v/>
      </c>
      <c r="AE269" s="32">
        <f>IF(B269="","",PROPER(IFERROR(LEFT(B269,FIND(" ",B269)-1),B269)))</f>
        <v/>
      </c>
      <c r="AF269" s="32">
        <f>SUBSTITUTE(SUBSTITUTE(SUBSTITUTE(SUBSTITUTE(SUBSTITUTE(SUBSTITUTE(SUBSTITUTE(SUBSTITUTE(SUBSTITUTE(SUBSTITUTE(AE269,"%","%25"),"&amp;","%26"),"#","%23"),"+","%2B"),"=","%3D"),"?","%3F"),CHAR(34),"%22"),CHAR(10),"%0A"),CHAR(13),"")," ","+")</f>
        <v/>
      </c>
      <c r="AG269" s="32">
        <f>IF(OR(AD269="",AE269=""),"",'Start Here'!$B$20&amp;"#p="&amp;SUBSTITUTE(AD269,"+","%2B")&amp;"&amp;n="&amp;AF269&amp;"&amp;m="&amp;SUBSTITUTE('Start Here'!$B$24,"{name}",AF269))</f>
        <v/>
      </c>
      <c r="AH269" s="32">
        <f>N(AH268)+W269</f>
        <v/>
      </c>
      <c r="AI269" s="32">
        <f>IF(W269=1,AH269,"")</f>
        <v/>
      </c>
    </row>
    <row r="270">
      <c r="A270" s="32">
        <f>IF(INDEX('Form Responses'!$A:$A,ROW())="","",INDEX('Form Responses'!$A:$A,ROW()))</f>
        <v/>
      </c>
      <c r="B270" s="32">
        <f>TRIM(INDEX('Form Responses'!$B:$B,ROW())&amp;"")</f>
        <v/>
      </c>
      <c r="C270" s="32">
        <f>IF(B270="","",TRIM(INDEX('Form Responses'!$C:$C,ROW())&amp;""))</f>
        <v/>
      </c>
      <c r="D270" s="32">
        <f>SUBSTITUTE(SUBSTITUTE(SUBSTITUTE(SUBSTITUTE(SUBSTITUTE(SUBSTITUTE(SUBSTITUTE(SUBSTITUTE(C270," ",""),"-",""),"(",""),")",""),".",""),"+",""),"/",""),CHAR(160),"")</f>
        <v/>
      </c>
      <c r="E270" s="32">
        <f>IF(LEN(D270)&gt;=10,RIGHT(D270,10),D270)</f>
        <v/>
      </c>
      <c r="F270" s="32">
        <f>IF(B270="","",TRIM(INDEX('Form Responses'!$D:$D,ROW())&amp;""))</f>
        <v/>
      </c>
      <c r="G270" s="32">
        <f>IF(B270="","",IF(LEFT(TRIM(INDEX('Form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0" s="32">
        <f>IF(B270="","",MAX(0,IFERROR(INT(--(INDEX('Form Responses'!$F:$F,ROW())&amp;"")),1)))</f>
        <v/>
      </c>
      <c r="I270" s="32">
        <f>IF(B270="","",MAX(0,IFERROR(INT(--(INDEX('Form Responses'!$G:$G,ROW())&amp;"")),0)))</f>
        <v/>
      </c>
      <c r="J270" s="32">
        <f>IF(B270="","",TRIM(INDEX('Form Responses'!$H:$H,ROW())&amp;""))</f>
        <v/>
      </c>
      <c r="K270" s="32">
        <f>IF(B270="","",TRIM(INDEX('Form Responses'!$I:$I,ROW())&amp;""))</f>
        <v/>
      </c>
      <c r="L270" s="32">
        <f>IF(B270="","",TRIM(INDEX('Form Responses'!$J:$J,ROW())&amp;""))</f>
        <v/>
      </c>
      <c r="M270" s="32">
        <f>IF(B270="","",TRIM(INDEX('Form Responses'!$K:$K,ROW())&amp;""))</f>
        <v/>
      </c>
      <c r="N270" s="32">
        <f>IF(B270="","",IF(E270&lt;&gt;"","P"&amp;E270,"N"&amp;B270))</f>
        <v/>
      </c>
      <c r="O270" s="32">
        <f>IF(N270="",0,IF(COUNTIF(N271:N$602,N270)=0,1,0))</f>
        <v/>
      </c>
      <c r="P270" s="32">
        <f>IF(AND(O270=1,E270&lt;&gt;""),E270,"")</f>
        <v/>
      </c>
      <c r="Q270" s="32">
        <f>IF(O270=1,B270,"")</f>
        <v/>
      </c>
      <c r="R270" s="32">
        <f>IF(O270&lt;&gt;1,"",IF(E270&lt;&gt;"",IFERROR(MATCH(E270,Guests!$S$6:$S$505,0)+5,IFERROR(MATCH(B270,Guests!$A$6:$A$505,0)+5,"")),IFERROR(MATCH(B270,Guests!$A$6:$A$505,0)+5,"")))</f>
        <v/>
      </c>
      <c r="S270" s="32">
        <f>IF(R270="","",TRIM(INDEX(Guests!$E$1:$E$505,R270)&amp;""))</f>
        <v/>
      </c>
      <c r="T270" s="32">
        <f>IF(R270="","",IF(S270="",1,COUNTIF(Guests!$E$6:$E$505,S270)))</f>
        <v/>
      </c>
      <c r="U270" s="32">
        <f>IF(R270="","",IF(S270="",1,IF(COUNTIF(S$1:S269,S270)=0,1,0)))</f>
        <v/>
      </c>
      <c r="V270" s="32">
        <f>IF(AND(R270&lt;&gt;"",G270="Attending",U270=1),MAX(0,H270+I270-T270),0)</f>
        <v/>
      </c>
      <c r="W270" s="32">
        <f>IF(AND(O270=1,R270=""),1,0)</f>
        <v/>
      </c>
      <c r="X270" s="32">
        <f>IF(B270="",0,H270+I270)</f>
        <v/>
      </c>
      <c r="Y270" s="32">
        <f>N(Y269)+O270</f>
        <v/>
      </c>
      <c r="Z270" s="32">
        <f>IF(O270=1,Y270,"")</f>
        <v/>
      </c>
      <c r="AA270" s="32">
        <f>IF(AND(W270=1,G270="Not sure yet"),1,0)</f>
        <v/>
      </c>
      <c r="AB270" s="32">
        <f>N(AB269)+AA270</f>
        <v/>
      </c>
      <c r="AC270" s="32">
        <f>IF(AA270=1,AB270,"")</f>
        <v/>
      </c>
      <c r="AD270" s="32">
        <f>IF(D270="","",IF(LEN(D270)=10,"+1"&amp;D270,IF(AND(LEN(D270)=11,LEFT(D270,1)="1"),"+"&amp;D270,IF(LEFT(C270,1)="+","+"&amp;D270,D270))))</f>
        <v/>
      </c>
      <c r="AE270" s="32">
        <f>IF(B270="","",PROPER(IFERROR(LEFT(B270,FIND(" ",B270)-1),B270)))</f>
        <v/>
      </c>
      <c r="AF270" s="32">
        <f>SUBSTITUTE(SUBSTITUTE(SUBSTITUTE(SUBSTITUTE(SUBSTITUTE(SUBSTITUTE(SUBSTITUTE(SUBSTITUTE(SUBSTITUTE(SUBSTITUTE(AE270,"%","%25"),"&amp;","%26"),"#","%23"),"+","%2B"),"=","%3D"),"?","%3F"),CHAR(34),"%22"),CHAR(10),"%0A"),CHAR(13),"")," ","+")</f>
        <v/>
      </c>
      <c r="AG270" s="32">
        <f>IF(OR(AD270="",AE270=""),"",'Start Here'!$B$20&amp;"#p="&amp;SUBSTITUTE(AD270,"+","%2B")&amp;"&amp;n="&amp;AF270&amp;"&amp;m="&amp;SUBSTITUTE('Start Here'!$B$24,"{name}",AF270))</f>
        <v/>
      </c>
      <c r="AH270" s="32">
        <f>N(AH269)+W270</f>
        <v/>
      </c>
      <c r="AI270" s="32">
        <f>IF(W270=1,AH270,"")</f>
        <v/>
      </c>
    </row>
    <row r="271">
      <c r="A271" s="32">
        <f>IF(INDEX('Form Responses'!$A:$A,ROW())="","",INDEX('Form Responses'!$A:$A,ROW()))</f>
        <v/>
      </c>
      <c r="B271" s="32">
        <f>TRIM(INDEX('Form Responses'!$B:$B,ROW())&amp;"")</f>
        <v/>
      </c>
      <c r="C271" s="32">
        <f>IF(B271="","",TRIM(INDEX('Form Responses'!$C:$C,ROW())&amp;""))</f>
        <v/>
      </c>
      <c r="D271" s="32">
        <f>SUBSTITUTE(SUBSTITUTE(SUBSTITUTE(SUBSTITUTE(SUBSTITUTE(SUBSTITUTE(SUBSTITUTE(SUBSTITUTE(C271," ",""),"-",""),"(",""),")",""),".",""),"+",""),"/",""),CHAR(160),"")</f>
        <v/>
      </c>
      <c r="E271" s="32">
        <f>IF(LEN(D271)&gt;=10,RIGHT(D271,10),D271)</f>
        <v/>
      </c>
      <c r="F271" s="32">
        <f>IF(B271="","",TRIM(INDEX('Form Responses'!$D:$D,ROW())&amp;""))</f>
        <v/>
      </c>
      <c r="G271" s="32">
        <f>IF(B271="","",IF(LEFT(TRIM(INDEX('Form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1" s="32">
        <f>IF(B271="","",MAX(0,IFERROR(INT(--(INDEX('Form Responses'!$F:$F,ROW())&amp;"")),1)))</f>
        <v/>
      </c>
      <c r="I271" s="32">
        <f>IF(B271="","",MAX(0,IFERROR(INT(--(INDEX('Form Responses'!$G:$G,ROW())&amp;"")),0)))</f>
        <v/>
      </c>
      <c r="J271" s="32">
        <f>IF(B271="","",TRIM(INDEX('Form Responses'!$H:$H,ROW())&amp;""))</f>
        <v/>
      </c>
      <c r="K271" s="32">
        <f>IF(B271="","",TRIM(INDEX('Form Responses'!$I:$I,ROW())&amp;""))</f>
        <v/>
      </c>
      <c r="L271" s="32">
        <f>IF(B271="","",TRIM(INDEX('Form Responses'!$J:$J,ROW())&amp;""))</f>
        <v/>
      </c>
      <c r="M271" s="32">
        <f>IF(B271="","",TRIM(INDEX('Form Responses'!$K:$K,ROW())&amp;""))</f>
        <v/>
      </c>
      <c r="N271" s="32">
        <f>IF(B271="","",IF(E271&lt;&gt;"","P"&amp;E271,"N"&amp;B271))</f>
        <v/>
      </c>
      <c r="O271" s="32">
        <f>IF(N271="",0,IF(COUNTIF(N272:N$602,N271)=0,1,0))</f>
        <v/>
      </c>
      <c r="P271" s="32">
        <f>IF(AND(O271=1,E271&lt;&gt;""),E271,"")</f>
        <v/>
      </c>
      <c r="Q271" s="32">
        <f>IF(O271=1,B271,"")</f>
        <v/>
      </c>
      <c r="R271" s="32">
        <f>IF(O271&lt;&gt;1,"",IF(E271&lt;&gt;"",IFERROR(MATCH(E271,Guests!$S$6:$S$505,0)+5,IFERROR(MATCH(B271,Guests!$A$6:$A$505,0)+5,"")),IFERROR(MATCH(B271,Guests!$A$6:$A$505,0)+5,"")))</f>
        <v/>
      </c>
      <c r="S271" s="32">
        <f>IF(R271="","",TRIM(INDEX(Guests!$E$1:$E$505,R271)&amp;""))</f>
        <v/>
      </c>
      <c r="T271" s="32">
        <f>IF(R271="","",IF(S271="",1,COUNTIF(Guests!$E$6:$E$505,S271)))</f>
        <v/>
      </c>
      <c r="U271" s="32">
        <f>IF(R271="","",IF(S271="",1,IF(COUNTIF(S$1:S270,S271)=0,1,0)))</f>
        <v/>
      </c>
      <c r="V271" s="32">
        <f>IF(AND(R271&lt;&gt;"",G271="Attending",U271=1),MAX(0,H271+I271-T271),0)</f>
        <v/>
      </c>
      <c r="W271" s="32">
        <f>IF(AND(O271=1,R271=""),1,0)</f>
        <v/>
      </c>
      <c r="X271" s="32">
        <f>IF(B271="",0,H271+I271)</f>
        <v/>
      </c>
      <c r="Y271" s="32">
        <f>N(Y270)+O271</f>
        <v/>
      </c>
      <c r="Z271" s="32">
        <f>IF(O271=1,Y271,"")</f>
        <v/>
      </c>
      <c r="AA271" s="32">
        <f>IF(AND(W271=1,G271="Not sure yet"),1,0)</f>
        <v/>
      </c>
      <c r="AB271" s="32">
        <f>N(AB270)+AA271</f>
        <v/>
      </c>
      <c r="AC271" s="32">
        <f>IF(AA271=1,AB271,"")</f>
        <v/>
      </c>
      <c r="AD271" s="32">
        <f>IF(D271="","",IF(LEN(D271)=10,"+1"&amp;D271,IF(AND(LEN(D271)=11,LEFT(D271,1)="1"),"+"&amp;D271,IF(LEFT(C271,1)="+","+"&amp;D271,D271))))</f>
        <v/>
      </c>
      <c r="AE271" s="32">
        <f>IF(B271="","",PROPER(IFERROR(LEFT(B271,FIND(" ",B271)-1),B271)))</f>
        <v/>
      </c>
      <c r="AF271" s="32">
        <f>SUBSTITUTE(SUBSTITUTE(SUBSTITUTE(SUBSTITUTE(SUBSTITUTE(SUBSTITUTE(SUBSTITUTE(SUBSTITUTE(SUBSTITUTE(SUBSTITUTE(AE271,"%","%25"),"&amp;","%26"),"#","%23"),"+","%2B"),"=","%3D"),"?","%3F"),CHAR(34),"%22"),CHAR(10),"%0A"),CHAR(13),"")," ","+")</f>
        <v/>
      </c>
      <c r="AG271" s="32">
        <f>IF(OR(AD271="",AE271=""),"",'Start Here'!$B$20&amp;"#p="&amp;SUBSTITUTE(AD271,"+","%2B")&amp;"&amp;n="&amp;AF271&amp;"&amp;m="&amp;SUBSTITUTE('Start Here'!$B$24,"{name}",AF271))</f>
        <v/>
      </c>
      <c r="AH271" s="32">
        <f>N(AH270)+W271</f>
        <v/>
      </c>
      <c r="AI271" s="32">
        <f>IF(W271=1,AH271,"")</f>
        <v/>
      </c>
    </row>
    <row r="272">
      <c r="A272" s="32">
        <f>IF(INDEX('Form Responses'!$A:$A,ROW())="","",INDEX('Form Responses'!$A:$A,ROW()))</f>
        <v/>
      </c>
      <c r="B272" s="32">
        <f>TRIM(INDEX('Form Responses'!$B:$B,ROW())&amp;"")</f>
        <v/>
      </c>
      <c r="C272" s="32">
        <f>IF(B272="","",TRIM(INDEX('Form Responses'!$C:$C,ROW())&amp;""))</f>
        <v/>
      </c>
      <c r="D272" s="32">
        <f>SUBSTITUTE(SUBSTITUTE(SUBSTITUTE(SUBSTITUTE(SUBSTITUTE(SUBSTITUTE(SUBSTITUTE(SUBSTITUTE(C272," ",""),"-",""),"(",""),")",""),".",""),"+",""),"/",""),CHAR(160),"")</f>
        <v/>
      </c>
      <c r="E272" s="32">
        <f>IF(LEN(D272)&gt;=10,RIGHT(D272,10),D272)</f>
        <v/>
      </c>
      <c r="F272" s="32">
        <f>IF(B272="","",TRIM(INDEX('Form Responses'!$D:$D,ROW())&amp;""))</f>
        <v/>
      </c>
      <c r="G272" s="32">
        <f>IF(B272="","",IF(LEFT(TRIM(INDEX('Form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2" s="32">
        <f>IF(B272="","",MAX(0,IFERROR(INT(--(INDEX('Form Responses'!$F:$F,ROW())&amp;"")),1)))</f>
        <v/>
      </c>
      <c r="I272" s="32">
        <f>IF(B272="","",MAX(0,IFERROR(INT(--(INDEX('Form Responses'!$G:$G,ROW())&amp;"")),0)))</f>
        <v/>
      </c>
      <c r="J272" s="32">
        <f>IF(B272="","",TRIM(INDEX('Form Responses'!$H:$H,ROW())&amp;""))</f>
        <v/>
      </c>
      <c r="K272" s="32">
        <f>IF(B272="","",TRIM(INDEX('Form Responses'!$I:$I,ROW())&amp;""))</f>
        <v/>
      </c>
      <c r="L272" s="32">
        <f>IF(B272="","",TRIM(INDEX('Form Responses'!$J:$J,ROW())&amp;""))</f>
        <v/>
      </c>
      <c r="M272" s="32">
        <f>IF(B272="","",TRIM(INDEX('Form Responses'!$K:$K,ROW())&amp;""))</f>
        <v/>
      </c>
      <c r="N272" s="32">
        <f>IF(B272="","",IF(E272&lt;&gt;"","P"&amp;E272,"N"&amp;B272))</f>
        <v/>
      </c>
      <c r="O272" s="32">
        <f>IF(N272="",0,IF(COUNTIF(N273:N$602,N272)=0,1,0))</f>
        <v/>
      </c>
      <c r="P272" s="32">
        <f>IF(AND(O272=1,E272&lt;&gt;""),E272,"")</f>
        <v/>
      </c>
      <c r="Q272" s="32">
        <f>IF(O272=1,B272,"")</f>
        <v/>
      </c>
      <c r="R272" s="32">
        <f>IF(O272&lt;&gt;1,"",IF(E272&lt;&gt;"",IFERROR(MATCH(E272,Guests!$S$6:$S$505,0)+5,IFERROR(MATCH(B272,Guests!$A$6:$A$505,0)+5,"")),IFERROR(MATCH(B272,Guests!$A$6:$A$505,0)+5,"")))</f>
        <v/>
      </c>
      <c r="S272" s="32">
        <f>IF(R272="","",TRIM(INDEX(Guests!$E$1:$E$505,R272)&amp;""))</f>
        <v/>
      </c>
      <c r="T272" s="32">
        <f>IF(R272="","",IF(S272="",1,COUNTIF(Guests!$E$6:$E$505,S272)))</f>
        <v/>
      </c>
      <c r="U272" s="32">
        <f>IF(R272="","",IF(S272="",1,IF(COUNTIF(S$1:S271,S272)=0,1,0)))</f>
        <v/>
      </c>
      <c r="V272" s="32">
        <f>IF(AND(R272&lt;&gt;"",G272="Attending",U272=1),MAX(0,H272+I272-T272),0)</f>
        <v/>
      </c>
      <c r="W272" s="32">
        <f>IF(AND(O272=1,R272=""),1,0)</f>
        <v/>
      </c>
      <c r="X272" s="32">
        <f>IF(B272="",0,H272+I272)</f>
        <v/>
      </c>
      <c r="Y272" s="32">
        <f>N(Y271)+O272</f>
        <v/>
      </c>
      <c r="Z272" s="32">
        <f>IF(O272=1,Y272,"")</f>
        <v/>
      </c>
      <c r="AA272" s="32">
        <f>IF(AND(W272=1,G272="Not sure yet"),1,0)</f>
        <v/>
      </c>
      <c r="AB272" s="32">
        <f>N(AB271)+AA272</f>
        <v/>
      </c>
      <c r="AC272" s="32">
        <f>IF(AA272=1,AB272,"")</f>
        <v/>
      </c>
      <c r="AD272" s="32">
        <f>IF(D272="","",IF(LEN(D272)=10,"+1"&amp;D272,IF(AND(LEN(D272)=11,LEFT(D272,1)="1"),"+"&amp;D272,IF(LEFT(C272,1)="+","+"&amp;D272,D272))))</f>
        <v/>
      </c>
      <c r="AE272" s="32">
        <f>IF(B272="","",PROPER(IFERROR(LEFT(B272,FIND(" ",B272)-1),B272)))</f>
        <v/>
      </c>
      <c r="AF272" s="32">
        <f>SUBSTITUTE(SUBSTITUTE(SUBSTITUTE(SUBSTITUTE(SUBSTITUTE(SUBSTITUTE(SUBSTITUTE(SUBSTITUTE(SUBSTITUTE(SUBSTITUTE(AE272,"%","%25"),"&amp;","%26"),"#","%23"),"+","%2B"),"=","%3D"),"?","%3F"),CHAR(34),"%22"),CHAR(10),"%0A"),CHAR(13),"")," ","+")</f>
        <v/>
      </c>
      <c r="AG272" s="32">
        <f>IF(OR(AD272="",AE272=""),"",'Start Here'!$B$20&amp;"#p="&amp;SUBSTITUTE(AD272,"+","%2B")&amp;"&amp;n="&amp;AF272&amp;"&amp;m="&amp;SUBSTITUTE('Start Here'!$B$24,"{name}",AF272))</f>
        <v/>
      </c>
      <c r="AH272" s="32">
        <f>N(AH271)+W272</f>
        <v/>
      </c>
      <c r="AI272" s="32">
        <f>IF(W272=1,AH272,"")</f>
        <v/>
      </c>
    </row>
    <row r="273">
      <c r="A273" s="32">
        <f>IF(INDEX('Form Responses'!$A:$A,ROW())="","",INDEX('Form Responses'!$A:$A,ROW()))</f>
        <v/>
      </c>
      <c r="B273" s="32">
        <f>TRIM(INDEX('Form Responses'!$B:$B,ROW())&amp;"")</f>
        <v/>
      </c>
      <c r="C273" s="32">
        <f>IF(B273="","",TRIM(INDEX('Form Responses'!$C:$C,ROW())&amp;""))</f>
        <v/>
      </c>
      <c r="D273" s="32">
        <f>SUBSTITUTE(SUBSTITUTE(SUBSTITUTE(SUBSTITUTE(SUBSTITUTE(SUBSTITUTE(SUBSTITUTE(SUBSTITUTE(C273," ",""),"-",""),"(",""),")",""),".",""),"+",""),"/",""),CHAR(160),"")</f>
        <v/>
      </c>
      <c r="E273" s="32">
        <f>IF(LEN(D273)&gt;=10,RIGHT(D273,10),D273)</f>
        <v/>
      </c>
      <c r="F273" s="32">
        <f>IF(B273="","",TRIM(INDEX('Form Responses'!$D:$D,ROW())&amp;""))</f>
        <v/>
      </c>
      <c r="G273" s="32">
        <f>IF(B273="","",IF(LEFT(TRIM(INDEX('Form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3" s="32">
        <f>IF(B273="","",MAX(0,IFERROR(INT(--(INDEX('Form Responses'!$F:$F,ROW())&amp;"")),1)))</f>
        <v/>
      </c>
      <c r="I273" s="32">
        <f>IF(B273="","",MAX(0,IFERROR(INT(--(INDEX('Form Responses'!$G:$G,ROW())&amp;"")),0)))</f>
        <v/>
      </c>
      <c r="J273" s="32">
        <f>IF(B273="","",TRIM(INDEX('Form Responses'!$H:$H,ROW())&amp;""))</f>
        <v/>
      </c>
      <c r="K273" s="32">
        <f>IF(B273="","",TRIM(INDEX('Form Responses'!$I:$I,ROW())&amp;""))</f>
        <v/>
      </c>
      <c r="L273" s="32">
        <f>IF(B273="","",TRIM(INDEX('Form Responses'!$J:$J,ROW())&amp;""))</f>
        <v/>
      </c>
      <c r="M273" s="32">
        <f>IF(B273="","",TRIM(INDEX('Form Responses'!$K:$K,ROW())&amp;""))</f>
        <v/>
      </c>
      <c r="N273" s="32">
        <f>IF(B273="","",IF(E273&lt;&gt;"","P"&amp;E273,"N"&amp;B273))</f>
        <v/>
      </c>
      <c r="O273" s="32">
        <f>IF(N273="",0,IF(COUNTIF(N274:N$602,N273)=0,1,0))</f>
        <v/>
      </c>
      <c r="P273" s="32">
        <f>IF(AND(O273=1,E273&lt;&gt;""),E273,"")</f>
        <v/>
      </c>
      <c r="Q273" s="32">
        <f>IF(O273=1,B273,"")</f>
        <v/>
      </c>
      <c r="R273" s="32">
        <f>IF(O273&lt;&gt;1,"",IF(E273&lt;&gt;"",IFERROR(MATCH(E273,Guests!$S$6:$S$505,0)+5,IFERROR(MATCH(B273,Guests!$A$6:$A$505,0)+5,"")),IFERROR(MATCH(B273,Guests!$A$6:$A$505,0)+5,"")))</f>
        <v/>
      </c>
      <c r="S273" s="32">
        <f>IF(R273="","",TRIM(INDEX(Guests!$E$1:$E$505,R273)&amp;""))</f>
        <v/>
      </c>
      <c r="T273" s="32">
        <f>IF(R273="","",IF(S273="",1,COUNTIF(Guests!$E$6:$E$505,S273)))</f>
        <v/>
      </c>
      <c r="U273" s="32">
        <f>IF(R273="","",IF(S273="",1,IF(COUNTIF(S$1:S272,S273)=0,1,0)))</f>
        <v/>
      </c>
      <c r="V273" s="32">
        <f>IF(AND(R273&lt;&gt;"",G273="Attending",U273=1),MAX(0,H273+I273-T273),0)</f>
        <v/>
      </c>
      <c r="W273" s="32">
        <f>IF(AND(O273=1,R273=""),1,0)</f>
        <v/>
      </c>
      <c r="X273" s="32">
        <f>IF(B273="",0,H273+I273)</f>
        <v/>
      </c>
      <c r="Y273" s="32">
        <f>N(Y272)+O273</f>
        <v/>
      </c>
      <c r="Z273" s="32">
        <f>IF(O273=1,Y273,"")</f>
        <v/>
      </c>
      <c r="AA273" s="32">
        <f>IF(AND(W273=1,G273="Not sure yet"),1,0)</f>
        <v/>
      </c>
      <c r="AB273" s="32">
        <f>N(AB272)+AA273</f>
        <v/>
      </c>
      <c r="AC273" s="32">
        <f>IF(AA273=1,AB273,"")</f>
        <v/>
      </c>
      <c r="AD273" s="32">
        <f>IF(D273="","",IF(LEN(D273)=10,"+1"&amp;D273,IF(AND(LEN(D273)=11,LEFT(D273,1)="1"),"+"&amp;D273,IF(LEFT(C273,1)="+","+"&amp;D273,D273))))</f>
        <v/>
      </c>
      <c r="AE273" s="32">
        <f>IF(B273="","",PROPER(IFERROR(LEFT(B273,FIND(" ",B273)-1),B273)))</f>
        <v/>
      </c>
      <c r="AF273" s="32">
        <f>SUBSTITUTE(SUBSTITUTE(SUBSTITUTE(SUBSTITUTE(SUBSTITUTE(SUBSTITUTE(SUBSTITUTE(SUBSTITUTE(SUBSTITUTE(SUBSTITUTE(AE273,"%","%25"),"&amp;","%26"),"#","%23"),"+","%2B"),"=","%3D"),"?","%3F"),CHAR(34),"%22"),CHAR(10),"%0A"),CHAR(13),"")," ","+")</f>
        <v/>
      </c>
      <c r="AG273" s="32">
        <f>IF(OR(AD273="",AE273=""),"",'Start Here'!$B$20&amp;"#p="&amp;SUBSTITUTE(AD273,"+","%2B")&amp;"&amp;n="&amp;AF273&amp;"&amp;m="&amp;SUBSTITUTE('Start Here'!$B$24,"{name}",AF273))</f>
        <v/>
      </c>
      <c r="AH273" s="32">
        <f>N(AH272)+W273</f>
        <v/>
      </c>
      <c r="AI273" s="32">
        <f>IF(W273=1,AH273,"")</f>
        <v/>
      </c>
    </row>
    <row r="274">
      <c r="A274" s="32">
        <f>IF(INDEX('Form Responses'!$A:$A,ROW())="","",INDEX('Form Responses'!$A:$A,ROW()))</f>
        <v/>
      </c>
      <c r="B274" s="32">
        <f>TRIM(INDEX('Form Responses'!$B:$B,ROW())&amp;"")</f>
        <v/>
      </c>
      <c r="C274" s="32">
        <f>IF(B274="","",TRIM(INDEX('Form Responses'!$C:$C,ROW())&amp;""))</f>
        <v/>
      </c>
      <c r="D274" s="32">
        <f>SUBSTITUTE(SUBSTITUTE(SUBSTITUTE(SUBSTITUTE(SUBSTITUTE(SUBSTITUTE(SUBSTITUTE(SUBSTITUTE(C274," ",""),"-",""),"(",""),")",""),".",""),"+",""),"/",""),CHAR(160),"")</f>
        <v/>
      </c>
      <c r="E274" s="32">
        <f>IF(LEN(D274)&gt;=10,RIGHT(D274,10),D274)</f>
        <v/>
      </c>
      <c r="F274" s="32">
        <f>IF(B274="","",TRIM(INDEX('Form Responses'!$D:$D,ROW())&amp;""))</f>
        <v/>
      </c>
      <c r="G274" s="32">
        <f>IF(B274="","",IF(LEFT(TRIM(INDEX('Form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4" s="32">
        <f>IF(B274="","",MAX(0,IFERROR(INT(--(INDEX('Form Responses'!$F:$F,ROW())&amp;"")),1)))</f>
        <v/>
      </c>
      <c r="I274" s="32">
        <f>IF(B274="","",MAX(0,IFERROR(INT(--(INDEX('Form Responses'!$G:$G,ROW())&amp;"")),0)))</f>
        <v/>
      </c>
      <c r="J274" s="32">
        <f>IF(B274="","",TRIM(INDEX('Form Responses'!$H:$H,ROW())&amp;""))</f>
        <v/>
      </c>
      <c r="K274" s="32">
        <f>IF(B274="","",TRIM(INDEX('Form Responses'!$I:$I,ROW())&amp;""))</f>
        <v/>
      </c>
      <c r="L274" s="32">
        <f>IF(B274="","",TRIM(INDEX('Form Responses'!$J:$J,ROW())&amp;""))</f>
        <v/>
      </c>
      <c r="M274" s="32">
        <f>IF(B274="","",TRIM(INDEX('Form Responses'!$K:$K,ROW())&amp;""))</f>
        <v/>
      </c>
      <c r="N274" s="32">
        <f>IF(B274="","",IF(E274&lt;&gt;"","P"&amp;E274,"N"&amp;B274))</f>
        <v/>
      </c>
      <c r="O274" s="32">
        <f>IF(N274="",0,IF(COUNTIF(N275:N$602,N274)=0,1,0))</f>
        <v/>
      </c>
      <c r="P274" s="32">
        <f>IF(AND(O274=1,E274&lt;&gt;""),E274,"")</f>
        <v/>
      </c>
      <c r="Q274" s="32">
        <f>IF(O274=1,B274,"")</f>
        <v/>
      </c>
      <c r="R274" s="32">
        <f>IF(O274&lt;&gt;1,"",IF(E274&lt;&gt;"",IFERROR(MATCH(E274,Guests!$S$6:$S$505,0)+5,IFERROR(MATCH(B274,Guests!$A$6:$A$505,0)+5,"")),IFERROR(MATCH(B274,Guests!$A$6:$A$505,0)+5,"")))</f>
        <v/>
      </c>
      <c r="S274" s="32">
        <f>IF(R274="","",TRIM(INDEX(Guests!$E$1:$E$505,R274)&amp;""))</f>
        <v/>
      </c>
      <c r="T274" s="32">
        <f>IF(R274="","",IF(S274="",1,COUNTIF(Guests!$E$6:$E$505,S274)))</f>
        <v/>
      </c>
      <c r="U274" s="32">
        <f>IF(R274="","",IF(S274="",1,IF(COUNTIF(S$1:S273,S274)=0,1,0)))</f>
        <v/>
      </c>
      <c r="V274" s="32">
        <f>IF(AND(R274&lt;&gt;"",G274="Attending",U274=1),MAX(0,H274+I274-T274),0)</f>
        <v/>
      </c>
      <c r="W274" s="32">
        <f>IF(AND(O274=1,R274=""),1,0)</f>
        <v/>
      </c>
      <c r="X274" s="32">
        <f>IF(B274="",0,H274+I274)</f>
        <v/>
      </c>
      <c r="Y274" s="32">
        <f>N(Y273)+O274</f>
        <v/>
      </c>
      <c r="Z274" s="32">
        <f>IF(O274=1,Y274,"")</f>
        <v/>
      </c>
      <c r="AA274" s="32">
        <f>IF(AND(W274=1,G274="Not sure yet"),1,0)</f>
        <v/>
      </c>
      <c r="AB274" s="32">
        <f>N(AB273)+AA274</f>
        <v/>
      </c>
      <c r="AC274" s="32">
        <f>IF(AA274=1,AB274,"")</f>
        <v/>
      </c>
      <c r="AD274" s="32">
        <f>IF(D274="","",IF(LEN(D274)=10,"+1"&amp;D274,IF(AND(LEN(D274)=11,LEFT(D274,1)="1"),"+"&amp;D274,IF(LEFT(C274,1)="+","+"&amp;D274,D274))))</f>
        <v/>
      </c>
      <c r="AE274" s="32">
        <f>IF(B274="","",PROPER(IFERROR(LEFT(B274,FIND(" ",B274)-1),B274)))</f>
        <v/>
      </c>
      <c r="AF274" s="32">
        <f>SUBSTITUTE(SUBSTITUTE(SUBSTITUTE(SUBSTITUTE(SUBSTITUTE(SUBSTITUTE(SUBSTITUTE(SUBSTITUTE(SUBSTITUTE(SUBSTITUTE(AE274,"%","%25"),"&amp;","%26"),"#","%23"),"+","%2B"),"=","%3D"),"?","%3F"),CHAR(34),"%22"),CHAR(10),"%0A"),CHAR(13),"")," ","+")</f>
        <v/>
      </c>
      <c r="AG274" s="32">
        <f>IF(OR(AD274="",AE274=""),"",'Start Here'!$B$20&amp;"#p="&amp;SUBSTITUTE(AD274,"+","%2B")&amp;"&amp;n="&amp;AF274&amp;"&amp;m="&amp;SUBSTITUTE('Start Here'!$B$24,"{name}",AF274))</f>
        <v/>
      </c>
      <c r="AH274" s="32">
        <f>N(AH273)+W274</f>
        <v/>
      </c>
      <c r="AI274" s="32">
        <f>IF(W274=1,AH274,"")</f>
        <v/>
      </c>
    </row>
    <row r="275">
      <c r="A275" s="32">
        <f>IF(INDEX('Form Responses'!$A:$A,ROW())="","",INDEX('Form Responses'!$A:$A,ROW()))</f>
        <v/>
      </c>
      <c r="B275" s="32">
        <f>TRIM(INDEX('Form Responses'!$B:$B,ROW())&amp;"")</f>
        <v/>
      </c>
      <c r="C275" s="32">
        <f>IF(B275="","",TRIM(INDEX('Form Responses'!$C:$C,ROW())&amp;""))</f>
        <v/>
      </c>
      <c r="D275" s="32">
        <f>SUBSTITUTE(SUBSTITUTE(SUBSTITUTE(SUBSTITUTE(SUBSTITUTE(SUBSTITUTE(SUBSTITUTE(SUBSTITUTE(C275," ",""),"-",""),"(",""),")",""),".",""),"+",""),"/",""),CHAR(160),"")</f>
        <v/>
      </c>
      <c r="E275" s="32">
        <f>IF(LEN(D275)&gt;=10,RIGHT(D275,10),D275)</f>
        <v/>
      </c>
      <c r="F275" s="32">
        <f>IF(B275="","",TRIM(INDEX('Form Responses'!$D:$D,ROW())&amp;""))</f>
        <v/>
      </c>
      <c r="G275" s="32">
        <f>IF(B275="","",IF(LEFT(TRIM(INDEX('Form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5" s="32">
        <f>IF(B275="","",MAX(0,IFERROR(INT(--(INDEX('Form Responses'!$F:$F,ROW())&amp;"")),1)))</f>
        <v/>
      </c>
      <c r="I275" s="32">
        <f>IF(B275="","",MAX(0,IFERROR(INT(--(INDEX('Form Responses'!$G:$G,ROW())&amp;"")),0)))</f>
        <v/>
      </c>
      <c r="J275" s="32">
        <f>IF(B275="","",TRIM(INDEX('Form Responses'!$H:$H,ROW())&amp;""))</f>
        <v/>
      </c>
      <c r="K275" s="32">
        <f>IF(B275="","",TRIM(INDEX('Form Responses'!$I:$I,ROW())&amp;""))</f>
        <v/>
      </c>
      <c r="L275" s="32">
        <f>IF(B275="","",TRIM(INDEX('Form Responses'!$J:$J,ROW())&amp;""))</f>
        <v/>
      </c>
      <c r="M275" s="32">
        <f>IF(B275="","",TRIM(INDEX('Form Responses'!$K:$K,ROW())&amp;""))</f>
        <v/>
      </c>
      <c r="N275" s="32">
        <f>IF(B275="","",IF(E275&lt;&gt;"","P"&amp;E275,"N"&amp;B275))</f>
        <v/>
      </c>
      <c r="O275" s="32">
        <f>IF(N275="",0,IF(COUNTIF(N276:N$602,N275)=0,1,0))</f>
        <v/>
      </c>
      <c r="P275" s="32">
        <f>IF(AND(O275=1,E275&lt;&gt;""),E275,"")</f>
        <v/>
      </c>
      <c r="Q275" s="32">
        <f>IF(O275=1,B275,"")</f>
        <v/>
      </c>
      <c r="R275" s="32">
        <f>IF(O275&lt;&gt;1,"",IF(E275&lt;&gt;"",IFERROR(MATCH(E275,Guests!$S$6:$S$505,0)+5,IFERROR(MATCH(B275,Guests!$A$6:$A$505,0)+5,"")),IFERROR(MATCH(B275,Guests!$A$6:$A$505,0)+5,"")))</f>
        <v/>
      </c>
      <c r="S275" s="32">
        <f>IF(R275="","",TRIM(INDEX(Guests!$E$1:$E$505,R275)&amp;""))</f>
        <v/>
      </c>
      <c r="T275" s="32">
        <f>IF(R275="","",IF(S275="",1,COUNTIF(Guests!$E$6:$E$505,S275)))</f>
        <v/>
      </c>
      <c r="U275" s="32">
        <f>IF(R275="","",IF(S275="",1,IF(COUNTIF(S$1:S274,S275)=0,1,0)))</f>
        <v/>
      </c>
      <c r="V275" s="32">
        <f>IF(AND(R275&lt;&gt;"",G275="Attending",U275=1),MAX(0,H275+I275-T275),0)</f>
        <v/>
      </c>
      <c r="W275" s="32">
        <f>IF(AND(O275=1,R275=""),1,0)</f>
        <v/>
      </c>
      <c r="X275" s="32">
        <f>IF(B275="",0,H275+I275)</f>
        <v/>
      </c>
      <c r="Y275" s="32">
        <f>N(Y274)+O275</f>
        <v/>
      </c>
      <c r="Z275" s="32">
        <f>IF(O275=1,Y275,"")</f>
        <v/>
      </c>
      <c r="AA275" s="32">
        <f>IF(AND(W275=1,G275="Not sure yet"),1,0)</f>
        <v/>
      </c>
      <c r="AB275" s="32">
        <f>N(AB274)+AA275</f>
        <v/>
      </c>
      <c r="AC275" s="32">
        <f>IF(AA275=1,AB275,"")</f>
        <v/>
      </c>
      <c r="AD275" s="32">
        <f>IF(D275="","",IF(LEN(D275)=10,"+1"&amp;D275,IF(AND(LEN(D275)=11,LEFT(D275,1)="1"),"+"&amp;D275,IF(LEFT(C275,1)="+","+"&amp;D275,D275))))</f>
        <v/>
      </c>
      <c r="AE275" s="32">
        <f>IF(B275="","",PROPER(IFERROR(LEFT(B275,FIND(" ",B275)-1),B275)))</f>
        <v/>
      </c>
      <c r="AF275" s="32">
        <f>SUBSTITUTE(SUBSTITUTE(SUBSTITUTE(SUBSTITUTE(SUBSTITUTE(SUBSTITUTE(SUBSTITUTE(SUBSTITUTE(SUBSTITUTE(SUBSTITUTE(AE275,"%","%25"),"&amp;","%26"),"#","%23"),"+","%2B"),"=","%3D"),"?","%3F"),CHAR(34),"%22"),CHAR(10),"%0A"),CHAR(13),"")," ","+")</f>
        <v/>
      </c>
      <c r="AG275" s="32">
        <f>IF(OR(AD275="",AE275=""),"",'Start Here'!$B$20&amp;"#p="&amp;SUBSTITUTE(AD275,"+","%2B")&amp;"&amp;n="&amp;AF275&amp;"&amp;m="&amp;SUBSTITUTE('Start Here'!$B$24,"{name}",AF275))</f>
        <v/>
      </c>
      <c r="AH275" s="32">
        <f>N(AH274)+W275</f>
        <v/>
      </c>
      <c r="AI275" s="32">
        <f>IF(W275=1,AH275,"")</f>
        <v/>
      </c>
    </row>
    <row r="276">
      <c r="A276" s="32">
        <f>IF(INDEX('Form Responses'!$A:$A,ROW())="","",INDEX('Form Responses'!$A:$A,ROW()))</f>
        <v/>
      </c>
      <c r="B276" s="32">
        <f>TRIM(INDEX('Form Responses'!$B:$B,ROW())&amp;"")</f>
        <v/>
      </c>
      <c r="C276" s="32">
        <f>IF(B276="","",TRIM(INDEX('Form Responses'!$C:$C,ROW())&amp;""))</f>
        <v/>
      </c>
      <c r="D276" s="32">
        <f>SUBSTITUTE(SUBSTITUTE(SUBSTITUTE(SUBSTITUTE(SUBSTITUTE(SUBSTITUTE(SUBSTITUTE(SUBSTITUTE(C276," ",""),"-",""),"(",""),")",""),".",""),"+",""),"/",""),CHAR(160),"")</f>
        <v/>
      </c>
      <c r="E276" s="32">
        <f>IF(LEN(D276)&gt;=10,RIGHT(D276,10),D276)</f>
        <v/>
      </c>
      <c r="F276" s="32">
        <f>IF(B276="","",TRIM(INDEX('Form Responses'!$D:$D,ROW())&amp;""))</f>
        <v/>
      </c>
      <c r="G276" s="32">
        <f>IF(B276="","",IF(LEFT(TRIM(INDEX('Form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6" s="32">
        <f>IF(B276="","",MAX(0,IFERROR(INT(--(INDEX('Form Responses'!$F:$F,ROW())&amp;"")),1)))</f>
        <v/>
      </c>
      <c r="I276" s="32">
        <f>IF(B276="","",MAX(0,IFERROR(INT(--(INDEX('Form Responses'!$G:$G,ROW())&amp;"")),0)))</f>
        <v/>
      </c>
      <c r="J276" s="32">
        <f>IF(B276="","",TRIM(INDEX('Form Responses'!$H:$H,ROW())&amp;""))</f>
        <v/>
      </c>
      <c r="K276" s="32">
        <f>IF(B276="","",TRIM(INDEX('Form Responses'!$I:$I,ROW())&amp;""))</f>
        <v/>
      </c>
      <c r="L276" s="32">
        <f>IF(B276="","",TRIM(INDEX('Form Responses'!$J:$J,ROW())&amp;""))</f>
        <v/>
      </c>
      <c r="M276" s="32">
        <f>IF(B276="","",TRIM(INDEX('Form Responses'!$K:$K,ROW())&amp;""))</f>
        <v/>
      </c>
      <c r="N276" s="32">
        <f>IF(B276="","",IF(E276&lt;&gt;"","P"&amp;E276,"N"&amp;B276))</f>
        <v/>
      </c>
      <c r="O276" s="32">
        <f>IF(N276="",0,IF(COUNTIF(N277:N$602,N276)=0,1,0))</f>
        <v/>
      </c>
      <c r="P276" s="32">
        <f>IF(AND(O276=1,E276&lt;&gt;""),E276,"")</f>
        <v/>
      </c>
      <c r="Q276" s="32">
        <f>IF(O276=1,B276,"")</f>
        <v/>
      </c>
      <c r="R276" s="32">
        <f>IF(O276&lt;&gt;1,"",IF(E276&lt;&gt;"",IFERROR(MATCH(E276,Guests!$S$6:$S$505,0)+5,IFERROR(MATCH(B276,Guests!$A$6:$A$505,0)+5,"")),IFERROR(MATCH(B276,Guests!$A$6:$A$505,0)+5,"")))</f>
        <v/>
      </c>
      <c r="S276" s="32">
        <f>IF(R276="","",TRIM(INDEX(Guests!$E$1:$E$505,R276)&amp;""))</f>
        <v/>
      </c>
      <c r="T276" s="32">
        <f>IF(R276="","",IF(S276="",1,COUNTIF(Guests!$E$6:$E$505,S276)))</f>
        <v/>
      </c>
      <c r="U276" s="32">
        <f>IF(R276="","",IF(S276="",1,IF(COUNTIF(S$1:S275,S276)=0,1,0)))</f>
        <v/>
      </c>
      <c r="V276" s="32">
        <f>IF(AND(R276&lt;&gt;"",G276="Attending",U276=1),MAX(0,H276+I276-T276),0)</f>
        <v/>
      </c>
      <c r="W276" s="32">
        <f>IF(AND(O276=1,R276=""),1,0)</f>
        <v/>
      </c>
      <c r="X276" s="32">
        <f>IF(B276="",0,H276+I276)</f>
        <v/>
      </c>
      <c r="Y276" s="32">
        <f>N(Y275)+O276</f>
        <v/>
      </c>
      <c r="Z276" s="32">
        <f>IF(O276=1,Y276,"")</f>
        <v/>
      </c>
      <c r="AA276" s="32">
        <f>IF(AND(W276=1,G276="Not sure yet"),1,0)</f>
        <v/>
      </c>
      <c r="AB276" s="32">
        <f>N(AB275)+AA276</f>
        <v/>
      </c>
      <c r="AC276" s="32">
        <f>IF(AA276=1,AB276,"")</f>
        <v/>
      </c>
      <c r="AD276" s="32">
        <f>IF(D276="","",IF(LEN(D276)=10,"+1"&amp;D276,IF(AND(LEN(D276)=11,LEFT(D276,1)="1"),"+"&amp;D276,IF(LEFT(C276,1)="+","+"&amp;D276,D276))))</f>
        <v/>
      </c>
      <c r="AE276" s="32">
        <f>IF(B276="","",PROPER(IFERROR(LEFT(B276,FIND(" ",B276)-1),B276)))</f>
        <v/>
      </c>
      <c r="AF276" s="32">
        <f>SUBSTITUTE(SUBSTITUTE(SUBSTITUTE(SUBSTITUTE(SUBSTITUTE(SUBSTITUTE(SUBSTITUTE(SUBSTITUTE(SUBSTITUTE(SUBSTITUTE(AE276,"%","%25"),"&amp;","%26"),"#","%23"),"+","%2B"),"=","%3D"),"?","%3F"),CHAR(34),"%22"),CHAR(10),"%0A"),CHAR(13),"")," ","+")</f>
        <v/>
      </c>
      <c r="AG276" s="32">
        <f>IF(OR(AD276="",AE276=""),"",'Start Here'!$B$20&amp;"#p="&amp;SUBSTITUTE(AD276,"+","%2B")&amp;"&amp;n="&amp;AF276&amp;"&amp;m="&amp;SUBSTITUTE('Start Here'!$B$24,"{name}",AF276))</f>
        <v/>
      </c>
      <c r="AH276" s="32">
        <f>N(AH275)+W276</f>
        <v/>
      </c>
      <c r="AI276" s="32">
        <f>IF(W276=1,AH276,"")</f>
        <v/>
      </c>
    </row>
    <row r="277">
      <c r="A277" s="32">
        <f>IF(INDEX('Form Responses'!$A:$A,ROW())="","",INDEX('Form Responses'!$A:$A,ROW()))</f>
        <v/>
      </c>
      <c r="B277" s="32">
        <f>TRIM(INDEX('Form Responses'!$B:$B,ROW())&amp;"")</f>
        <v/>
      </c>
      <c r="C277" s="32">
        <f>IF(B277="","",TRIM(INDEX('Form Responses'!$C:$C,ROW())&amp;""))</f>
        <v/>
      </c>
      <c r="D277" s="32">
        <f>SUBSTITUTE(SUBSTITUTE(SUBSTITUTE(SUBSTITUTE(SUBSTITUTE(SUBSTITUTE(SUBSTITUTE(SUBSTITUTE(C277," ",""),"-",""),"(",""),")",""),".",""),"+",""),"/",""),CHAR(160),"")</f>
        <v/>
      </c>
      <c r="E277" s="32">
        <f>IF(LEN(D277)&gt;=10,RIGHT(D277,10),D277)</f>
        <v/>
      </c>
      <c r="F277" s="32">
        <f>IF(B277="","",TRIM(INDEX('Form Responses'!$D:$D,ROW())&amp;""))</f>
        <v/>
      </c>
      <c r="G277" s="32">
        <f>IF(B277="","",IF(LEFT(TRIM(INDEX('Form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7" s="32">
        <f>IF(B277="","",MAX(0,IFERROR(INT(--(INDEX('Form Responses'!$F:$F,ROW())&amp;"")),1)))</f>
        <v/>
      </c>
      <c r="I277" s="32">
        <f>IF(B277="","",MAX(0,IFERROR(INT(--(INDEX('Form Responses'!$G:$G,ROW())&amp;"")),0)))</f>
        <v/>
      </c>
      <c r="J277" s="32">
        <f>IF(B277="","",TRIM(INDEX('Form Responses'!$H:$H,ROW())&amp;""))</f>
        <v/>
      </c>
      <c r="K277" s="32">
        <f>IF(B277="","",TRIM(INDEX('Form Responses'!$I:$I,ROW())&amp;""))</f>
        <v/>
      </c>
      <c r="L277" s="32">
        <f>IF(B277="","",TRIM(INDEX('Form Responses'!$J:$J,ROW())&amp;""))</f>
        <v/>
      </c>
      <c r="M277" s="32">
        <f>IF(B277="","",TRIM(INDEX('Form Responses'!$K:$K,ROW())&amp;""))</f>
        <v/>
      </c>
      <c r="N277" s="32">
        <f>IF(B277="","",IF(E277&lt;&gt;"","P"&amp;E277,"N"&amp;B277))</f>
        <v/>
      </c>
      <c r="O277" s="32">
        <f>IF(N277="",0,IF(COUNTIF(N278:N$602,N277)=0,1,0))</f>
        <v/>
      </c>
      <c r="P277" s="32">
        <f>IF(AND(O277=1,E277&lt;&gt;""),E277,"")</f>
        <v/>
      </c>
      <c r="Q277" s="32">
        <f>IF(O277=1,B277,"")</f>
        <v/>
      </c>
      <c r="R277" s="32">
        <f>IF(O277&lt;&gt;1,"",IF(E277&lt;&gt;"",IFERROR(MATCH(E277,Guests!$S$6:$S$505,0)+5,IFERROR(MATCH(B277,Guests!$A$6:$A$505,0)+5,"")),IFERROR(MATCH(B277,Guests!$A$6:$A$505,0)+5,"")))</f>
        <v/>
      </c>
      <c r="S277" s="32">
        <f>IF(R277="","",TRIM(INDEX(Guests!$E$1:$E$505,R277)&amp;""))</f>
        <v/>
      </c>
      <c r="T277" s="32">
        <f>IF(R277="","",IF(S277="",1,COUNTIF(Guests!$E$6:$E$505,S277)))</f>
        <v/>
      </c>
      <c r="U277" s="32">
        <f>IF(R277="","",IF(S277="",1,IF(COUNTIF(S$1:S276,S277)=0,1,0)))</f>
        <v/>
      </c>
      <c r="V277" s="32">
        <f>IF(AND(R277&lt;&gt;"",G277="Attending",U277=1),MAX(0,H277+I277-T277),0)</f>
        <v/>
      </c>
      <c r="W277" s="32">
        <f>IF(AND(O277=1,R277=""),1,0)</f>
        <v/>
      </c>
      <c r="X277" s="32">
        <f>IF(B277="",0,H277+I277)</f>
        <v/>
      </c>
      <c r="Y277" s="32">
        <f>N(Y276)+O277</f>
        <v/>
      </c>
      <c r="Z277" s="32">
        <f>IF(O277=1,Y277,"")</f>
        <v/>
      </c>
      <c r="AA277" s="32">
        <f>IF(AND(W277=1,G277="Not sure yet"),1,0)</f>
        <v/>
      </c>
      <c r="AB277" s="32">
        <f>N(AB276)+AA277</f>
        <v/>
      </c>
      <c r="AC277" s="32">
        <f>IF(AA277=1,AB277,"")</f>
        <v/>
      </c>
      <c r="AD277" s="32">
        <f>IF(D277="","",IF(LEN(D277)=10,"+1"&amp;D277,IF(AND(LEN(D277)=11,LEFT(D277,1)="1"),"+"&amp;D277,IF(LEFT(C277,1)="+","+"&amp;D277,D277))))</f>
        <v/>
      </c>
      <c r="AE277" s="32">
        <f>IF(B277="","",PROPER(IFERROR(LEFT(B277,FIND(" ",B277)-1),B277)))</f>
        <v/>
      </c>
      <c r="AF277" s="32">
        <f>SUBSTITUTE(SUBSTITUTE(SUBSTITUTE(SUBSTITUTE(SUBSTITUTE(SUBSTITUTE(SUBSTITUTE(SUBSTITUTE(SUBSTITUTE(SUBSTITUTE(AE277,"%","%25"),"&amp;","%26"),"#","%23"),"+","%2B"),"=","%3D"),"?","%3F"),CHAR(34),"%22"),CHAR(10),"%0A"),CHAR(13),"")," ","+")</f>
        <v/>
      </c>
      <c r="AG277" s="32">
        <f>IF(OR(AD277="",AE277=""),"",'Start Here'!$B$20&amp;"#p="&amp;SUBSTITUTE(AD277,"+","%2B")&amp;"&amp;n="&amp;AF277&amp;"&amp;m="&amp;SUBSTITUTE('Start Here'!$B$24,"{name}",AF277))</f>
        <v/>
      </c>
      <c r="AH277" s="32">
        <f>N(AH276)+W277</f>
        <v/>
      </c>
      <c r="AI277" s="32">
        <f>IF(W277=1,AH277,"")</f>
        <v/>
      </c>
    </row>
    <row r="278">
      <c r="A278" s="32">
        <f>IF(INDEX('Form Responses'!$A:$A,ROW())="","",INDEX('Form Responses'!$A:$A,ROW()))</f>
        <v/>
      </c>
      <c r="B278" s="32">
        <f>TRIM(INDEX('Form Responses'!$B:$B,ROW())&amp;"")</f>
        <v/>
      </c>
      <c r="C278" s="32">
        <f>IF(B278="","",TRIM(INDEX('Form Responses'!$C:$C,ROW())&amp;""))</f>
        <v/>
      </c>
      <c r="D278" s="32">
        <f>SUBSTITUTE(SUBSTITUTE(SUBSTITUTE(SUBSTITUTE(SUBSTITUTE(SUBSTITUTE(SUBSTITUTE(SUBSTITUTE(C278," ",""),"-",""),"(",""),")",""),".",""),"+",""),"/",""),CHAR(160),"")</f>
        <v/>
      </c>
      <c r="E278" s="32">
        <f>IF(LEN(D278)&gt;=10,RIGHT(D278,10),D278)</f>
        <v/>
      </c>
      <c r="F278" s="32">
        <f>IF(B278="","",TRIM(INDEX('Form Responses'!$D:$D,ROW())&amp;""))</f>
        <v/>
      </c>
      <c r="G278" s="32">
        <f>IF(B278="","",IF(LEFT(TRIM(INDEX('Form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8" s="32">
        <f>IF(B278="","",MAX(0,IFERROR(INT(--(INDEX('Form Responses'!$F:$F,ROW())&amp;"")),1)))</f>
        <v/>
      </c>
      <c r="I278" s="32">
        <f>IF(B278="","",MAX(0,IFERROR(INT(--(INDEX('Form Responses'!$G:$G,ROW())&amp;"")),0)))</f>
        <v/>
      </c>
      <c r="J278" s="32">
        <f>IF(B278="","",TRIM(INDEX('Form Responses'!$H:$H,ROW())&amp;""))</f>
        <v/>
      </c>
      <c r="K278" s="32">
        <f>IF(B278="","",TRIM(INDEX('Form Responses'!$I:$I,ROW())&amp;""))</f>
        <v/>
      </c>
      <c r="L278" s="32">
        <f>IF(B278="","",TRIM(INDEX('Form Responses'!$J:$J,ROW())&amp;""))</f>
        <v/>
      </c>
      <c r="M278" s="32">
        <f>IF(B278="","",TRIM(INDEX('Form Responses'!$K:$K,ROW())&amp;""))</f>
        <v/>
      </c>
      <c r="N278" s="32">
        <f>IF(B278="","",IF(E278&lt;&gt;"","P"&amp;E278,"N"&amp;B278))</f>
        <v/>
      </c>
      <c r="O278" s="32">
        <f>IF(N278="",0,IF(COUNTIF(N279:N$602,N278)=0,1,0))</f>
        <v/>
      </c>
      <c r="P278" s="32">
        <f>IF(AND(O278=1,E278&lt;&gt;""),E278,"")</f>
        <v/>
      </c>
      <c r="Q278" s="32">
        <f>IF(O278=1,B278,"")</f>
        <v/>
      </c>
      <c r="R278" s="32">
        <f>IF(O278&lt;&gt;1,"",IF(E278&lt;&gt;"",IFERROR(MATCH(E278,Guests!$S$6:$S$505,0)+5,IFERROR(MATCH(B278,Guests!$A$6:$A$505,0)+5,"")),IFERROR(MATCH(B278,Guests!$A$6:$A$505,0)+5,"")))</f>
        <v/>
      </c>
      <c r="S278" s="32">
        <f>IF(R278="","",TRIM(INDEX(Guests!$E$1:$E$505,R278)&amp;""))</f>
        <v/>
      </c>
      <c r="T278" s="32">
        <f>IF(R278="","",IF(S278="",1,COUNTIF(Guests!$E$6:$E$505,S278)))</f>
        <v/>
      </c>
      <c r="U278" s="32">
        <f>IF(R278="","",IF(S278="",1,IF(COUNTIF(S$1:S277,S278)=0,1,0)))</f>
        <v/>
      </c>
      <c r="V278" s="32">
        <f>IF(AND(R278&lt;&gt;"",G278="Attending",U278=1),MAX(0,H278+I278-T278),0)</f>
        <v/>
      </c>
      <c r="W278" s="32">
        <f>IF(AND(O278=1,R278=""),1,0)</f>
        <v/>
      </c>
      <c r="X278" s="32">
        <f>IF(B278="",0,H278+I278)</f>
        <v/>
      </c>
      <c r="Y278" s="32">
        <f>N(Y277)+O278</f>
        <v/>
      </c>
      <c r="Z278" s="32">
        <f>IF(O278=1,Y278,"")</f>
        <v/>
      </c>
      <c r="AA278" s="32">
        <f>IF(AND(W278=1,G278="Not sure yet"),1,0)</f>
        <v/>
      </c>
      <c r="AB278" s="32">
        <f>N(AB277)+AA278</f>
        <v/>
      </c>
      <c r="AC278" s="32">
        <f>IF(AA278=1,AB278,"")</f>
        <v/>
      </c>
      <c r="AD278" s="32">
        <f>IF(D278="","",IF(LEN(D278)=10,"+1"&amp;D278,IF(AND(LEN(D278)=11,LEFT(D278,1)="1"),"+"&amp;D278,IF(LEFT(C278,1)="+","+"&amp;D278,D278))))</f>
        <v/>
      </c>
      <c r="AE278" s="32">
        <f>IF(B278="","",PROPER(IFERROR(LEFT(B278,FIND(" ",B278)-1),B278)))</f>
        <v/>
      </c>
      <c r="AF278" s="32">
        <f>SUBSTITUTE(SUBSTITUTE(SUBSTITUTE(SUBSTITUTE(SUBSTITUTE(SUBSTITUTE(SUBSTITUTE(SUBSTITUTE(SUBSTITUTE(SUBSTITUTE(AE278,"%","%25"),"&amp;","%26"),"#","%23"),"+","%2B"),"=","%3D"),"?","%3F"),CHAR(34),"%22"),CHAR(10),"%0A"),CHAR(13),"")," ","+")</f>
        <v/>
      </c>
      <c r="AG278" s="32">
        <f>IF(OR(AD278="",AE278=""),"",'Start Here'!$B$20&amp;"#p="&amp;SUBSTITUTE(AD278,"+","%2B")&amp;"&amp;n="&amp;AF278&amp;"&amp;m="&amp;SUBSTITUTE('Start Here'!$B$24,"{name}",AF278))</f>
        <v/>
      </c>
      <c r="AH278" s="32">
        <f>N(AH277)+W278</f>
        <v/>
      </c>
      <c r="AI278" s="32">
        <f>IF(W278=1,AH278,"")</f>
        <v/>
      </c>
    </row>
    <row r="279">
      <c r="A279" s="32">
        <f>IF(INDEX('Form Responses'!$A:$A,ROW())="","",INDEX('Form Responses'!$A:$A,ROW()))</f>
        <v/>
      </c>
      <c r="B279" s="32">
        <f>TRIM(INDEX('Form Responses'!$B:$B,ROW())&amp;"")</f>
        <v/>
      </c>
      <c r="C279" s="32">
        <f>IF(B279="","",TRIM(INDEX('Form Responses'!$C:$C,ROW())&amp;""))</f>
        <v/>
      </c>
      <c r="D279" s="32">
        <f>SUBSTITUTE(SUBSTITUTE(SUBSTITUTE(SUBSTITUTE(SUBSTITUTE(SUBSTITUTE(SUBSTITUTE(SUBSTITUTE(C279," ",""),"-",""),"(",""),")",""),".",""),"+",""),"/",""),CHAR(160),"")</f>
        <v/>
      </c>
      <c r="E279" s="32">
        <f>IF(LEN(D279)&gt;=10,RIGHT(D279,10),D279)</f>
        <v/>
      </c>
      <c r="F279" s="32">
        <f>IF(B279="","",TRIM(INDEX('Form Responses'!$D:$D,ROW())&amp;""))</f>
        <v/>
      </c>
      <c r="G279" s="32">
        <f>IF(B279="","",IF(LEFT(TRIM(INDEX('Form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79" s="32">
        <f>IF(B279="","",MAX(0,IFERROR(INT(--(INDEX('Form Responses'!$F:$F,ROW())&amp;"")),1)))</f>
        <v/>
      </c>
      <c r="I279" s="32">
        <f>IF(B279="","",MAX(0,IFERROR(INT(--(INDEX('Form Responses'!$G:$G,ROW())&amp;"")),0)))</f>
        <v/>
      </c>
      <c r="J279" s="32">
        <f>IF(B279="","",TRIM(INDEX('Form Responses'!$H:$H,ROW())&amp;""))</f>
        <v/>
      </c>
      <c r="K279" s="32">
        <f>IF(B279="","",TRIM(INDEX('Form Responses'!$I:$I,ROW())&amp;""))</f>
        <v/>
      </c>
      <c r="L279" s="32">
        <f>IF(B279="","",TRIM(INDEX('Form Responses'!$J:$J,ROW())&amp;""))</f>
        <v/>
      </c>
      <c r="M279" s="32">
        <f>IF(B279="","",TRIM(INDEX('Form Responses'!$K:$K,ROW())&amp;""))</f>
        <v/>
      </c>
      <c r="N279" s="32">
        <f>IF(B279="","",IF(E279&lt;&gt;"","P"&amp;E279,"N"&amp;B279))</f>
        <v/>
      </c>
      <c r="O279" s="32">
        <f>IF(N279="",0,IF(COUNTIF(N280:N$602,N279)=0,1,0))</f>
        <v/>
      </c>
      <c r="P279" s="32">
        <f>IF(AND(O279=1,E279&lt;&gt;""),E279,"")</f>
        <v/>
      </c>
      <c r="Q279" s="32">
        <f>IF(O279=1,B279,"")</f>
        <v/>
      </c>
      <c r="R279" s="32">
        <f>IF(O279&lt;&gt;1,"",IF(E279&lt;&gt;"",IFERROR(MATCH(E279,Guests!$S$6:$S$505,0)+5,IFERROR(MATCH(B279,Guests!$A$6:$A$505,0)+5,"")),IFERROR(MATCH(B279,Guests!$A$6:$A$505,0)+5,"")))</f>
        <v/>
      </c>
      <c r="S279" s="32">
        <f>IF(R279="","",TRIM(INDEX(Guests!$E$1:$E$505,R279)&amp;""))</f>
        <v/>
      </c>
      <c r="T279" s="32">
        <f>IF(R279="","",IF(S279="",1,COUNTIF(Guests!$E$6:$E$505,S279)))</f>
        <v/>
      </c>
      <c r="U279" s="32">
        <f>IF(R279="","",IF(S279="",1,IF(COUNTIF(S$1:S278,S279)=0,1,0)))</f>
        <v/>
      </c>
      <c r="V279" s="32">
        <f>IF(AND(R279&lt;&gt;"",G279="Attending",U279=1),MAX(0,H279+I279-T279),0)</f>
        <v/>
      </c>
      <c r="W279" s="32">
        <f>IF(AND(O279=1,R279=""),1,0)</f>
        <v/>
      </c>
      <c r="X279" s="32">
        <f>IF(B279="",0,H279+I279)</f>
        <v/>
      </c>
      <c r="Y279" s="32">
        <f>N(Y278)+O279</f>
        <v/>
      </c>
      <c r="Z279" s="32">
        <f>IF(O279=1,Y279,"")</f>
        <v/>
      </c>
      <c r="AA279" s="32">
        <f>IF(AND(W279=1,G279="Not sure yet"),1,0)</f>
        <v/>
      </c>
      <c r="AB279" s="32">
        <f>N(AB278)+AA279</f>
        <v/>
      </c>
      <c r="AC279" s="32">
        <f>IF(AA279=1,AB279,"")</f>
        <v/>
      </c>
      <c r="AD279" s="32">
        <f>IF(D279="","",IF(LEN(D279)=10,"+1"&amp;D279,IF(AND(LEN(D279)=11,LEFT(D279,1)="1"),"+"&amp;D279,IF(LEFT(C279,1)="+","+"&amp;D279,D279))))</f>
        <v/>
      </c>
      <c r="AE279" s="32">
        <f>IF(B279="","",PROPER(IFERROR(LEFT(B279,FIND(" ",B279)-1),B279)))</f>
        <v/>
      </c>
      <c r="AF279" s="32">
        <f>SUBSTITUTE(SUBSTITUTE(SUBSTITUTE(SUBSTITUTE(SUBSTITUTE(SUBSTITUTE(SUBSTITUTE(SUBSTITUTE(SUBSTITUTE(SUBSTITUTE(AE279,"%","%25"),"&amp;","%26"),"#","%23"),"+","%2B"),"=","%3D"),"?","%3F"),CHAR(34),"%22"),CHAR(10),"%0A"),CHAR(13),"")," ","+")</f>
        <v/>
      </c>
      <c r="AG279" s="32">
        <f>IF(OR(AD279="",AE279=""),"",'Start Here'!$B$20&amp;"#p="&amp;SUBSTITUTE(AD279,"+","%2B")&amp;"&amp;n="&amp;AF279&amp;"&amp;m="&amp;SUBSTITUTE('Start Here'!$B$24,"{name}",AF279))</f>
        <v/>
      </c>
      <c r="AH279" s="32">
        <f>N(AH278)+W279</f>
        <v/>
      </c>
      <c r="AI279" s="32">
        <f>IF(W279=1,AH279,"")</f>
        <v/>
      </c>
    </row>
    <row r="280">
      <c r="A280" s="32">
        <f>IF(INDEX('Form Responses'!$A:$A,ROW())="","",INDEX('Form Responses'!$A:$A,ROW()))</f>
        <v/>
      </c>
      <c r="B280" s="32">
        <f>TRIM(INDEX('Form Responses'!$B:$B,ROW())&amp;"")</f>
        <v/>
      </c>
      <c r="C280" s="32">
        <f>IF(B280="","",TRIM(INDEX('Form Responses'!$C:$C,ROW())&amp;""))</f>
        <v/>
      </c>
      <c r="D280" s="32">
        <f>SUBSTITUTE(SUBSTITUTE(SUBSTITUTE(SUBSTITUTE(SUBSTITUTE(SUBSTITUTE(SUBSTITUTE(SUBSTITUTE(C280," ",""),"-",""),"(",""),")",""),".",""),"+",""),"/",""),CHAR(160),"")</f>
        <v/>
      </c>
      <c r="E280" s="32">
        <f>IF(LEN(D280)&gt;=10,RIGHT(D280,10),D280)</f>
        <v/>
      </c>
      <c r="F280" s="32">
        <f>IF(B280="","",TRIM(INDEX('Form Responses'!$D:$D,ROW())&amp;""))</f>
        <v/>
      </c>
      <c r="G280" s="32">
        <f>IF(B280="","",IF(LEFT(TRIM(INDEX('Form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0" s="32">
        <f>IF(B280="","",MAX(0,IFERROR(INT(--(INDEX('Form Responses'!$F:$F,ROW())&amp;"")),1)))</f>
        <v/>
      </c>
      <c r="I280" s="32">
        <f>IF(B280="","",MAX(0,IFERROR(INT(--(INDEX('Form Responses'!$G:$G,ROW())&amp;"")),0)))</f>
        <v/>
      </c>
      <c r="J280" s="32">
        <f>IF(B280="","",TRIM(INDEX('Form Responses'!$H:$H,ROW())&amp;""))</f>
        <v/>
      </c>
      <c r="K280" s="32">
        <f>IF(B280="","",TRIM(INDEX('Form Responses'!$I:$I,ROW())&amp;""))</f>
        <v/>
      </c>
      <c r="L280" s="32">
        <f>IF(B280="","",TRIM(INDEX('Form Responses'!$J:$J,ROW())&amp;""))</f>
        <v/>
      </c>
      <c r="M280" s="32">
        <f>IF(B280="","",TRIM(INDEX('Form Responses'!$K:$K,ROW())&amp;""))</f>
        <v/>
      </c>
      <c r="N280" s="32">
        <f>IF(B280="","",IF(E280&lt;&gt;"","P"&amp;E280,"N"&amp;B280))</f>
        <v/>
      </c>
      <c r="O280" s="32">
        <f>IF(N280="",0,IF(COUNTIF(N281:N$602,N280)=0,1,0))</f>
        <v/>
      </c>
      <c r="P280" s="32">
        <f>IF(AND(O280=1,E280&lt;&gt;""),E280,"")</f>
        <v/>
      </c>
      <c r="Q280" s="32">
        <f>IF(O280=1,B280,"")</f>
        <v/>
      </c>
      <c r="R280" s="32">
        <f>IF(O280&lt;&gt;1,"",IF(E280&lt;&gt;"",IFERROR(MATCH(E280,Guests!$S$6:$S$505,0)+5,IFERROR(MATCH(B280,Guests!$A$6:$A$505,0)+5,"")),IFERROR(MATCH(B280,Guests!$A$6:$A$505,0)+5,"")))</f>
        <v/>
      </c>
      <c r="S280" s="32">
        <f>IF(R280="","",TRIM(INDEX(Guests!$E$1:$E$505,R280)&amp;""))</f>
        <v/>
      </c>
      <c r="T280" s="32">
        <f>IF(R280="","",IF(S280="",1,COUNTIF(Guests!$E$6:$E$505,S280)))</f>
        <v/>
      </c>
      <c r="U280" s="32">
        <f>IF(R280="","",IF(S280="",1,IF(COUNTIF(S$1:S279,S280)=0,1,0)))</f>
        <v/>
      </c>
      <c r="V280" s="32">
        <f>IF(AND(R280&lt;&gt;"",G280="Attending",U280=1),MAX(0,H280+I280-T280),0)</f>
        <v/>
      </c>
      <c r="W280" s="32">
        <f>IF(AND(O280=1,R280=""),1,0)</f>
        <v/>
      </c>
      <c r="X280" s="32">
        <f>IF(B280="",0,H280+I280)</f>
        <v/>
      </c>
      <c r="Y280" s="32">
        <f>N(Y279)+O280</f>
        <v/>
      </c>
      <c r="Z280" s="32">
        <f>IF(O280=1,Y280,"")</f>
        <v/>
      </c>
      <c r="AA280" s="32">
        <f>IF(AND(W280=1,G280="Not sure yet"),1,0)</f>
        <v/>
      </c>
      <c r="AB280" s="32">
        <f>N(AB279)+AA280</f>
        <v/>
      </c>
      <c r="AC280" s="32">
        <f>IF(AA280=1,AB280,"")</f>
        <v/>
      </c>
      <c r="AD280" s="32">
        <f>IF(D280="","",IF(LEN(D280)=10,"+1"&amp;D280,IF(AND(LEN(D280)=11,LEFT(D280,1)="1"),"+"&amp;D280,IF(LEFT(C280,1)="+","+"&amp;D280,D280))))</f>
        <v/>
      </c>
      <c r="AE280" s="32">
        <f>IF(B280="","",PROPER(IFERROR(LEFT(B280,FIND(" ",B280)-1),B280)))</f>
        <v/>
      </c>
      <c r="AF280" s="32">
        <f>SUBSTITUTE(SUBSTITUTE(SUBSTITUTE(SUBSTITUTE(SUBSTITUTE(SUBSTITUTE(SUBSTITUTE(SUBSTITUTE(SUBSTITUTE(SUBSTITUTE(AE280,"%","%25"),"&amp;","%26"),"#","%23"),"+","%2B"),"=","%3D"),"?","%3F"),CHAR(34),"%22"),CHAR(10),"%0A"),CHAR(13),"")," ","+")</f>
        <v/>
      </c>
      <c r="AG280" s="32">
        <f>IF(OR(AD280="",AE280=""),"",'Start Here'!$B$20&amp;"#p="&amp;SUBSTITUTE(AD280,"+","%2B")&amp;"&amp;n="&amp;AF280&amp;"&amp;m="&amp;SUBSTITUTE('Start Here'!$B$24,"{name}",AF280))</f>
        <v/>
      </c>
      <c r="AH280" s="32">
        <f>N(AH279)+W280</f>
        <v/>
      </c>
      <c r="AI280" s="32">
        <f>IF(W280=1,AH280,"")</f>
        <v/>
      </c>
    </row>
    <row r="281">
      <c r="A281" s="32">
        <f>IF(INDEX('Form Responses'!$A:$A,ROW())="","",INDEX('Form Responses'!$A:$A,ROW()))</f>
        <v/>
      </c>
      <c r="B281" s="32">
        <f>TRIM(INDEX('Form Responses'!$B:$B,ROW())&amp;"")</f>
        <v/>
      </c>
      <c r="C281" s="32">
        <f>IF(B281="","",TRIM(INDEX('Form Responses'!$C:$C,ROW())&amp;""))</f>
        <v/>
      </c>
      <c r="D281" s="32">
        <f>SUBSTITUTE(SUBSTITUTE(SUBSTITUTE(SUBSTITUTE(SUBSTITUTE(SUBSTITUTE(SUBSTITUTE(SUBSTITUTE(C281," ",""),"-",""),"(",""),")",""),".",""),"+",""),"/",""),CHAR(160),"")</f>
        <v/>
      </c>
      <c r="E281" s="32">
        <f>IF(LEN(D281)&gt;=10,RIGHT(D281,10),D281)</f>
        <v/>
      </c>
      <c r="F281" s="32">
        <f>IF(B281="","",TRIM(INDEX('Form Responses'!$D:$D,ROW())&amp;""))</f>
        <v/>
      </c>
      <c r="G281" s="32">
        <f>IF(B281="","",IF(LEFT(TRIM(INDEX('Form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1" s="32">
        <f>IF(B281="","",MAX(0,IFERROR(INT(--(INDEX('Form Responses'!$F:$F,ROW())&amp;"")),1)))</f>
        <v/>
      </c>
      <c r="I281" s="32">
        <f>IF(B281="","",MAX(0,IFERROR(INT(--(INDEX('Form Responses'!$G:$G,ROW())&amp;"")),0)))</f>
        <v/>
      </c>
      <c r="J281" s="32">
        <f>IF(B281="","",TRIM(INDEX('Form Responses'!$H:$H,ROW())&amp;""))</f>
        <v/>
      </c>
      <c r="K281" s="32">
        <f>IF(B281="","",TRIM(INDEX('Form Responses'!$I:$I,ROW())&amp;""))</f>
        <v/>
      </c>
      <c r="L281" s="32">
        <f>IF(B281="","",TRIM(INDEX('Form Responses'!$J:$J,ROW())&amp;""))</f>
        <v/>
      </c>
      <c r="M281" s="32">
        <f>IF(B281="","",TRIM(INDEX('Form Responses'!$K:$K,ROW())&amp;""))</f>
        <v/>
      </c>
      <c r="N281" s="32">
        <f>IF(B281="","",IF(E281&lt;&gt;"","P"&amp;E281,"N"&amp;B281))</f>
        <v/>
      </c>
      <c r="O281" s="32">
        <f>IF(N281="",0,IF(COUNTIF(N282:N$602,N281)=0,1,0))</f>
        <v/>
      </c>
      <c r="P281" s="32">
        <f>IF(AND(O281=1,E281&lt;&gt;""),E281,"")</f>
        <v/>
      </c>
      <c r="Q281" s="32">
        <f>IF(O281=1,B281,"")</f>
        <v/>
      </c>
      <c r="R281" s="32">
        <f>IF(O281&lt;&gt;1,"",IF(E281&lt;&gt;"",IFERROR(MATCH(E281,Guests!$S$6:$S$505,0)+5,IFERROR(MATCH(B281,Guests!$A$6:$A$505,0)+5,"")),IFERROR(MATCH(B281,Guests!$A$6:$A$505,0)+5,"")))</f>
        <v/>
      </c>
      <c r="S281" s="32">
        <f>IF(R281="","",TRIM(INDEX(Guests!$E$1:$E$505,R281)&amp;""))</f>
        <v/>
      </c>
      <c r="T281" s="32">
        <f>IF(R281="","",IF(S281="",1,COUNTIF(Guests!$E$6:$E$505,S281)))</f>
        <v/>
      </c>
      <c r="U281" s="32">
        <f>IF(R281="","",IF(S281="",1,IF(COUNTIF(S$1:S280,S281)=0,1,0)))</f>
        <v/>
      </c>
      <c r="V281" s="32">
        <f>IF(AND(R281&lt;&gt;"",G281="Attending",U281=1),MAX(0,H281+I281-T281),0)</f>
        <v/>
      </c>
      <c r="W281" s="32">
        <f>IF(AND(O281=1,R281=""),1,0)</f>
        <v/>
      </c>
      <c r="X281" s="32">
        <f>IF(B281="",0,H281+I281)</f>
        <v/>
      </c>
      <c r="Y281" s="32">
        <f>N(Y280)+O281</f>
        <v/>
      </c>
      <c r="Z281" s="32">
        <f>IF(O281=1,Y281,"")</f>
        <v/>
      </c>
      <c r="AA281" s="32">
        <f>IF(AND(W281=1,G281="Not sure yet"),1,0)</f>
        <v/>
      </c>
      <c r="AB281" s="32">
        <f>N(AB280)+AA281</f>
        <v/>
      </c>
      <c r="AC281" s="32">
        <f>IF(AA281=1,AB281,"")</f>
        <v/>
      </c>
      <c r="AD281" s="32">
        <f>IF(D281="","",IF(LEN(D281)=10,"+1"&amp;D281,IF(AND(LEN(D281)=11,LEFT(D281,1)="1"),"+"&amp;D281,IF(LEFT(C281,1)="+","+"&amp;D281,D281))))</f>
        <v/>
      </c>
      <c r="AE281" s="32">
        <f>IF(B281="","",PROPER(IFERROR(LEFT(B281,FIND(" ",B281)-1),B281)))</f>
        <v/>
      </c>
      <c r="AF281" s="32">
        <f>SUBSTITUTE(SUBSTITUTE(SUBSTITUTE(SUBSTITUTE(SUBSTITUTE(SUBSTITUTE(SUBSTITUTE(SUBSTITUTE(SUBSTITUTE(SUBSTITUTE(AE281,"%","%25"),"&amp;","%26"),"#","%23"),"+","%2B"),"=","%3D"),"?","%3F"),CHAR(34),"%22"),CHAR(10),"%0A"),CHAR(13),"")," ","+")</f>
        <v/>
      </c>
      <c r="AG281" s="32">
        <f>IF(OR(AD281="",AE281=""),"",'Start Here'!$B$20&amp;"#p="&amp;SUBSTITUTE(AD281,"+","%2B")&amp;"&amp;n="&amp;AF281&amp;"&amp;m="&amp;SUBSTITUTE('Start Here'!$B$24,"{name}",AF281))</f>
        <v/>
      </c>
      <c r="AH281" s="32">
        <f>N(AH280)+W281</f>
        <v/>
      </c>
      <c r="AI281" s="32">
        <f>IF(W281=1,AH281,"")</f>
        <v/>
      </c>
    </row>
    <row r="282">
      <c r="A282" s="32">
        <f>IF(INDEX('Form Responses'!$A:$A,ROW())="","",INDEX('Form Responses'!$A:$A,ROW()))</f>
        <v/>
      </c>
      <c r="B282" s="32">
        <f>TRIM(INDEX('Form Responses'!$B:$B,ROW())&amp;"")</f>
        <v/>
      </c>
      <c r="C282" s="32">
        <f>IF(B282="","",TRIM(INDEX('Form Responses'!$C:$C,ROW())&amp;""))</f>
        <v/>
      </c>
      <c r="D282" s="32">
        <f>SUBSTITUTE(SUBSTITUTE(SUBSTITUTE(SUBSTITUTE(SUBSTITUTE(SUBSTITUTE(SUBSTITUTE(SUBSTITUTE(C282," ",""),"-",""),"(",""),")",""),".",""),"+",""),"/",""),CHAR(160),"")</f>
        <v/>
      </c>
      <c r="E282" s="32">
        <f>IF(LEN(D282)&gt;=10,RIGHT(D282,10),D282)</f>
        <v/>
      </c>
      <c r="F282" s="32">
        <f>IF(B282="","",TRIM(INDEX('Form Responses'!$D:$D,ROW())&amp;""))</f>
        <v/>
      </c>
      <c r="G282" s="32">
        <f>IF(B282="","",IF(LEFT(TRIM(INDEX('Form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2" s="32">
        <f>IF(B282="","",MAX(0,IFERROR(INT(--(INDEX('Form Responses'!$F:$F,ROW())&amp;"")),1)))</f>
        <v/>
      </c>
      <c r="I282" s="32">
        <f>IF(B282="","",MAX(0,IFERROR(INT(--(INDEX('Form Responses'!$G:$G,ROW())&amp;"")),0)))</f>
        <v/>
      </c>
      <c r="J282" s="32">
        <f>IF(B282="","",TRIM(INDEX('Form Responses'!$H:$H,ROW())&amp;""))</f>
        <v/>
      </c>
      <c r="K282" s="32">
        <f>IF(B282="","",TRIM(INDEX('Form Responses'!$I:$I,ROW())&amp;""))</f>
        <v/>
      </c>
      <c r="L282" s="32">
        <f>IF(B282="","",TRIM(INDEX('Form Responses'!$J:$J,ROW())&amp;""))</f>
        <v/>
      </c>
      <c r="M282" s="32">
        <f>IF(B282="","",TRIM(INDEX('Form Responses'!$K:$K,ROW())&amp;""))</f>
        <v/>
      </c>
      <c r="N282" s="32">
        <f>IF(B282="","",IF(E282&lt;&gt;"","P"&amp;E282,"N"&amp;B282))</f>
        <v/>
      </c>
      <c r="O282" s="32">
        <f>IF(N282="",0,IF(COUNTIF(N283:N$602,N282)=0,1,0))</f>
        <v/>
      </c>
      <c r="P282" s="32">
        <f>IF(AND(O282=1,E282&lt;&gt;""),E282,"")</f>
        <v/>
      </c>
      <c r="Q282" s="32">
        <f>IF(O282=1,B282,"")</f>
        <v/>
      </c>
      <c r="R282" s="32">
        <f>IF(O282&lt;&gt;1,"",IF(E282&lt;&gt;"",IFERROR(MATCH(E282,Guests!$S$6:$S$505,0)+5,IFERROR(MATCH(B282,Guests!$A$6:$A$505,0)+5,"")),IFERROR(MATCH(B282,Guests!$A$6:$A$505,0)+5,"")))</f>
        <v/>
      </c>
      <c r="S282" s="32">
        <f>IF(R282="","",TRIM(INDEX(Guests!$E$1:$E$505,R282)&amp;""))</f>
        <v/>
      </c>
      <c r="T282" s="32">
        <f>IF(R282="","",IF(S282="",1,COUNTIF(Guests!$E$6:$E$505,S282)))</f>
        <v/>
      </c>
      <c r="U282" s="32">
        <f>IF(R282="","",IF(S282="",1,IF(COUNTIF(S$1:S281,S282)=0,1,0)))</f>
        <v/>
      </c>
      <c r="V282" s="32">
        <f>IF(AND(R282&lt;&gt;"",G282="Attending",U282=1),MAX(0,H282+I282-T282),0)</f>
        <v/>
      </c>
      <c r="W282" s="32">
        <f>IF(AND(O282=1,R282=""),1,0)</f>
        <v/>
      </c>
      <c r="X282" s="32">
        <f>IF(B282="",0,H282+I282)</f>
        <v/>
      </c>
      <c r="Y282" s="32">
        <f>N(Y281)+O282</f>
        <v/>
      </c>
      <c r="Z282" s="32">
        <f>IF(O282=1,Y282,"")</f>
        <v/>
      </c>
      <c r="AA282" s="32">
        <f>IF(AND(W282=1,G282="Not sure yet"),1,0)</f>
        <v/>
      </c>
      <c r="AB282" s="32">
        <f>N(AB281)+AA282</f>
        <v/>
      </c>
      <c r="AC282" s="32">
        <f>IF(AA282=1,AB282,"")</f>
        <v/>
      </c>
      <c r="AD282" s="32">
        <f>IF(D282="","",IF(LEN(D282)=10,"+1"&amp;D282,IF(AND(LEN(D282)=11,LEFT(D282,1)="1"),"+"&amp;D282,IF(LEFT(C282,1)="+","+"&amp;D282,D282))))</f>
        <v/>
      </c>
      <c r="AE282" s="32">
        <f>IF(B282="","",PROPER(IFERROR(LEFT(B282,FIND(" ",B282)-1),B282)))</f>
        <v/>
      </c>
      <c r="AF282" s="32">
        <f>SUBSTITUTE(SUBSTITUTE(SUBSTITUTE(SUBSTITUTE(SUBSTITUTE(SUBSTITUTE(SUBSTITUTE(SUBSTITUTE(SUBSTITUTE(SUBSTITUTE(AE282,"%","%25"),"&amp;","%26"),"#","%23"),"+","%2B"),"=","%3D"),"?","%3F"),CHAR(34),"%22"),CHAR(10),"%0A"),CHAR(13),"")," ","+")</f>
        <v/>
      </c>
      <c r="AG282" s="32">
        <f>IF(OR(AD282="",AE282=""),"",'Start Here'!$B$20&amp;"#p="&amp;SUBSTITUTE(AD282,"+","%2B")&amp;"&amp;n="&amp;AF282&amp;"&amp;m="&amp;SUBSTITUTE('Start Here'!$B$24,"{name}",AF282))</f>
        <v/>
      </c>
      <c r="AH282" s="32">
        <f>N(AH281)+W282</f>
        <v/>
      </c>
      <c r="AI282" s="32">
        <f>IF(W282=1,AH282,"")</f>
        <v/>
      </c>
    </row>
    <row r="283">
      <c r="A283" s="32">
        <f>IF(INDEX('Form Responses'!$A:$A,ROW())="","",INDEX('Form Responses'!$A:$A,ROW()))</f>
        <v/>
      </c>
      <c r="B283" s="32">
        <f>TRIM(INDEX('Form Responses'!$B:$B,ROW())&amp;"")</f>
        <v/>
      </c>
      <c r="C283" s="32">
        <f>IF(B283="","",TRIM(INDEX('Form Responses'!$C:$C,ROW())&amp;""))</f>
        <v/>
      </c>
      <c r="D283" s="32">
        <f>SUBSTITUTE(SUBSTITUTE(SUBSTITUTE(SUBSTITUTE(SUBSTITUTE(SUBSTITUTE(SUBSTITUTE(SUBSTITUTE(C283," ",""),"-",""),"(",""),")",""),".",""),"+",""),"/",""),CHAR(160),"")</f>
        <v/>
      </c>
      <c r="E283" s="32">
        <f>IF(LEN(D283)&gt;=10,RIGHT(D283,10),D283)</f>
        <v/>
      </c>
      <c r="F283" s="32">
        <f>IF(B283="","",TRIM(INDEX('Form Responses'!$D:$D,ROW())&amp;""))</f>
        <v/>
      </c>
      <c r="G283" s="32">
        <f>IF(B283="","",IF(LEFT(TRIM(INDEX('Form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3" s="32">
        <f>IF(B283="","",MAX(0,IFERROR(INT(--(INDEX('Form Responses'!$F:$F,ROW())&amp;"")),1)))</f>
        <v/>
      </c>
      <c r="I283" s="32">
        <f>IF(B283="","",MAX(0,IFERROR(INT(--(INDEX('Form Responses'!$G:$G,ROW())&amp;"")),0)))</f>
        <v/>
      </c>
      <c r="J283" s="32">
        <f>IF(B283="","",TRIM(INDEX('Form Responses'!$H:$H,ROW())&amp;""))</f>
        <v/>
      </c>
      <c r="K283" s="32">
        <f>IF(B283="","",TRIM(INDEX('Form Responses'!$I:$I,ROW())&amp;""))</f>
        <v/>
      </c>
      <c r="L283" s="32">
        <f>IF(B283="","",TRIM(INDEX('Form Responses'!$J:$J,ROW())&amp;""))</f>
        <v/>
      </c>
      <c r="M283" s="32">
        <f>IF(B283="","",TRIM(INDEX('Form Responses'!$K:$K,ROW())&amp;""))</f>
        <v/>
      </c>
      <c r="N283" s="32">
        <f>IF(B283="","",IF(E283&lt;&gt;"","P"&amp;E283,"N"&amp;B283))</f>
        <v/>
      </c>
      <c r="O283" s="32">
        <f>IF(N283="",0,IF(COUNTIF(N284:N$602,N283)=0,1,0))</f>
        <v/>
      </c>
      <c r="P283" s="32">
        <f>IF(AND(O283=1,E283&lt;&gt;""),E283,"")</f>
        <v/>
      </c>
      <c r="Q283" s="32">
        <f>IF(O283=1,B283,"")</f>
        <v/>
      </c>
      <c r="R283" s="32">
        <f>IF(O283&lt;&gt;1,"",IF(E283&lt;&gt;"",IFERROR(MATCH(E283,Guests!$S$6:$S$505,0)+5,IFERROR(MATCH(B283,Guests!$A$6:$A$505,0)+5,"")),IFERROR(MATCH(B283,Guests!$A$6:$A$505,0)+5,"")))</f>
        <v/>
      </c>
      <c r="S283" s="32">
        <f>IF(R283="","",TRIM(INDEX(Guests!$E$1:$E$505,R283)&amp;""))</f>
        <v/>
      </c>
      <c r="T283" s="32">
        <f>IF(R283="","",IF(S283="",1,COUNTIF(Guests!$E$6:$E$505,S283)))</f>
        <v/>
      </c>
      <c r="U283" s="32">
        <f>IF(R283="","",IF(S283="",1,IF(COUNTIF(S$1:S282,S283)=0,1,0)))</f>
        <v/>
      </c>
      <c r="V283" s="32">
        <f>IF(AND(R283&lt;&gt;"",G283="Attending",U283=1),MAX(0,H283+I283-T283),0)</f>
        <v/>
      </c>
      <c r="W283" s="32">
        <f>IF(AND(O283=1,R283=""),1,0)</f>
        <v/>
      </c>
      <c r="X283" s="32">
        <f>IF(B283="",0,H283+I283)</f>
        <v/>
      </c>
      <c r="Y283" s="32">
        <f>N(Y282)+O283</f>
        <v/>
      </c>
      <c r="Z283" s="32">
        <f>IF(O283=1,Y283,"")</f>
        <v/>
      </c>
      <c r="AA283" s="32">
        <f>IF(AND(W283=1,G283="Not sure yet"),1,0)</f>
        <v/>
      </c>
      <c r="AB283" s="32">
        <f>N(AB282)+AA283</f>
        <v/>
      </c>
      <c r="AC283" s="32">
        <f>IF(AA283=1,AB283,"")</f>
        <v/>
      </c>
      <c r="AD283" s="32">
        <f>IF(D283="","",IF(LEN(D283)=10,"+1"&amp;D283,IF(AND(LEN(D283)=11,LEFT(D283,1)="1"),"+"&amp;D283,IF(LEFT(C283,1)="+","+"&amp;D283,D283))))</f>
        <v/>
      </c>
      <c r="AE283" s="32">
        <f>IF(B283="","",PROPER(IFERROR(LEFT(B283,FIND(" ",B283)-1),B283)))</f>
        <v/>
      </c>
      <c r="AF283" s="32">
        <f>SUBSTITUTE(SUBSTITUTE(SUBSTITUTE(SUBSTITUTE(SUBSTITUTE(SUBSTITUTE(SUBSTITUTE(SUBSTITUTE(SUBSTITUTE(SUBSTITUTE(AE283,"%","%25"),"&amp;","%26"),"#","%23"),"+","%2B"),"=","%3D"),"?","%3F"),CHAR(34),"%22"),CHAR(10),"%0A"),CHAR(13),"")," ","+")</f>
        <v/>
      </c>
      <c r="AG283" s="32">
        <f>IF(OR(AD283="",AE283=""),"",'Start Here'!$B$20&amp;"#p="&amp;SUBSTITUTE(AD283,"+","%2B")&amp;"&amp;n="&amp;AF283&amp;"&amp;m="&amp;SUBSTITUTE('Start Here'!$B$24,"{name}",AF283))</f>
        <v/>
      </c>
      <c r="AH283" s="32">
        <f>N(AH282)+W283</f>
        <v/>
      </c>
      <c r="AI283" s="32">
        <f>IF(W283=1,AH283,"")</f>
        <v/>
      </c>
    </row>
    <row r="284">
      <c r="A284" s="32">
        <f>IF(INDEX('Form Responses'!$A:$A,ROW())="","",INDEX('Form Responses'!$A:$A,ROW()))</f>
        <v/>
      </c>
      <c r="B284" s="32">
        <f>TRIM(INDEX('Form Responses'!$B:$B,ROW())&amp;"")</f>
        <v/>
      </c>
      <c r="C284" s="32">
        <f>IF(B284="","",TRIM(INDEX('Form Responses'!$C:$C,ROW())&amp;""))</f>
        <v/>
      </c>
      <c r="D284" s="32">
        <f>SUBSTITUTE(SUBSTITUTE(SUBSTITUTE(SUBSTITUTE(SUBSTITUTE(SUBSTITUTE(SUBSTITUTE(SUBSTITUTE(C284," ",""),"-",""),"(",""),")",""),".",""),"+",""),"/",""),CHAR(160),"")</f>
        <v/>
      </c>
      <c r="E284" s="32">
        <f>IF(LEN(D284)&gt;=10,RIGHT(D284,10),D284)</f>
        <v/>
      </c>
      <c r="F284" s="32">
        <f>IF(B284="","",TRIM(INDEX('Form Responses'!$D:$D,ROW())&amp;""))</f>
        <v/>
      </c>
      <c r="G284" s="32">
        <f>IF(B284="","",IF(LEFT(TRIM(INDEX('Form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4" s="32">
        <f>IF(B284="","",MAX(0,IFERROR(INT(--(INDEX('Form Responses'!$F:$F,ROW())&amp;"")),1)))</f>
        <v/>
      </c>
      <c r="I284" s="32">
        <f>IF(B284="","",MAX(0,IFERROR(INT(--(INDEX('Form Responses'!$G:$G,ROW())&amp;"")),0)))</f>
        <v/>
      </c>
      <c r="J284" s="32">
        <f>IF(B284="","",TRIM(INDEX('Form Responses'!$H:$H,ROW())&amp;""))</f>
        <v/>
      </c>
      <c r="K284" s="32">
        <f>IF(B284="","",TRIM(INDEX('Form Responses'!$I:$I,ROW())&amp;""))</f>
        <v/>
      </c>
      <c r="L284" s="32">
        <f>IF(B284="","",TRIM(INDEX('Form Responses'!$J:$J,ROW())&amp;""))</f>
        <v/>
      </c>
      <c r="M284" s="32">
        <f>IF(B284="","",TRIM(INDEX('Form Responses'!$K:$K,ROW())&amp;""))</f>
        <v/>
      </c>
      <c r="N284" s="32">
        <f>IF(B284="","",IF(E284&lt;&gt;"","P"&amp;E284,"N"&amp;B284))</f>
        <v/>
      </c>
      <c r="O284" s="32">
        <f>IF(N284="",0,IF(COUNTIF(N285:N$602,N284)=0,1,0))</f>
        <v/>
      </c>
      <c r="P284" s="32">
        <f>IF(AND(O284=1,E284&lt;&gt;""),E284,"")</f>
        <v/>
      </c>
      <c r="Q284" s="32">
        <f>IF(O284=1,B284,"")</f>
        <v/>
      </c>
      <c r="R284" s="32">
        <f>IF(O284&lt;&gt;1,"",IF(E284&lt;&gt;"",IFERROR(MATCH(E284,Guests!$S$6:$S$505,0)+5,IFERROR(MATCH(B284,Guests!$A$6:$A$505,0)+5,"")),IFERROR(MATCH(B284,Guests!$A$6:$A$505,0)+5,"")))</f>
        <v/>
      </c>
      <c r="S284" s="32">
        <f>IF(R284="","",TRIM(INDEX(Guests!$E$1:$E$505,R284)&amp;""))</f>
        <v/>
      </c>
      <c r="T284" s="32">
        <f>IF(R284="","",IF(S284="",1,COUNTIF(Guests!$E$6:$E$505,S284)))</f>
        <v/>
      </c>
      <c r="U284" s="32">
        <f>IF(R284="","",IF(S284="",1,IF(COUNTIF(S$1:S283,S284)=0,1,0)))</f>
        <v/>
      </c>
      <c r="V284" s="32">
        <f>IF(AND(R284&lt;&gt;"",G284="Attending",U284=1),MAX(0,H284+I284-T284),0)</f>
        <v/>
      </c>
      <c r="W284" s="32">
        <f>IF(AND(O284=1,R284=""),1,0)</f>
        <v/>
      </c>
      <c r="X284" s="32">
        <f>IF(B284="",0,H284+I284)</f>
        <v/>
      </c>
      <c r="Y284" s="32">
        <f>N(Y283)+O284</f>
        <v/>
      </c>
      <c r="Z284" s="32">
        <f>IF(O284=1,Y284,"")</f>
        <v/>
      </c>
      <c r="AA284" s="32">
        <f>IF(AND(W284=1,G284="Not sure yet"),1,0)</f>
        <v/>
      </c>
      <c r="AB284" s="32">
        <f>N(AB283)+AA284</f>
        <v/>
      </c>
      <c r="AC284" s="32">
        <f>IF(AA284=1,AB284,"")</f>
        <v/>
      </c>
      <c r="AD284" s="32">
        <f>IF(D284="","",IF(LEN(D284)=10,"+1"&amp;D284,IF(AND(LEN(D284)=11,LEFT(D284,1)="1"),"+"&amp;D284,IF(LEFT(C284,1)="+","+"&amp;D284,D284))))</f>
        <v/>
      </c>
      <c r="AE284" s="32">
        <f>IF(B284="","",PROPER(IFERROR(LEFT(B284,FIND(" ",B284)-1),B284)))</f>
        <v/>
      </c>
      <c r="AF284" s="32">
        <f>SUBSTITUTE(SUBSTITUTE(SUBSTITUTE(SUBSTITUTE(SUBSTITUTE(SUBSTITUTE(SUBSTITUTE(SUBSTITUTE(SUBSTITUTE(SUBSTITUTE(AE284,"%","%25"),"&amp;","%26"),"#","%23"),"+","%2B"),"=","%3D"),"?","%3F"),CHAR(34),"%22"),CHAR(10),"%0A"),CHAR(13),"")," ","+")</f>
        <v/>
      </c>
      <c r="AG284" s="32">
        <f>IF(OR(AD284="",AE284=""),"",'Start Here'!$B$20&amp;"#p="&amp;SUBSTITUTE(AD284,"+","%2B")&amp;"&amp;n="&amp;AF284&amp;"&amp;m="&amp;SUBSTITUTE('Start Here'!$B$24,"{name}",AF284))</f>
        <v/>
      </c>
      <c r="AH284" s="32">
        <f>N(AH283)+W284</f>
        <v/>
      </c>
      <c r="AI284" s="32">
        <f>IF(W284=1,AH284,"")</f>
        <v/>
      </c>
    </row>
    <row r="285">
      <c r="A285" s="32">
        <f>IF(INDEX('Form Responses'!$A:$A,ROW())="","",INDEX('Form Responses'!$A:$A,ROW()))</f>
        <v/>
      </c>
      <c r="B285" s="32">
        <f>TRIM(INDEX('Form Responses'!$B:$B,ROW())&amp;"")</f>
        <v/>
      </c>
      <c r="C285" s="32">
        <f>IF(B285="","",TRIM(INDEX('Form Responses'!$C:$C,ROW())&amp;""))</f>
        <v/>
      </c>
      <c r="D285" s="32">
        <f>SUBSTITUTE(SUBSTITUTE(SUBSTITUTE(SUBSTITUTE(SUBSTITUTE(SUBSTITUTE(SUBSTITUTE(SUBSTITUTE(C285," ",""),"-",""),"(",""),")",""),".",""),"+",""),"/",""),CHAR(160),"")</f>
        <v/>
      </c>
      <c r="E285" s="32">
        <f>IF(LEN(D285)&gt;=10,RIGHT(D285,10),D285)</f>
        <v/>
      </c>
      <c r="F285" s="32">
        <f>IF(B285="","",TRIM(INDEX('Form Responses'!$D:$D,ROW())&amp;""))</f>
        <v/>
      </c>
      <c r="G285" s="32">
        <f>IF(B285="","",IF(LEFT(TRIM(INDEX('Form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5" s="32">
        <f>IF(B285="","",MAX(0,IFERROR(INT(--(INDEX('Form Responses'!$F:$F,ROW())&amp;"")),1)))</f>
        <v/>
      </c>
      <c r="I285" s="32">
        <f>IF(B285="","",MAX(0,IFERROR(INT(--(INDEX('Form Responses'!$G:$G,ROW())&amp;"")),0)))</f>
        <v/>
      </c>
      <c r="J285" s="32">
        <f>IF(B285="","",TRIM(INDEX('Form Responses'!$H:$H,ROW())&amp;""))</f>
        <v/>
      </c>
      <c r="K285" s="32">
        <f>IF(B285="","",TRIM(INDEX('Form Responses'!$I:$I,ROW())&amp;""))</f>
        <v/>
      </c>
      <c r="L285" s="32">
        <f>IF(B285="","",TRIM(INDEX('Form Responses'!$J:$J,ROW())&amp;""))</f>
        <v/>
      </c>
      <c r="M285" s="32">
        <f>IF(B285="","",TRIM(INDEX('Form Responses'!$K:$K,ROW())&amp;""))</f>
        <v/>
      </c>
      <c r="N285" s="32">
        <f>IF(B285="","",IF(E285&lt;&gt;"","P"&amp;E285,"N"&amp;B285))</f>
        <v/>
      </c>
      <c r="O285" s="32">
        <f>IF(N285="",0,IF(COUNTIF(N286:N$602,N285)=0,1,0))</f>
        <v/>
      </c>
      <c r="P285" s="32">
        <f>IF(AND(O285=1,E285&lt;&gt;""),E285,"")</f>
        <v/>
      </c>
      <c r="Q285" s="32">
        <f>IF(O285=1,B285,"")</f>
        <v/>
      </c>
      <c r="R285" s="32">
        <f>IF(O285&lt;&gt;1,"",IF(E285&lt;&gt;"",IFERROR(MATCH(E285,Guests!$S$6:$S$505,0)+5,IFERROR(MATCH(B285,Guests!$A$6:$A$505,0)+5,"")),IFERROR(MATCH(B285,Guests!$A$6:$A$505,0)+5,"")))</f>
        <v/>
      </c>
      <c r="S285" s="32">
        <f>IF(R285="","",TRIM(INDEX(Guests!$E$1:$E$505,R285)&amp;""))</f>
        <v/>
      </c>
      <c r="T285" s="32">
        <f>IF(R285="","",IF(S285="",1,COUNTIF(Guests!$E$6:$E$505,S285)))</f>
        <v/>
      </c>
      <c r="U285" s="32">
        <f>IF(R285="","",IF(S285="",1,IF(COUNTIF(S$1:S284,S285)=0,1,0)))</f>
        <v/>
      </c>
      <c r="V285" s="32">
        <f>IF(AND(R285&lt;&gt;"",G285="Attending",U285=1),MAX(0,H285+I285-T285),0)</f>
        <v/>
      </c>
      <c r="W285" s="32">
        <f>IF(AND(O285=1,R285=""),1,0)</f>
        <v/>
      </c>
      <c r="X285" s="32">
        <f>IF(B285="",0,H285+I285)</f>
        <v/>
      </c>
      <c r="Y285" s="32">
        <f>N(Y284)+O285</f>
        <v/>
      </c>
      <c r="Z285" s="32">
        <f>IF(O285=1,Y285,"")</f>
        <v/>
      </c>
      <c r="AA285" s="32">
        <f>IF(AND(W285=1,G285="Not sure yet"),1,0)</f>
        <v/>
      </c>
      <c r="AB285" s="32">
        <f>N(AB284)+AA285</f>
        <v/>
      </c>
      <c r="AC285" s="32">
        <f>IF(AA285=1,AB285,"")</f>
        <v/>
      </c>
      <c r="AD285" s="32">
        <f>IF(D285="","",IF(LEN(D285)=10,"+1"&amp;D285,IF(AND(LEN(D285)=11,LEFT(D285,1)="1"),"+"&amp;D285,IF(LEFT(C285,1)="+","+"&amp;D285,D285))))</f>
        <v/>
      </c>
      <c r="AE285" s="32">
        <f>IF(B285="","",PROPER(IFERROR(LEFT(B285,FIND(" ",B285)-1),B285)))</f>
        <v/>
      </c>
      <c r="AF285" s="32">
        <f>SUBSTITUTE(SUBSTITUTE(SUBSTITUTE(SUBSTITUTE(SUBSTITUTE(SUBSTITUTE(SUBSTITUTE(SUBSTITUTE(SUBSTITUTE(SUBSTITUTE(AE285,"%","%25"),"&amp;","%26"),"#","%23"),"+","%2B"),"=","%3D"),"?","%3F"),CHAR(34),"%22"),CHAR(10),"%0A"),CHAR(13),"")," ","+")</f>
        <v/>
      </c>
      <c r="AG285" s="32">
        <f>IF(OR(AD285="",AE285=""),"",'Start Here'!$B$20&amp;"#p="&amp;SUBSTITUTE(AD285,"+","%2B")&amp;"&amp;n="&amp;AF285&amp;"&amp;m="&amp;SUBSTITUTE('Start Here'!$B$24,"{name}",AF285))</f>
        <v/>
      </c>
      <c r="AH285" s="32">
        <f>N(AH284)+W285</f>
        <v/>
      </c>
      <c r="AI285" s="32">
        <f>IF(W285=1,AH285,"")</f>
        <v/>
      </c>
    </row>
    <row r="286">
      <c r="A286" s="32">
        <f>IF(INDEX('Form Responses'!$A:$A,ROW())="","",INDEX('Form Responses'!$A:$A,ROW()))</f>
        <v/>
      </c>
      <c r="B286" s="32">
        <f>TRIM(INDEX('Form Responses'!$B:$B,ROW())&amp;"")</f>
        <v/>
      </c>
      <c r="C286" s="32">
        <f>IF(B286="","",TRIM(INDEX('Form Responses'!$C:$C,ROW())&amp;""))</f>
        <v/>
      </c>
      <c r="D286" s="32">
        <f>SUBSTITUTE(SUBSTITUTE(SUBSTITUTE(SUBSTITUTE(SUBSTITUTE(SUBSTITUTE(SUBSTITUTE(SUBSTITUTE(C286," ",""),"-",""),"(",""),")",""),".",""),"+",""),"/",""),CHAR(160),"")</f>
        <v/>
      </c>
      <c r="E286" s="32">
        <f>IF(LEN(D286)&gt;=10,RIGHT(D286,10),D286)</f>
        <v/>
      </c>
      <c r="F286" s="32">
        <f>IF(B286="","",TRIM(INDEX('Form Responses'!$D:$D,ROW())&amp;""))</f>
        <v/>
      </c>
      <c r="G286" s="32">
        <f>IF(B286="","",IF(LEFT(TRIM(INDEX('Form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6" s="32">
        <f>IF(B286="","",MAX(0,IFERROR(INT(--(INDEX('Form Responses'!$F:$F,ROW())&amp;"")),1)))</f>
        <v/>
      </c>
      <c r="I286" s="32">
        <f>IF(B286="","",MAX(0,IFERROR(INT(--(INDEX('Form Responses'!$G:$G,ROW())&amp;"")),0)))</f>
        <v/>
      </c>
      <c r="J286" s="32">
        <f>IF(B286="","",TRIM(INDEX('Form Responses'!$H:$H,ROW())&amp;""))</f>
        <v/>
      </c>
      <c r="K286" s="32">
        <f>IF(B286="","",TRIM(INDEX('Form Responses'!$I:$I,ROW())&amp;""))</f>
        <v/>
      </c>
      <c r="L286" s="32">
        <f>IF(B286="","",TRIM(INDEX('Form Responses'!$J:$J,ROW())&amp;""))</f>
        <v/>
      </c>
      <c r="M286" s="32">
        <f>IF(B286="","",TRIM(INDEX('Form Responses'!$K:$K,ROW())&amp;""))</f>
        <v/>
      </c>
      <c r="N286" s="32">
        <f>IF(B286="","",IF(E286&lt;&gt;"","P"&amp;E286,"N"&amp;B286))</f>
        <v/>
      </c>
      <c r="O286" s="32">
        <f>IF(N286="",0,IF(COUNTIF(N287:N$602,N286)=0,1,0))</f>
        <v/>
      </c>
      <c r="P286" s="32">
        <f>IF(AND(O286=1,E286&lt;&gt;""),E286,"")</f>
        <v/>
      </c>
      <c r="Q286" s="32">
        <f>IF(O286=1,B286,"")</f>
        <v/>
      </c>
      <c r="R286" s="32">
        <f>IF(O286&lt;&gt;1,"",IF(E286&lt;&gt;"",IFERROR(MATCH(E286,Guests!$S$6:$S$505,0)+5,IFERROR(MATCH(B286,Guests!$A$6:$A$505,0)+5,"")),IFERROR(MATCH(B286,Guests!$A$6:$A$505,0)+5,"")))</f>
        <v/>
      </c>
      <c r="S286" s="32">
        <f>IF(R286="","",TRIM(INDEX(Guests!$E$1:$E$505,R286)&amp;""))</f>
        <v/>
      </c>
      <c r="T286" s="32">
        <f>IF(R286="","",IF(S286="",1,COUNTIF(Guests!$E$6:$E$505,S286)))</f>
        <v/>
      </c>
      <c r="U286" s="32">
        <f>IF(R286="","",IF(S286="",1,IF(COUNTIF(S$1:S285,S286)=0,1,0)))</f>
        <v/>
      </c>
      <c r="V286" s="32">
        <f>IF(AND(R286&lt;&gt;"",G286="Attending",U286=1),MAX(0,H286+I286-T286),0)</f>
        <v/>
      </c>
      <c r="W286" s="32">
        <f>IF(AND(O286=1,R286=""),1,0)</f>
        <v/>
      </c>
      <c r="X286" s="32">
        <f>IF(B286="",0,H286+I286)</f>
        <v/>
      </c>
      <c r="Y286" s="32">
        <f>N(Y285)+O286</f>
        <v/>
      </c>
      <c r="Z286" s="32">
        <f>IF(O286=1,Y286,"")</f>
        <v/>
      </c>
      <c r="AA286" s="32">
        <f>IF(AND(W286=1,G286="Not sure yet"),1,0)</f>
        <v/>
      </c>
      <c r="AB286" s="32">
        <f>N(AB285)+AA286</f>
        <v/>
      </c>
      <c r="AC286" s="32">
        <f>IF(AA286=1,AB286,"")</f>
        <v/>
      </c>
      <c r="AD286" s="32">
        <f>IF(D286="","",IF(LEN(D286)=10,"+1"&amp;D286,IF(AND(LEN(D286)=11,LEFT(D286,1)="1"),"+"&amp;D286,IF(LEFT(C286,1)="+","+"&amp;D286,D286))))</f>
        <v/>
      </c>
      <c r="AE286" s="32">
        <f>IF(B286="","",PROPER(IFERROR(LEFT(B286,FIND(" ",B286)-1),B286)))</f>
        <v/>
      </c>
      <c r="AF286" s="32">
        <f>SUBSTITUTE(SUBSTITUTE(SUBSTITUTE(SUBSTITUTE(SUBSTITUTE(SUBSTITUTE(SUBSTITUTE(SUBSTITUTE(SUBSTITUTE(SUBSTITUTE(AE286,"%","%25"),"&amp;","%26"),"#","%23"),"+","%2B"),"=","%3D"),"?","%3F"),CHAR(34),"%22"),CHAR(10),"%0A"),CHAR(13),"")," ","+")</f>
        <v/>
      </c>
      <c r="AG286" s="32">
        <f>IF(OR(AD286="",AE286=""),"",'Start Here'!$B$20&amp;"#p="&amp;SUBSTITUTE(AD286,"+","%2B")&amp;"&amp;n="&amp;AF286&amp;"&amp;m="&amp;SUBSTITUTE('Start Here'!$B$24,"{name}",AF286))</f>
        <v/>
      </c>
      <c r="AH286" s="32">
        <f>N(AH285)+W286</f>
        <v/>
      </c>
      <c r="AI286" s="32">
        <f>IF(W286=1,AH286,"")</f>
        <v/>
      </c>
    </row>
    <row r="287">
      <c r="A287" s="32">
        <f>IF(INDEX('Form Responses'!$A:$A,ROW())="","",INDEX('Form Responses'!$A:$A,ROW()))</f>
        <v/>
      </c>
      <c r="B287" s="32">
        <f>TRIM(INDEX('Form Responses'!$B:$B,ROW())&amp;"")</f>
        <v/>
      </c>
      <c r="C287" s="32">
        <f>IF(B287="","",TRIM(INDEX('Form Responses'!$C:$C,ROW())&amp;""))</f>
        <v/>
      </c>
      <c r="D287" s="32">
        <f>SUBSTITUTE(SUBSTITUTE(SUBSTITUTE(SUBSTITUTE(SUBSTITUTE(SUBSTITUTE(SUBSTITUTE(SUBSTITUTE(C287," ",""),"-",""),"(",""),")",""),".",""),"+",""),"/",""),CHAR(160),"")</f>
        <v/>
      </c>
      <c r="E287" s="32">
        <f>IF(LEN(D287)&gt;=10,RIGHT(D287,10),D287)</f>
        <v/>
      </c>
      <c r="F287" s="32">
        <f>IF(B287="","",TRIM(INDEX('Form Responses'!$D:$D,ROW())&amp;""))</f>
        <v/>
      </c>
      <c r="G287" s="32">
        <f>IF(B287="","",IF(LEFT(TRIM(INDEX('Form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7" s="32">
        <f>IF(B287="","",MAX(0,IFERROR(INT(--(INDEX('Form Responses'!$F:$F,ROW())&amp;"")),1)))</f>
        <v/>
      </c>
      <c r="I287" s="32">
        <f>IF(B287="","",MAX(0,IFERROR(INT(--(INDEX('Form Responses'!$G:$G,ROW())&amp;"")),0)))</f>
        <v/>
      </c>
      <c r="J287" s="32">
        <f>IF(B287="","",TRIM(INDEX('Form Responses'!$H:$H,ROW())&amp;""))</f>
        <v/>
      </c>
      <c r="K287" s="32">
        <f>IF(B287="","",TRIM(INDEX('Form Responses'!$I:$I,ROW())&amp;""))</f>
        <v/>
      </c>
      <c r="L287" s="32">
        <f>IF(B287="","",TRIM(INDEX('Form Responses'!$J:$J,ROW())&amp;""))</f>
        <v/>
      </c>
      <c r="M287" s="32">
        <f>IF(B287="","",TRIM(INDEX('Form Responses'!$K:$K,ROW())&amp;""))</f>
        <v/>
      </c>
      <c r="N287" s="32">
        <f>IF(B287="","",IF(E287&lt;&gt;"","P"&amp;E287,"N"&amp;B287))</f>
        <v/>
      </c>
      <c r="O287" s="32">
        <f>IF(N287="",0,IF(COUNTIF(N288:N$602,N287)=0,1,0))</f>
        <v/>
      </c>
      <c r="P287" s="32">
        <f>IF(AND(O287=1,E287&lt;&gt;""),E287,"")</f>
        <v/>
      </c>
      <c r="Q287" s="32">
        <f>IF(O287=1,B287,"")</f>
        <v/>
      </c>
      <c r="R287" s="32">
        <f>IF(O287&lt;&gt;1,"",IF(E287&lt;&gt;"",IFERROR(MATCH(E287,Guests!$S$6:$S$505,0)+5,IFERROR(MATCH(B287,Guests!$A$6:$A$505,0)+5,"")),IFERROR(MATCH(B287,Guests!$A$6:$A$505,0)+5,"")))</f>
        <v/>
      </c>
      <c r="S287" s="32">
        <f>IF(R287="","",TRIM(INDEX(Guests!$E$1:$E$505,R287)&amp;""))</f>
        <v/>
      </c>
      <c r="T287" s="32">
        <f>IF(R287="","",IF(S287="",1,COUNTIF(Guests!$E$6:$E$505,S287)))</f>
        <v/>
      </c>
      <c r="U287" s="32">
        <f>IF(R287="","",IF(S287="",1,IF(COUNTIF(S$1:S286,S287)=0,1,0)))</f>
        <v/>
      </c>
      <c r="V287" s="32">
        <f>IF(AND(R287&lt;&gt;"",G287="Attending",U287=1),MAX(0,H287+I287-T287),0)</f>
        <v/>
      </c>
      <c r="W287" s="32">
        <f>IF(AND(O287=1,R287=""),1,0)</f>
        <v/>
      </c>
      <c r="X287" s="32">
        <f>IF(B287="",0,H287+I287)</f>
        <v/>
      </c>
      <c r="Y287" s="32">
        <f>N(Y286)+O287</f>
        <v/>
      </c>
      <c r="Z287" s="32">
        <f>IF(O287=1,Y287,"")</f>
        <v/>
      </c>
      <c r="AA287" s="32">
        <f>IF(AND(W287=1,G287="Not sure yet"),1,0)</f>
        <v/>
      </c>
      <c r="AB287" s="32">
        <f>N(AB286)+AA287</f>
        <v/>
      </c>
      <c r="AC287" s="32">
        <f>IF(AA287=1,AB287,"")</f>
        <v/>
      </c>
      <c r="AD287" s="32">
        <f>IF(D287="","",IF(LEN(D287)=10,"+1"&amp;D287,IF(AND(LEN(D287)=11,LEFT(D287,1)="1"),"+"&amp;D287,IF(LEFT(C287,1)="+","+"&amp;D287,D287))))</f>
        <v/>
      </c>
      <c r="AE287" s="32">
        <f>IF(B287="","",PROPER(IFERROR(LEFT(B287,FIND(" ",B287)-1),B287)))</f>
        <v/>
      </c>
      <c r="AF287" s="32">
        <f>SUBSTITUTE(SUBSTITUTE(SUBSTITUTE(SUBSTITUTE(SUBSTITUTE(SUBSTITUTE(SUBSTITUTE(SUBSTITUTE(SUBSTITUTE(SUBSTITUTE(AE287,"%","%25"),"&amp;","%26"),"#","%23"),"+","%2B"),"=","%3D"),"?","%3F"),CHAR(34),"%22"),CHAR(10),"%0A"),CHAR(13),"")," ","+")</f>
        <v/>
      </c>
      <c r="AG287" s="32">
        <f>IF(OR(AD287="",AE287=""),"",'Start Here'!$B$20&amp;"#p="&amp;SUBSTITUTE(AD287,"+","%2B")&amp;"&amp;n="&amp;AF287&amp;"&amp;m="&amp;SUBSTITUTE('Start Here'!$B$24,"{name}",AF287))</f>
        <v/>
      </c>
      <c r="AH287" s="32">
        <f>N(AH286)+W287</f>
        <v/>
      </c>
      <c r="AI287" s="32">
        <f>IF(W287=1,AH287,"")</f>
        <v/>
      </c>
    </row>
    <row r="288">
      <c r="A288" s="32">
        <f>IF(INDEX('Form Responses'!$A:$A,ROW())="","",INDEX('Form Responses'!$A:$A,ROW()))</f>
        <v/>
      </c>
      <c r="B288" s="32">
        <f>TRIM(INDEX('Form Responses'!$B:$B,ROW())&amp;"")</f>
        <v/>
      </c>
      <c r="C288" s="32">
        <f>IF(B288="","",TRIM(INDEX('Form Responses'!$C:$C,ROW())&amp;""))</f>
        <v/>
      </c>
      <c r="D288" s="32">
        <f>SUBSTITUTE(SUBSTITUTE(SUBSTITUTE(SUBSTITUTE(SUBSTITUTE(SUBSTITUTE(SUBSTITUTE(SUBSTITUTE(C288," ",""),"-",""),"(",""),")",""),".",""),"+",""),"/",""),CHAR(160),"")</f>
        <v/>
      </c>
      <c r="E288" s="32">
        <f>IF(LEN(D288)&gt;=10,RIGHT(D288,10),D288)</f>
        <v/>
      </c>
      <c r="F288" s="32">
        <f>IF(B288="","",TRIM(INDEX('Form Responses'!$D:$D,ROW())&amp;""))</f>
        <v/>
      </c>
      <c r="G288" s="32">
        <f>IF(B288="","",IF(LEFT(TRIM(INDEX('Form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8" s="32">
        <f>IF(B288="","",MAX(0,IFERROR(INT(--(INDEX('Form Responses'!$F:$F,ROW())&amp;"")),1)))</f>
        <v/>
      </c>
      <c r="I288" s="32">
        <f>IF(B288="","",MAX(0,IFERROR(INT(--(INDEX('Form Responses'!$G:$G,ROW())&amp;"")),0)))</f>
        <v/>
      </c>
      <c r="J288" s="32">
        <f>IF(B288="","",TRIM(INDEX('Form Responses'!$H:$H,ROW())&amp;""))</f>
        <v/>
      </c>
      <c r="K288" s="32">
        <f>IF(B288="","",TRIM(INDEX('Form Responses'!$I:$I,ROW())&amp;""))</f>
        <v/>
      </c>
      <c r="L288" s="32">
        <f>IF(B288="","",TRIM(INDEX('Form Responses'!$J:$J,ROW())&amp;""))</f>
        <v/>
      </c>
      <c r="M288" s="32">
        <f>IF(B288="","",TRIM(INDEX('Form Responses'!$K:$K,ROW())&amp;""))</f>
        <v/>
      </c>
      <c r="N288" s="32">
        <f>IF(B288="","",IF(E288&lt;&gt;"","P"&amp;E288,"N"&amp;B288))</f>
        <v/>
      </c>
      <c r="O288" s="32">
        <f>IF(N288="",0,IF(COUNTIF(N289:N$602,N288)=0,1,0))</f>
        <v/>
      </c>
      <c r="P288" s="32">
        <f>IF(AND(O288=1,E288&lt;&gt;""),E288,"")</f>
        <v/>
      </c>
      <c r="Q288" s="32">
        <f>IF(O288=1,B288,"")</f>
        <v/>
      </c>
      <c r="R288" s="32">
        <f>IF(O288&lt;&gt;1,"",IF(E288&lt;&gt;"",IFERROR(MATCH(E288,Guests!$S$6:$S$505,0)+5,IFERROR(MATCH(B288,Guests!$A$6:$A$505,0)+5,"")),IFERROR(MATCH(B288,Guests!$A$6:$A$505,0)+5,"")))</f>
        <v/>
      </c>
      <c r="S288" s="32">
        <f>IF(R288="","",TRIM(INDEX(Guests!$E$1:$E$505,R288)&amp;""))</f>
        <v/>
      </c>
      <c r="T288" s="32">
        <f>IF(R288="","",IF(S288="",1,COUNTIF(Guests!$E$6:$E$505,S288)))</f>
        <v/>
      </c>
      <c r="U288" s="32">
        <f>IF(R288="","",IF(S288="",1,IF(COUNTIF(S$1:S287,S288)=0,1,0)))</f>
        <v/>
      </c>
      <c r="V288" s="32">
        <f>IF(AND(R288&lt;&gt;"",G288="Attending",U288=1),MAX(0,H288+I288-T288),0)</f>
        <v/>
      </c>
      <c r="W288" s="32">
        <f>IF(AND(O288=1,R288=""),1,0)</f>
        <v/>
      </c>
      <c r="X288" s="32">
        <f>IF(B288="",0,H288+I288)</f>
        <v/>
      </c>
      <c r="Y288" s="32">
        <f>N(Y287)+O288</f>
        <v/>
      </c>
      <c r="Z288" s="32">
        <f>IF(O288=1,Y288,"")</f>
        <v/>
      </c>
      <c r="AA288" s="32">
        <f>IF(AND(W288=1,G288="Not sure yet"),1,0)</f>
        <v/>
      </c>
      <c r="AB288" s="32">
        <f>N(AB287)+AA288</f>
        <v/>
      </c>
      <c r="AC288" s="32">
        <f>IF(AA288=1,AB288,"")</f>
        <v/>
      </c>
      <c r="AD288" s="32">
        <f>IF(D288="","",IF(LEN(D288)=10,"+1"&amp;D288,IF(AND(LEN(D288)=11,LEFT(D288,1)="1"),"+"&amp;D288,IF(LEFT(C288,1)="+","+"&amp;D288,D288))))</f>
        <v/>
      </c>
      <c r="AE288" s="32">
        <f>IF(B288="","",PROPER(IFERROR(LEFT(B288,FIND(" ",B288)-1),B288)))</f>
        <v/>
      </c>
      <c r="AF288" s="32">
        <f>SUBSTITUTE(SUBSTITUTE(SUBSTITUTE(SUBSTITUTE(SUBSTITUTE(SUBSTITUTE(SUBSTITUTE(SUBSTITUTE(SUBSTITUTE(SUBSTITUTE(AE288,"%","%25"),"&amp;","%26"),"#","%23"),"+","%2B"),"=","%3D"),"?","%3F"),CHAR(34),"%22"),CHAR(10),"%0A"),CHAR(13),"")," ","+")</f>
        <v/>
      </c>
      <c r="AG288" s="32">
        <f>IF(OR(AD288="",AE288=""),"",'Start Here'!$B$20&amp;"#p="&amp;SUBSTITUTE(AD288,"+","%2B")&amp;"&amp;n="&amp;AF288&amp;"&amp;m="&amp;SUBSTITUTE('Start Here'!$B$24,"{name}",AF288))</f>
        <v/>
      </c>
      <c r="AH288" s="32">
        <f>N(AH287)+W288</f>
        <v/>
      </c>
      <c r="AI288" s="32">
        <f>IF(W288=1,AH288,"")</f>
        <v/>
      </c>
    </row>
    <row r="289">
      <c r="A289" s="32">
        <f>IF(INDEX('Form Responses'!$A:$A,ROW())="","",INDEX('Form Responses'!$A:$A,ROW()))</f>
        <v/>
      </c>
      <c r="B289" s="32">
        <f>TRIM(INDEX('Form Responses'!$B:$B,ROW())&amp;"")</f>
        <v/>
      </c>
      <c r="C289" s="32">
        <f>IF(B289="","",TRIM(INDEX('Form Responses'!$C:$C,ROW())&amp;""))</f>
        <v/>
      </c>
      <c r="D289" s="32">
        <f>SUBSTITUTE(SUBSTITUTE(SUBSTITUTE(SUBSTITUTE(SUBSTITUTE(SUBSTITUTE(SUBSTITUTE(SUBSTITUTE(C289," ",""),"-",""),"(",""),")",""),".",""),"+",""),"/",""),CHAR(160),"")</f>
        <v/>
      </c>
      <c r="E289" s="32">
        <f>IF(LEN(D289)&gt;=10,RIGHT(D289,10),D289)</f>
        <v/>
      </c>
      <c r="F289" s="32">
        <f>IF(B289="","",TRIM(INDEX('Form Responses'!$D:$D,ROW())&amp;""))</f>
        <v/>
      </c>
      <c r="G289" s="32">
        <f>IF(B289="","",IF(LEFT(TRIM(INDEX('Form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89" s="32">
        <f>IF(B289="","",MAX(0,IFERROR(INT(--(INDEX('Form Responses'!$F:$F,ROW())&amp;"")),1)))</f>
        <v/>
      </c>
      <c r="I289" s="32">
        <f>IF(B289="","",MAX(0,IFERROR(INT(--(INDEX('Form Responses'!$G:$G,ROW())&amp;"")),0)))</f>
        <v/>
      </c>
      <c r="J289" s="32">
        <f>IF(B289="","",TRIM(INDEX('Form Responses'!$H:$H,ROW())&amp;""))</f>
        <v/>
      </c>
      <c r="K289" s="32">
        <f>IF(B289="","",TRIM(INDEX('Form Responses'!$I:$I,ROW())&amp;""))</f>
        <v/>
      </c>
      <c r="L289" s="32">
        <f>IF(B289="","",TRIM(INDEX('Form Responses'!$J:$J,ROW())&amp;""))</f>
        <v/>
      </c>
      <c r="M289" s="32">
        <f>IF(B289="","",TRIM(INDEX('Form Responses'!$K:$K,ROW())&amp;""))</f>
        <v/>
      </c>
      <c r="N289" s="32">
        <f>IF(B289="","",IF(E289&lt;&gt;"","P"&amp;E289,"N"&amp;B289))</f>
        <v/>
      </c>
      <c r="O289" s="32">
        <f>IF(N289="",0,IF(COUNTIF(N290:N$602,N289)=0,1,0))</f>
        <v/>
      </c>
      <c r="P289" s="32">
        <f>IF(AND(O289=1,E289&lt;&gt;""),E289,"")</f>
        <v/>
      </c>
      <c r="Q289" s="32">
        <f>IF(O289=1,B289,"")</f>
        <v/>
      </c>
      <c r="R289" s="32">
        <f>IF(O289&lt;&gt;1,"",IF(E289&lt;&gt;"",IFERROR(MATCH(E289,Guests!$S$6:$S$505,0)+5,IFERROR(MATCH(B289,Guests!$A$6:$A$505,0)+5,"")),IFERROR(MATCH(B289,Guests!$A$6:$A$505,0)+5,"")))</f>
        <v/>
      </c>
      <c r="S289" s="32">
        <f>IF(R289="","",TRIM(INDEX(Guests!$E$1:$E$505,R289)&amp;""))</f>
        <v/>
      </c>
      <c r="T289" s="32">
        <f>IF(R289="","",IF(S289="",1,COUNTIF(Guests!$E$6:$E$505,S289)))</f>
        <v/>
      </c>
      <c r="U289" s="32">
        <f>IF(R289="","",IF(S289="",1,IF(COUNTIF(S$1:S288,S289)=0,1,0)))</f>
        <v/>
      </c>
      <c r="V289" s="32">
        <f>IF(AND(R289&lt;&gt;"",G289="Attending",U289=1),MAX(0,H289+I289-T289),0)</f>
        <v/>
      </c>
      <c r="W289" s="32">
        <f>IF(AND(O289=1,R289=""),1,0)</f>
        <v/>
      </c>
      <c r="X289" s="32">
        <f>IF(B289="",0,H289+I289)</f>
        <v/>
      </c>
      <c r="Y289" s="32">
        <f>N(Y288)+O289</f>
        <v/>
      </c>
      <c r="Z289" s="32">
        <f>IF(O289=1,Y289,"")</f>
        <v/>
      </c>
      <c r="AA289" s="32">
        <f>IF(AND(W289=1,G289="Not sure yet"),1,0)</f>
        <v/>
      </c>
      <c r="AB289" s="32">
        <f>N(AB288)+AA289</f>
        <v/>
      </c>
      <c r="AC289" s="32">
        <f>IF(AA289=1,AB289,"")</f>
        <v/>
      </c>
      <c r="AD289" s="32">
        <f>IF(D289="","",IF(LEN(D289)=10,"+1"&amp;D289,IF(AND(LEN(D289)=11,LEFT(D289,1)="1"),"+"&amp;D289,IF(LEFT(C289,1)="+","+"&amp;D289,D289))))</f>
        <v/>
      </c>
      <c r="AE289" s="32">
        <f>IF(B289="","",PROPER(IFERROR(LEFT(B289,FIND(" ",B289)-1),B289)))</f>
        <v/>
      </c>
      <c r="AF289" s="32">
        <f>SUBSTITUTE(SUBSTITUTE(SUBSTITUTE(SUBSTITUTE(SUBSTITUTE(SUBSTITUTE(SUBSTITUTE(SUBSTITUTE(SUBSTITUTE(SUBSTITUTE(AE289,"%","%25"),"&amp;","%26"),"#","%23"),"+","%2B"),"=","%3D"),"?","%3F"),CHAR(34),"%22"),CHAR(10),"%0A"),CHAR(13),"")," ","+")</f>
        <v/>
      </c>
      <c r="AG289" s="32">
        <f>IF(OR(AD289="",AE289=""),"",'Start Here'!$B$20&amp;"#p="&amp;SUBSTITUTE(AD289,"+","%2B")&amp;"&amp;n="&amp;AF289&amp;"&amp;m="&amp;SUBSTITUTE('Start Here'!$B$24,"{name}",AF289))</f>
        <v/>
      </c>
      <c r="AH289" s="32">
        <f>N(AH288)+W289</f>
        <v/>
      </c>
      <c r="AI289" s="32">
        <f>IF(W289=1,AH289,"")</f>
        <v/>
      </c>
    </row>
    <row r="290">
      <c r="A290" s="32">
        <f>IF(INDEX('Form Responses'!$A:$A,ROW())="","",INDEX('Form Responses'!$A:$A,ROW()))</f>
        <v/>
      </c>
      <c r="B290" s="32">
        <f>TRIM(INDEX('Form Responses'!$B:$B,ROW())&amp;"")</f>
        <v/>
      </c>
      <c r="C290" s="32">
        <f>IF(B290="","",TRIM(INDEX('Form Responses'!$C:$C,ROW())&amp;""))</f>
        <v/>
      </c>
      <c r="D290" s="32">
        <f>SUBSTITUTE(SUBSTITUTE(SUBSTITUTE(SUBSTITUTE(SUBSTITUTE(SUBSTITUTE(SUBSTITUTE(SUBSTITUTE(C290," ",""),"-",""),"(",""),")",""),".",""),"+",""),"/",""),CHAR(160),"")</f>
        <v/>
      </c>
      <c r="E290" s="32">
        <f>IF(LEN(D290)&gt;=10,RIGHT(D290,10),D290)</f>
        <v/>
      </c>
      <c r="F290" s="32">
        <f>IF(B290="","",TRIM(INDEX('Form Responses'!$D:$D,ROW())&amp;""))</f>
        <v/>
      </c>
      <c r="G290" s="32">
        <f>IF(B290="","",IF(LEFT(TRIM(INDEX('Form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0" s="32">
        <f>IF(B290="","",MAX(0,IFERROR(INT(--(INDEX('Form Responses'!$F:$F,ROW())&amp;"")),1)))</f>
        <v/>
      </c>
      <c r="I290" s="32">
        <f>IF(B290="","",MAX(0,IFERROR(INT(--(INDEX('Form Responses'!$G:$G,ROW())&amp;"")),0)))</f>
        <v/>
      </c>
      <c r="J290" s="32">
        <f>IF(B290="","",TRIM(INDEX('Form Responses'!$H:$H,ROW())&amp;""))</f>
        <v/>
      </c>
      <c r="K290" s="32">
        <f>IF(B290="","",TRIM(INDEX('Form Responses'!$I:$I,ROW())&amp;""))</f>
        <v/>
      </c>
      <c r="L290" s="32">
        <f>IF(B290="","",TRIM(INDEX('Form Responses'!$J:$J,ROW())&amp;""))</f>
        <v/>
      </c>
      <c r="M290" s="32">
        <f>IF(B290="","",TRIM(INDEX('Form Responses'!$K:$K,ROW())&amp;""))</f>
        <v/>
      </c>
      <c r="N290" s="32">
        <f>IF(B290="","",IF(E290&lt;&gt;"","P"&amp;E290,"N"&amp;B290))</f>
        <v/>
      </c>
      <c r="O290" s="32">
        <f>IF(N290="",0,IF(COUNTIF(N291:N$602,N290)=0,1,0))</f>
        <v/>
      </c>
      <c r="P290" s="32">
        <f>IF(AND(O290=1,E290&lt;&gt;""),E290,"")</f>
        <v/>
      </c>
      <c r="Q290" s="32">
        <f>IF(O290=1,B290,"")</f>
        <v/>
      </c>
      <c r="R290" s="32">
        <f>IF(O290&lt;&gt;1,"",IF(E290&lt;&gt;"",IFERROR(MATCH(E290,Guests!$S$6:$S$505,0)+5,IFERROR(MATCH(B290,Guests!$A$6:$A$505,0)+5,"")),IFERROR(MATCH(B290,Guests!$A$6:$A$505,0)+5,"")))</f>
        <v/>
      </c>
      <c r="S290" s="32">
        <f>IF(R290="","",TRIM(INDEX(Guests!$E$1:$E$505,R290)&amp;""))</f>
        <v/>
      </c>
      <c r="T290" s="32">
        <f>IF(R290="","",IF(S290="",1,COUNTIF(Guests!$E$6:$E$505,S290)))</f>
        <v/>
      </c>
      <c r="U290" s="32">
        <f>IF(R290="","",IF(S290="",1,IF(COUNTIF(S$1:S289,S290)=0,1,0)))</f>
        <v/>
      </c>
      <c r="V290" s="32">
        <f>IF(AND(R290&lt;&gt;"",G290="Attending",U290=1),MAX(0,H290+I290-T290),0)</f>
        <v/>
      </c>
      <c r="W290" s="32">
        <f>IF(AND(O290=1,R290=""),1,0)</f>
        <v/>
      </c>
      <c r="X290" s="32">
        <f>IF(B290="",0,H290+I290)</f>
        <v/>
      </c>
      <c r="Y290" s="32">
        <f>N(Y289)+O290</f>
        <v/>
      </c>
      <c r="Z290" s="32">
        <f>IF(O290=1,Y290,"")</f>
        <v/>
      </c>
      <c r="AA290" s="32">
        <f>IF(AND(W290=1,G290="Not sure yet"),1,0)</f>
        <v/>
      </c>
      <c r="AB290" s="32">
        <f>N(AB289)+AA290</f>
        <v/>
      </c>
      <c r="AC290" s="32">
        <f>IF(AA290=1,AB290,"")</f>
        <v/>
      </c>
      <c r="AD290" s="32">
        <f>IF(D290="","",IF(LEN(D290)=10,"+1"&amp;D290,IF(AND(LEN(D290)=11,LEFT(D290,1)="1"),"+"&amp;D290,IF(LEFT(C290,1)="+","+"&amp;D290,D290))))</f>
        <v/>
      </c>
      <c r="AE290" s="32">
        <f>IF(B290="","",PROPER(IFERROR(LEFT(B290,FIND(" ",B290)-1),B290)))</f>
        <v/>
      </c>
      <c r="AF290" s="32">
        <f>SUBSTITUTE(SUBSTITUTE(SUBSTITUTE(SUBSTITUTE(SUBSTITUTE(SUBSTITUTE(SUBSTITUTE(SUBSTITUTE(SUBSTITUTE(SUBSTITUTE(AE290,"%","%25"),"&amp;","%26"),"#","%23"),"+","%2B"),"=","%3D"),"?","%3F"),CHAR(34),"%22"),CHAR(10),"%0A"),CHAR(13),"")," ","+")</f>
        <v/>
      </c>
      <c r="AG290" s="32">
        <f>IF(OR(AD290="",AE290=""),"",'Start Here'!$B$20&amp;"#p="&amp;SUBSTITUTE(AD290,"+","%2B")&amp;"&amp;n="&amp;AF290&amp;"&amp;m="&amp;SUBSTITUTE('Start Here'!$B$24,"{name}",AF290))</f>
        <v/>
      </c>
      <c r="AH290" s="32">
        <f>N(AH289)+W290</f>
        <v/>
      </c>
      <c r="AI290" s="32">
        <f>IF(W290=1,AH290,"")</f>
        <v/>
      </c>
    </row>
    <row r="291">
      <c r="A291" s="32">
        <f>IF(INDEX('Form Responses'!$A:$A,ROW())="","",INDEX('Form Responses'!$A:$A,ROW()))</f>
        <v/>
      </c>
      <c r="B291" s="32">
        <f>TRIM(INDEX('Form Responses'!$B:$B,ROW())&amp;"")</f>
        <v/>
      </c>
      <c r="C291" s="32">
        <f>IF(B291="","",TRIM(INDEX('Form Responses'!$C:$C,ROW())&amp;""))</f>
        <v/>
      </c>
      <c r="D291" s="32">
        <f>SUBSTITUTE(SUBSTITUTE(SUBSTITUTE(SUBSTITUTE(SUBSTITUTE(SUBSTITUTE(SUBSTITUTE(SUBSTITUTE(C291," ",""),"-",""),"(",""),")",""),".",""),"+",""),"/",""),CHAR(160),"")</f>
        <v/>
      </c>
      <c r="E291" s="32">
        <f>IF(LEN(D291)&gt;=10,RIGHT(D291,10),D291)</f>
        <v/>
      </c>
      <c r="F291" s="32">
        <f>IF(B291="","",TRIM(INDEX('Form Responses'!$D:$D,ROW())&amp;""))</f>
        <v/>
      </c>
      <c r="G291" s="32">
        <f>IF(B291="","",IF(LEFT(TRIM(INDEX('Form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1" s="32">
        <f>IF(B291="","",MAX(0,IFERROR(INT(--(INDEX('Form Responses'!$F:$F,ROW())&amp;"")),1)))</f>
        <v/>
      </c>
      <c r="I291" s="32">
        <f>IF(B291="","",MAX(0,IFERROR(INT(--(INDEX('Form Responses'!$G:$G,ROW())&amp;"")),0)))</f>
        <v/>
      </c>
      <c r="J291" s="32">
        <f>IF(B291="","",TRIM(INDEX('Form Responses'!$H:$H,ROW())&amp;""))</f>
        <v/>
      </c>
      <c r="K291" s="32">
        <f>IF(B291="","",TRIM(INDEX('Form Responses'!$I:$I,ROW())&amp;""))</f>
        <v/>
      </c>
      <c r="L291" s="32">
        <f>IF(B291="","",TRIM(INDEX('Form Responses'!$J:$J,ROW())&amp;""))</f>
        <v/>
      </c>
      <c r="M291" s="32">
        <f>IF(B291="","",TRIM(INDEX('Form Responses'!$K:$K,ROW())&amp;""))</f>
        <v/>
      </c>
      <c r="N291" s="32">
        <f>IF(B291="","",IF(E291&lt;&gt;"","P"&amp;E291,"N"&amp;B291))</f>
        <v/>
      </c>
      <c r="O291" s="32">
        <f>IF(N291="",0,IF(COUNTIF(N292:N$602,N291)=0,1,0))</f>
        <v/>
      </c>
      <c r="P291" s="32">
        <f>IF(AND(O291=1,E291&lt;&gt;""),E291,"")</f>
        <v/>
      </c>
      <c r="Q291" s="32">
        <f>IF(O291=1,B291,"")</f>
        <v/>
      </c>
      <c r="R291" s="32">
        <f>IF(O291&lt;&gt;1,"",IF(E291&lt;&gt;"",IFERROR(MATCH(E291,Guests!$S$6:$S$505,0)+5,IFERROR(MATCH(B291,Guests!$A$6:$A$505,0)+5,"")),IFERROR(MATCH(B291,Guests!$A$6:$A$505,0)+5,"")))</f>
        <v/>
      </c>
      <c r="S291" s="32">
        <f>IF(R291="","",TRIM(INDEX(Guests!$E$1:$E$505,R291)&amp;""))</f>
        <v/>
      </c>
      <c r="T291" s="32">
        <f>IF(R291="","",IF(S291="",1,COUNTIF(Guests!$E$6:$E$505,S291)))</f>
        <v/>
      </c>
      <c r="U291" s="32">
        <f>IF(R291="","",IF(S291="",1,IF(COUNTIF(S$1:S290,S291)=0,1,0)))</f>
        <v/>
      </c>
      <c r="V291" s="32">
        <f>IF(AND(R291&lt;&gt;"",G291="Attending",U291=1),MAX(0,H291+I291-T291),0)</f>
        <v/>
      </c>
      <c r="W291" s="32">
        <f>IF(AND(O291=1,R291=""),1,0)</f>
        <v/>
      </c>
      <c r="X291" s="32">
        <f>IF(B291="",0,H291+I291)</f>
        <v/>
      </c>
      <c r="Y291" s="32">
        <f>N(Y290)+O291</f>
        <v/>
      </c>
      <c r="Z291" s="32">
        <f>IF(O291=1,Y291,"")</f>
        <v/>
      </c>
      <c r="AA291" s="32">
        <f>IF(AND(W291=1,G291="Not sure yet"),1,0)</f>
        <v/>
      </c>
      <c r="AB291" s="32">
        <f>N(AB290)+AA291</f>
        <v/>
      </c>
      <c r="AC291" s="32">
        <f>IF(AA291=1,AB291,"")</f>
        <v/>
      </c>
      <c r="AD291" s="32">
        <f>IF(D291="","",IF(LEN(D291)=10,"+1"&amp;D291,IF(AND(LEN(D291)=11,LEFT(D291,1)="1"),"+"&amp;D291,IF(LEFT(C291,1)="+","+"&amp;D291,D291))))</f>
        <v/>
      </c>
      <c r="AE291" s="32">
        <f>IF(B291="","",PROPER(IFERROR(LEFT(B291,FIND(" ",B291)-1),B291)))</f>
        <v/>
      </c>
      <c r="AF291" s="32">
        <f>SUBSTITUTE(SUBSTITUTE(SUBSTITUTE(SUBSTITUTE(SUBSTITUTE(SUBSTITUTE(SUBSTITUTE(SUBSTITUTE(SUBSTITUTE(SUBSTITUTE(AE291,"%","%25"),"&amp;","%26"),"#","%23"),"+","%2B"),"=","%3D"),"?","%3F"),CHAR(34),"%22"),CHAR(10),"%0A"),CHAR(13),"")," ","+")</f>
        <v/>
      </c>
      <c r="AG291" s="32">
        <f>IF(OR(AD291="",AE291=""),"",'Start Here'!$B$20&amp;"#p="&amp;SUBSTITUTE(AD291,"+","%2B")&amp;"&amp;n="&amp;AF291&amp;"&amp;m="&amp;SUBSTITUTE('Start Here'!$B$24,"{name}",AF291))</f>
        <v/>
      </c>
      <c r="AH291" s="32">
        <f>N(AH290)+W291</f>
        <v/>
      </c>
      <c r="AI291" s="32">
        <f>IF(W291=1,AH291,"")</f>
        <v/>
      </c>
    </row>
    <row r="292">
      <c r="A292" s="32">
        <f>IF(INDEX('Form Responses'!$A:$A,ROW())="","",INDEX('Form Responses'!$A:$A,ROW()))</f>
        <v/>
      </c>
      <c r="B292" s="32">
        <f>TRIM(INDEX('Form Responses'!$B:$B,ROW())&amp;"")</f>
        <v/>
      </c>
      <c r="C292" s="32">
        <f>IF(B292="","",TRIM(INDEX('Form Responses'!$C:$C,ROW())&amp;""))</f>
        <v/>
      </c>
      <c r="D292" s="32">
        <f>SUBSTITUTE(SUBSTITUTE(SUBSTITUTE(SUBSTITUTE(SUBSTITUTE(SUBSTITUTE(SUBSTITUTE(SUBSTITUTE(C292," ",""),"-",""),"(",""),")",""),".",""),"+",""),"/",""),CHAR(160),"")</f>
        <v/>
      </c>
      <c r="E292" s="32">
        <f>IF(LEN(D292)&gt;=10,RIGHT(D292,10),D292)</f>
        <v/>
      </c>
      <c r="F292" s="32">
        <f>IF(B292="","",TRIM(INDEX('Form Responses'!$D:$D,ROW())&amp;""))</f>
        <v/>
      </c>
      <c r="G292" s="32">
        <f>IF(B292="","",IF(LEFT(TRIM(INDEX('Form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2" s="32">
        <f>IF(B292="","",MAX(0,IFERROR(INT(--(INDEX('Form Responses'!$F:$F,ROW())&amp;"")),1)))</f>
        <v/>
      </c>
      <c r="I292" s="32">
        <f>IF(B292="","",MAX(0,IFERROR(INT(--(INDEX('Form Responses'!$G:$G,ROW())&amp;"")),0)))</f>
        <v/>
      </c>
      <c r="J292" s="32">
        <f>IF(B292="","",TRIM(INDEX('Form Responses'!$H:$H,ROW())&amp;""))</f>
        <v/>
      </c>
      <c r="K292" s="32">
        <f>IF(B292="","",TRIM(INDEX('Form Responses'!$I:$I,ROW())&amp;""))</f>
        <v/>
      </c>
      <c r="L292" s="32">
        <f>IF(B292="","",TRIM(INDEX('Form Responses'!$J:$J,ROW())&amp;""))</f>
        <v/>
      </c>
      <c r="M292" s="32">
        <f>IF(B292="","",TRIM(INDEX('Form Responses'!$K:$K,ROW())&amp;""))</f>
        <v/>
      </c>
      <c r="N292" s="32">
        <f>IF(B292="","",IF(E292&lt;&gt;"","P"&amp;E292,"N"&amp;B292))</f>
        <v/>
      </c>
      <c r="O292" s="32">
        <f>IF(N292="",0,IF(COUNTIF(N293:N$602,N292)=0,1,0))</f>
        <v/>
      </c>
      <c r="P292" s="32">
        <f>IF(AND(O292=1,E292&lt;&gt;""),E292,"")</f>
        <v/>
      </c>
      <c r="Q292" s="32">
        <f>IF(O292=1,B292,"")</f>
        <v/>
      </c>
      <c r="R292" s="32">
        <f>IF(O292&lt;&gt;1,"",IF(E292&lt;&gt;"",IFERROR(MATCH(E292,Guests!$S$6:$S$505,0)+5,IFERROR(MATCH(B292,Guests!$A$6:$A$505,0)+5,"")),IFERROR(MATCH(B292,Guests!$A$6:$A$505,0)+5,"")))</f>
        <v/>
      </c>
      <c r="S292" s="32">
        <f>IF(R292="","",TRIM(INDEX(Guests!$E$1:$E$505,R292)&amp;""))</f>
        <v/>
      </c>
      <c r="T292" s="32">
        <f>IF(R292="","",IF(S292="",1,COUNTIF(Guests!$E$6:$E$505,S292)))</f>
        <v/>
      </c>
      <c r="U292" s="32">
        <f>IF(R292="","",IF(S292="",1,IF(COUNTIF(S$1:S291,S292)=0,1,0)))</f>
        <v/>
      </c>
      <c r="V292" s="32">
        <f>IF(AND(R292&lt;&gt;"",G292="Attending",U292=1),MAX(0,H292+I292-T292),0)</f>
        <v/>
      </c>
      <c r="W292" s="32">
        <f>IF(AND(O292=1,R292=""),1,0)</f>
        <v/>
      </c>
      <c r="X292" s="32">
        <f>IF(B292="",0,H292+I292)</f>
        <v/>
      </c>
      <c r="Y292" s="32">
        <f>N(Y291)+O292</f>
        <v/>
      </c>
      <c r="Z292" s="32">
        <f>IF(O292=1,Y292,"")</f>
        <v/>
      </c>
      <c r="AA292" s="32">
        <f>IF(AND(W292=1,G292="Not sure yet"),1,0)</f>
        <v/>
      </c>
      <c r="AB292" s="32">
        <f>N(AB291)+AA292</f>
        <v/>
      </c>
      <c r="AC292" s="32">
        <f>IF(AA292=1,AB292,"")</f>
        <v/>
      </c>
      <c r="AD292" s="32">
        <f>IF(D292="","",IF(LEN(D292)=10,"+1"&amp;D292,IF(AND(LEN(D292)=11,LEFT(D292,1)="1"),"+"&amp;D292,IF(LEFT(C292,1)="+","+"&amp;D292,D292))))</f>
        <v/>
      </c>
      <c r="AE292" s="32">
        <f>IF(B292="","",PROPER(IFERROR(LEFT(B292,FIND(" ",B292)-1),B292)))</f>
        <v/>
      </c>
      <c r="AF292" s="32">
        <f>SUBSTITUTE(SUBSTITUTE(SUBSTITUTE(SUBSTITUTE(SUBSTITUTE(SUBSTITUTE(SUBSTITUTE(SUBSTITUTE(SUBSTITUTE(SUBSTITUTE(AE292,"%","%25"),"&amp;","%26"),"#","%23"),"+","%2B"),"=","%3D"),"?","%3F"),CHAR(34),"%22"),CHAR(10),"%0A"),CHAR(13),"")," ","+")</f>
        <v/>
      </c>
      <c r="AG292" s="32">
        <f>IF(OR(AD292="",AE292=""),"",'Start Here'!$B$20&amp;"#p="&amp;SUBSTITUTE(AD292,"+","%2B")&amp;"&amp;n="&amp;AF292&amp;"&amp;m="&amp;SUBSTITUTE('Start Here'!$B$24,"{name}",AF292))</f>
        <v/>
      </c>
      <c r="AH292" s="32">
        <f>N(AH291)+W292</f>
        <v/>
      </c>
      <c r="AI292" s="32">
        <f>IF(W292=1,AH292,"")</f>
        <v/>
      </c>
    </row>
    <row r="293">
      <c r="A293" s="32">
        <f>IF(INDEX('Form Responses'!$A:$A,ROW())="","",INDEX('Form Responses'!$A:$A,ROW()))</f>
        <v/>
      </c>
      <c r="B293" s="32">
        <f>TRIM(INDEX('Form Responses'!$B:$B,ROW())&amp;"")</f>
        <v/>
      </c>
      <c r="C293" s="32">
        <f>IF(B293="","",TRIM(INDEX('Form Responses'!$C:$C,ROW())&amp;""))</f>
        <v/>
      </c>
      <c r="D293" s="32">
        <f>SUBSTITUTE(SUBSTITUTE(SUBSTITUTE(SUBSTITUTE(SUBSTITUTE(SUBSTITUTE(SUBSTITUTE(SUBSTITUTE(C293," ",""),"-",""),"(",""),")",""),".",""),"+",""),"/",""),CHAR(160),"")</f>
        <v/>
      </c>
      <c r="E293" s="32">
        <f>IF(LEN(D293)&gt;=10,RIGHT(D293,10),D293)</f>
        <v/>
      </c>
      <c r="F293" s="32">
        <f>IF(B293="","",TRIM(INDEX('Form Responses'!$D:$D,ROW())&amp;""))</f>
        <v/>
      </c>
      <c r="G293" s="32">
        <f>IF(B293="","",IF(LEFT(TRIM(INDEX('Form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3" s="32">
        <f>IF(B293="","",MAX(0,IFERROR(INT(--(INDEX('Form Responses'!$F:$F,ROW())&amp;"")),1)))</f>
        <v/>
      </c>
      <c r="I293" s="32">
        <f>IF(B293="","",MAX(0,IFERROR(INT(--(INDEX('Form Responses'!$G:$G,ROW())&amp;"")),0)))</f>
        <v/>
      </c>
      <c r="J293" s="32">
        <f>IF(B293="","",TRIM(INDEX('Form Responses'!$H:$H,ROW())&amp;""))</f>
        <v/>
      </c>
      <c r="K293" s="32">
        <f>IF(B293="","",TRIM(INDEX('Form Responses'!$I:$I,ROW())&amp;""))</f>
        <v/>
      </c>
      <c r="L293" s="32">
        <f>IF(B293="","",TRIM(INDEX('Form Responses'!$J:$J,ROW())&amp;""))</f>
        <v/>
      </c>
      <c r="M293" s="32">
        <f>IF(B293="","",TRIM(INDEX('Form Responses'!$K:$K,ROW())&amp;""))</f>
        <v/>
      </c>
      <c r="N293" s="32">
        <f>IF(B293="","",IF(E293&lt;&gt;"","P"&amp;E293,"N"&amp;B293))</f>
        <v/>
      </c>
      <c r="O293" s="32">
        <f>IF(N293="",0,IF(COUNTIF(N294:N$602,N293)=0,1,0))</f>
        <v/>
      </c>
      <c r="P293" s="32">
        <f>IF(AND(O293=1,E293&lt;&gt;""),E293,"")</f>
        <v/>
      </c>
      <c r="Q293" s="32">
        <f>IF(O293=1,B293,"")</f>
        <v/>
      </c>
      <c r="R293" s="32">
        <f>IF(O293&lt;&gt;1,"",IF(E293&lt;&gt;"",IFERROR(MATCH(E293,Guests!$S$6:$S$505,0)+5,IFERROR(MATCH(B293,Guests!$A$6:$A$505,0)+5,"")),IFERROR(MATCH(B293,Guests!$A$6:$A$505,0)+5,"")))</f>
        <v/>
      </c>
      <c r="S293" s="32">
        <f>IF(R293="","",TRIM(INDEX(Guests!$E$1:$E$505,R293)&amp;""))</f>
        <v/>
      </c>
      <c r="T293" s="32">
        <f>IF(R293="","",IF(S293="",1,COUNTIF(Guests!$E$6:$E$505,S293)))</f>
        <v/>
      </c>
      <c r="U293" s="32">
        <f>IF(R293="","",IF(S293="",1,IF(COUNTIF(S$1:S292,S293)=0,1,0)))</f>
        <v/>
      </c>
      <c r="V293" s="32">
        <f>IF(AND(R293&lt;&gt;"",G293="Attending",U293=1),MAX(0,H293+I293-T293),0)</f>
        <v/>
      </c>
      <c r="W293" s="32">
        <f>IF(AND(O293=1,R293=""),1,0)</f>
        <v/>
      </c>
      <c r="X293" s="32">
        <f>IF(B293="",0,H293+I293)</f>
        <v/>
      </c>
      <c r="Y293" s="32">
        <f>N(Y292)+O293</f>
        <v/>
      </c>
      <c r="Z293" s="32">
        <f>IF(O293=1,Y293,"")</f>
        <v/>
      </c>
      <c r="AA293" s="32">
        <f>IF(AND(W293=1,G293="Not sure yet"),1,0)</f>
        <v/>
      </c>
      <c r="AB293" s="32">
        <f>N(AB292)+AA293</f>
        <v/>
      </c>
      <c r="AC293" s="32">
        <f>IF(AA293=1,AB293,"")</f>
        <v/>
      </c>
      <c r="AD293" s="32">
        <f>IF(D293="","",IF(LEN(D293)=10,"+1"&amp;D293,IF(AND(LEN(D293)=11,LEFT(D293,1)="1"),"+"&amp;D293,IF(LEFT(C293,1)="+","+"&amp;D293,D293))))</f>
        <v/>
      </c>
      <c r="AE293" s="32">
        <f>IF(B293="","",PROPER(IFERROR(LEFT(B293,FIND(" ",B293)-1),B293)))</f>
        <v/>
      </c>
      <c r="AF293" s="32">
        <f>SUBSTITUTE(SUBSTITUTE(SUBSTITUTE(SUBSTITUTE(SUBSTITUTE(SUBSTITUTE(SUBSTITUTE(SUBSTITUTE(SUBSTITUTE(SUBSTITUTE(AE293,"%","%25"),"&amp;","%26"),"#","%23"),"+","%2B"),"=","%3D"),"?","%3F"),CHAR(34),"%22"),CHAR(10),"%0A"),CHAR(13),"")," ","+")</f>
        <v/>
      </c>
      <c r="AG293" s="32">
        <f>IF(OR(AD293="",AE293=""),"",'Start Here'!$B$20&amp;"#p="&amp;SUBSTITUTE(AD293,"+","%2B")&amp;"&amp;n="&amp;AF293&amp;"&amp;m="&amp;SUBSTITUTE('Start Here'!$B$24,"{name}",AF293))</f>
        <v/>
      </c>
      <c r="AH293" s="32">
        <f>N(AH292)+W293</f>
        <v/>
      </c>
      <c r="AI293" s="32">
        <f>IF(W293=1,AH293,"")</f>
        <v/>
      </c>
    </row>
    <row r="294">
      <c r="A294" s="32">
        <f>IF(INDEX('Form Responses'!$A:$A,ROW())="","",INDEX('Form Responses'!$A:$A,ROW()))</f>
        <v/>
      </c>
      <c r="B294" s="32">
        <f>TRIM(INDEX('Form Responses'!$B:$B,ROW())&amp;"")</f>
        <v/>
      </c>
      <c r="C294" s="32">
        <f>IF(B294="","",TRIM(INDEX('Form Responses'!$C:$C,ROW())&amp;""))</f>
        <v/>
      </c>
      <c r="D294" s="32">
        <f>SUBSTITUTE(SUBSTITUTE(SUBSTITUTE(SUBSTITUTE(SUBSTITUTE(SUBSTITUTE(SUBSTITUTE(SUBSTITUTE(C294," ",""),"-",""),"(",""),")",""),".",""),"+",""),"/",""),CHAR(160),"")</f>
        <v/>
      </c>
      <c r="E294" s="32">
        <f>IF(LEN(D294)&gt;=10,RIGHT(D294,10),D294)</f>
        <v/>
      </c>
      <c r="F294" s="32">
        <f>IF(B294="","",TRIM(INDEX('Form Responses'!$D:$D,ROW())&amp;""))</f>
        <v/>
      </c>
      <c r="G294" s="32">
        <f>IF(B294="","",IF(LEFT(TRIM(INDEX('Form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4" s="32">
        <f>IF(B294="","",MAX(0,IFERROR(INT(--(INDEX('Form Responses'!$F:$F,ROW())&amp;"")),1)))</f>
        <v/>
      </c>
      <c r="I294" s="32">
        <f>IF(B294="","",MAX(0,IFERROR(INT(--(INDEX('Form Responses'!$G:$G,ROW())&amp;"")),0)))</f>
        <v/>
      </c>
      <c r="J294" s="32">
        <f>IF(B294="","",TRIM(INDEX('Form Responses'!$H:$H,ROW())&amp;""))</f>
        <v/>
      </c>
      <c r="K294" s="32">
        <f>IF(B294="","",TRIM(INDEX('Form Responses'!$I:$I,ROW())&amp;""))</f>
        <v/>
      </c>
      <c r="L294" s="32">
        <f>IF(B294="","",TRIM(INDEX('Form Responses'!$J:$J,ROW())&amp;""))</f>
        <v/>
      </c>
      <c r="M294" s="32">
        <f>IF(B294="","",TRIM(INDEX('Form Responses'!$K:$K,ROW())&amp;""))</f>
        <v/>
      </c>
      <c r="N294" s="32">
        <f>IF(B294="","",IF(E294&lt;&gt;"","P"&amp;E294,"N"&amp;B294))</f>
        <v/>
      </c>
      <c r="O294" s="32">
        <f>IF(N294="",0,IF(COUNTIF(N295:N$602,N294)=0,1,0))</f>
        <v/>
      </c>
      <c r="P294" s="32">
        <f>IF(AND(O294=1,E294&lt;&gt;""),E294,"")</f>
        <v/>
      </c>
      <c r="Q294" s="32">
        <f>IF(O294=1,B294,"")</f>
        <v/>
      </c>
      <c r="R294" s="32">
        <f>IF(O294&lt;&gt;1,"",IF(E294&lt;&gt;"",IFERROR(MATCH(E294,Guests!$S$6:$S$505,0)+5,IFERROR(MATCH(B294,Guests!$A$6:$A$505,0)+5,"")),IFERROR(MATCH(B294,Guests!$A$6:$A$505,0)+5,"")))</f>
        <v/>
      </c>
      <c r="S294" s="32">
        <f>IF(R294="","",TRIM(INDEX(Guests!$E$1:$E$505,R294)&amp;""))</f>
        <v/>
      </c>
      <c r="T294" s="32">
        <f>IF(R294="","",IF(S294="",1,COUNTIF(Guests!$E$6:$E$505,S294)))</f>
        <v/>
      </c>
      <c r="U294" s="32">
        <f>IF(R294="","",IF(S294="",1,IF(COUNTIF(S$1:S293,S294)=0,1,0)))</f>
        <v/>
      </c>
      <c r="V294" s="32">
        <f>IF(AND(R294&lt;&gt;"",G294="Attending",U294=1),MAX(0,H294+I294-T294),0)</f>
        <v/>
      </c>
      <c r="W294" s="32">
        <f>IF(AND(O294=1,R294=""),1,0)</f>
        <v/>
      </c>
      <c r="X294" s="32">
        <f>IF(B294="",0,H294+I294)</f>
        <v/>
      </c>
      <c r="Y294" s="32">
        <f>N(Y293)+O294</f>
        <v/>
      </c>
      <c r="Z294" s="32">
        <f>IF(O294=1,Y294,"")</f>
        <v/>
      </c>
      <c r="AA294" s="32">
        <f>IF(AND(W294=1,G294="Not sure yet"),1,0)</f>
        <v/>
      </c>
      <c r="AB294" s="32">
        <f>N(AB293)+AA294</f>
        <v/>
      </c>
      <c r="AC294" s="32">
        <f>IF(AA294=1,AB294,"")</f>
        <v/>
      </c>
      <c r="AD294" s="32">
        <f>IF(D294="","",IF(LEN(D294)=10,"+1"&amp;D294,IF(AND(LEN(D294)=11,LEFT(D294,1)="1"),"+"&amp;D294,IF(LEFT(C294,1)="+","+"&amp;D294,D294))))</f>
        <v/>
      </c>
      <c r="AE294" s="32">
        <f>IF(B294="","",PROPER(IFERROR(LEFT(B294,FIND(" ",B294)-1),B294)))</f>
        <v/>
      </c>
      <c r="AF294" s="32">
        <f>SUBSTITUTE(SUBSTITUTE(SUBSTITUTE(SUBSTITUTE(SUBSTITUTE(SUBSTITUTE(SUBSTITUTE(SUBSTITUTE(SUBSTITUTE(SUBSTITUTE(AE294,"%","%25"),"&amp;","%26"),"#","%23"),"+","%2B"),"=","%3D"),"?","%3F"),CHAR(34),"%22"),CHAR(10),"%0A"),CHAR(13),"")," ","+")</f>
        <v/>
      </c>
      <c r="AG294" s="32">
        <f>IF(OR(AD294="",AE294=""),"",'Start Here'!$B$20&amp;"#p="&amp;SUBSTITUTE(AD294,"+","%2B")&amp;"&amp;n="&amp;AF294&amp;"&amp;m="&amp;SUBSTITUTE('Start Here'!$B$24,"{name}",AF294))</f>
        <v/>
      </c>
      <c r="AH294" s="32">
        <f>N(AH293)+W294</f>
        <v/>
      </c>
      <c r="AI294" s="32">
        <f>IF(W294=1,AH294,"")</f>
        <v/>
      </c>
    </row>
    <row r="295">
      <c r="A295" s="32">
        <f>IF(INDEX('Form Responses'!$A:$A,ROW())="","",INDEX('Form Responses'!$A:$A,ROW()))</f>
        <v/>
      </c>
      <c r="B295" s="32">
        <f>TRIM(INDEX('Form Responses'!$B:$B,ROW())&amp;"")</f>
        <v/>
      </c>
      <c r="C295" s="32">
        <f>IF(B295="","",TRIM(INDEX('Form Responses'!$C:$C,ROW())&amp;""))</f>
        <v/>
      </c>
      <c r="D295" s="32">
        <f>SUBSTITUTE(SUBSTITUTE(SUBSTITUTE(SUBSTITUTE(SUBSTITUTE(SUBSTITUTE(SUBSTITUTE(SUBSTITUTE(C295," ",""),"-",""),"(",""),")",""),".",""),"+",""),"/",""),CHAR(160),"")</f>
        <v/>
      </c>
      <c r="E295" s="32">
        <f>IF(LEN(D295)&gt;=10,RIGHT(D295,10),D295)</f>
        <v/>
      </c>
      <c r="F295" s="32">
        <f>IF(B295="","",TRIM(INDEX('Form Responses'!$D:$D,ROW())&amp;""))</f>
        <v/>
      </c>
      <c r="G295" s="32">
        <f>IF(B295="","",IF(LEFT(TRIM(INDEX('Form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5" s="32">
        <f>IF(B295="","",MAX(0,IFERROR(INT(--(INDEX('Form Responses'!$F:$F,ROW())&amp;"")),1)))</f>
        <v/>
      </c>
      <c r="I295" s="32">
        <f>IF(B295="","",MAX(0,IFERROR(INT(--(INDEX('Form Responses'!$G:$G,ROW())&amp;"")),0)))</f>
        <v/>
      </c>
      <c r="J295" s="32">
        <f>IF(B295="","",TRIM(INDEX('Form Responses'!$H:$H,ROW())&amp;""))</f>
        <v/>
      </c>
      <c r="K295" s="32">
        <f>IF(B295="","",TRIM(INDEX('Form Responses'!$I:$I,ROW())&amp;""))</f>
        <v/>
      </c>
      <c r="L295" s="32">
        <f>IF(B295="","",TRIM(INDEX('Form Responses'!$J:$J,ROW())&amp;""))</f>
        <v/>
      </c>
      <c r="M295" s="32">
        <f>IF(B295="","",TRIM(INDEX('Form Responses'!$K:$K,ROW())&amp;""))</f>
        <v/>
      </c>
      <c r="N295" s="32">
        <f>IF(B295="","",IF(E295&lt;&gt;"","P"&amp;E295,"N"&amp;B295))</f>
        <v/>
      </c>
      <c r="O295" s="32">
        <f>IF(N295="",0,IF(COUNTIF(N296:N$602,N295)=0,1,0))</f>
        <v/>
      </c>
      <c r="P295" s="32">
        <f>IF(AND(O295=1,E295&lt;&gt;""),E295,"")</f>
        <v/>
      </c>
      <c r="Q295" s="32">
        <f>IF(O295=1,B295,"")</f>
        <v/>
      </c>
      <c r="R295" s="32">
        <f>IF(O295&lt;&gt;1,"",IF(E295&lt;&gt;"",IFERROR(MATCH(E295,Guests!$S$6:$S$505,0)+5,IFERROR(MATCH(B295,Guests!$A$6:$A$505,0)+5,"")),IFERROR(MATCH(B295,Guests!$A$6:$A$505,0)+5,"")))</f>
        <v/>
      </c>
      <c r="S295" s="32">
        <f>IF(R295="","",TRIM(INDEX(Guests!$E$1:$E$505,R295)&amp;""))</f>
        <v/>
      </c>
      <c r="T295" s="32">
        <f>IF(R295="","",IF(S295="",1,COUNTIF(Guests!$E$6:$E$505,S295)))</f>
        <v/>
      </c>
      <c r="U295" s="32">
        <f>IF(R295="","",IF(S295="",1,IF(COUNTIF(S$1:S294,S295)=0,1,0)))</f>
        <v/>
      </c>
      <c r="V295" s="32">
        <f>IF(AND(R295&lt;&gt;"",G295="Attending",U295=1),MAX(0,H295+I295-T295),0)</f>
        <v/>
      </c>
      <c r="W295" s="32">
        <f>IF(AND(O295=1,R295=""),1,0)</f>
        <v/>
      </c>
      <c r="X295" s="32">
        <f>IF(B295="",0,H295+I295)</f>
        <v/>
      </c>
      <c r="Y295" s="32">
        <f>N(Y294)+O295</f>
        <v/>
      </c>
      <c r="Z295" s="32">
        <f>IF(O295=1,Y295,"")</f>
        <v/>
      </c>
      <c r="AA295" s="32">
        <f>IF(AND(W295=1,G295="Not sure yet"),1,0)</f>
        <v/>
      </c>
      <c r="AB295" s="32">
        <f>N(AB294)+AA295</f>
        <v/>
      </c>
      <c r="AC295" s="32">
        <f>IF(AA295=1,AB295,"")</f>
        <v/>
      </c>
      <c r="AD295" s="32">
        <f>IF(D295="","",IF(LEN(D295)=10,"+1"&amp;D295,IF(AND(LEN(D295)=11,LEFT(D295,1)="1"),"+"&amp;D295,IF(LEFT(C295,1)="+","+"&amp;D295,D295))))</f>
        <v/>
      </c>
      <c r="AE295" s="32">
        <f>IF(B295="","",PROPER(IFERROR(LEFT(B295,FIND(" ",B295)-1),B295)))</f>
        <v/>
      </c>
      <c r="AF295" s="32">
        <f>SUBSTITUTE(SUBSTITUTE(SUBSTITUTE(SUBSTITUTE(SUBSTITUTE(SUBSTITUTE(SUBSTITUTE(SUBSTITUTE(SUBSTITUTE(SUBSTITUTE(AE295,"%","%25"),"&amp;","%26"),"#","%23"),"+","%2B"),"=","%3D"),"?","%3F"),CHAR(34),"%22"),CHAR(10),"%0A"),CHAR(13),"")," ","+")</f>
        <v/>
      </c>
      <c r="AG295" s="32">
        <f>IF(OR(AD295="",AE295=""),"",'Start Here'!$B$20&amp;"#p="&amp;SUBSTITUTE(AD295,"+","%2B")&amp;"&amp;n="&amp;AF295&amp;"&amp;m="&amp;SUBSTITUTE('Start Here'!$B$24,"{name}",AF295))</f>
        <v/>
      </c>
      <c r="AH295" s="32">
        <f>N(AH294)+W295</f>
        <v/>
      </c>
      <c r="AI295" s="32">
        <f>IF(W295=1,AH295,"")</f>
        <v/>
      </c>
    </row>
    <row r="296">
      <c r="A296" s="32">
        <f>IF(INDEX('Form Responses'!$A:$A,ROW())="","",INDEX('Form Responses'!$A:$A,ROW()))</f>
        <v/>
      </c>
      <c r="B296" s="32">
        <f>TRIM(INDEX('Form Responses'!$B:$B,ROW())&amp;"")</f>
        <v/>
      </c>
      <c r="C296" s="32">
        <f>IF(B296="","",TRIM(INDEX('Form Responses'!$C:$C,ROW())&amp;""))</f>
        <v/>
      </c>
      <c r="D296" s="32">
        <f>SUBSTITUTE(SUBSTITUTE(SUBSTITUTE(SUBSTITUTE(SUBSTITUTE(SUBSTITUTE(SUBSTITUTE(SUBSTITUTE(C296," ",""),"-",""),"(",""),")",""),".",""),"+",""),"/",""),CHAR(160),"")</f>
        <v/>
      </c>
      <c r="E296" s="32">
        <f>IF(LEN(D296)&gt;=10,RIGHT(D296,10),D296)</f>
        <v/>
      </c>
      <c r="F296" s="32">
        <f>IF(B296="","",TRIM(INDEX('Form Responses'!$D:$D,ROW())&amp;""))</f>
        <v/>
      </c>
      <c r="G296" s="32">
        <f>IF(B296="","",IF(LEFT(TRIM(INDEX('Form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6" s="32">
        <f>IF(B296="","",MAX(0,IFERROR(INT(--(INDEX('Form Responses'!$F:$F,ROW())&amp;"")),1)))</f>
        <v/>
      </c>
      <c r="I296" s="32">
        <f>IF(B296="","",MAX(0,IFERROR(INT(--(INDEX('Form Responses'!$G:$G,ROW())&amp;"")),0)))</f>
        <v/>
      </c>
      <c r="J296" s="32">
        <f>IF(B296="","",TRIM(INDEX('Form Responses'!$H:$H,ROW())&amp;""))</f>
        <v/>
      </c>
      <c r="K296" s="32">
        <f>IF(B296="","",TRIM(INDEX('Form Responses'!$I:$I,ROW())&amp;""))</f>
        <v/>
      </c>
      <c r="L296" s="32">
        <f>IF(B296="","",TRIM(INDEX('Form Responses'!$J:$J,ROW())&amp;""))</f>
        <v/>
      </c>
      <c r="M296" s="32">
        <f>IF(B296="","",TRIM(INDEX('Form Responses'!$K:$K,ROW())&amp;""))</f>
        <v/>
      </c>
      <c r="N296" s="32">
        <f>IF(B296="","",IF(E296&lt;&gt;"","P"&amp;E296,"N"&amp;B296))</f>
        <v/>
      </c>
      <c r="O296" s="32">
        <f>IF(N296="",0,IF(COUNTIF(N297:N$602,N296)=0,1,0))</f>
        <v/>
      </c>
      <c r="P296" s="32">
        <f>IF(AND(O296=1,E296&lt;&gt;""),E296,"")</f>
        <v/>
      </c>
      <c r="Q296" s="32">
        <f>IF(O296=1,B296,"")</f>
        <v/>
      </c>
      <c r="R296" s="32">
        <f>IF(O296&lt;&gt;1,"",IF(E296&lt;&gt;"",IFERROR(MATCH(E296,Guests!$S$6:$S$505,0)+5,IFERROR(MATCH(B296,Guests!$A$6:$A$505,0)+5,"")),IFERROR(MATCH(B296,Guests!$A$6:$A$505,0)+5,"")))</f>
        <v/>
      </c>
      <c r="S296" s="32">
        <f>IF(R296="","",TRIM(INDEX(Guests!$E$1:$E$505,R296)&amp;""))</f>
        <v/>
      </c>
      <c r="T296" s="32">
        <f>IF(R296="","",IF(S296="",1,COUNTIF(Guests!$E$6:$E$505,S296)))</f>
        <v/>
      </c>
      <c r="U296" s="32">
        <f>IF(R296="","",IF(S296="",1,IF(COUNTIF(S$1:S295,S296)=0,1,0)))</f>
        <v/>
      </c>
      <c r="V296" s="32">
        <f>IF(AND(R296&lt;&gt;"",G296="Attending",U296=1),MAX(0,H296+I296-T296),0)</f>
        <v/>
      </c>
      <c r="W296" s="32">
        <f>IF(AND(O296=1,R296=""),1,0)</f>
        <v/>
      </c>
      <c r="X296" s="32">
        <f>IF(B296="",0,H296+I296)</f>
        <v/>
      </c>
      <c r="Y296" s="32">
        <f>N(Y295)+O296</f>
        <v/>
      </c>
      <c r="Z296" s="32">
        <f>IF(O296=1,Y296,"")</f>
        <v/>
      </c>
      <c r="AA296" s="32">
        <f>IF(AND(W296=1,G296="Not sure yet"),1,0)</f>
        <v/>
      </c>
      <c r="AB296" s="32">
        <f>N(AB295)+AA296</f>
        <v/>
      </c>
      <c r="AC296" s="32">
        <f>IF(AA296=1,AB296,"")</f>
        <v/>
      </c>
      <c r="AD296" s="32">
        <f>IF(D296="","",IF(LEN(D296)=10,"+1"&amp;D296,IF(AND(LEN(D296)=11,LEFT(D296,1)="1"),"+"&amp;D296,IF(LEFT(C296,1)="+","+"&amp;D296,D296))))</f>
        <v/>
      </c>
      <c r="AE296" s="32">
        <f>IF(B296="","",PROPER(IFERROR(LEFT(B296,FIND(" ",B296)-1),B296)))</f>
        <v/>
      </c>
      <c r="AF296" s="32">
        <f>SUBSTITUTE(SUBSTITUTE(SUBSTITUTE(SUBSTITUTE(SUBSTITUTE(SUBSTITUTE(SUBSTITUTE(SUBSTITUTE(SUBSTITUTE(SUBSTITUTE(AE296,"%","%25"),"&amp;","%26"),"#","%23"),"+","%2B"),"=","%3D"),"?","%3F"),CHAR(34),"%22"),CHAR(10),"%0A"),CHAR(13),"")," ","+")</f>
        <v/>
      </c>
      <c r="AG296" s="32">
        <f>IF(OR(AD296="",AE296=""),"",'Start Here'!$B$20&amp;"#p="&amp;SUBSTITUTE(AD296,"+","%2B")&amp;"&amp;n="&amp;AF296&amp;"&amp;m="&amp;SUBSTITUTE('Start Here'!$B$24,"{name}",AF296))</f>
        <v/>
      </c>
      <c r="AH296" s="32">
        <f>N(AH295)+W296</f>
        <v/>
      </c>
      <c r="AI296" s="32">
        <f>IF(W296=1,AH296,"")</f>
        <v/>
      </c>
    </row>
    <row r="297">
      <c r="A297" s="32">
        <f>IF(INDEX('Form Responses'!$A:$A,ROW())="","",INDEX('Form Responses'!$A:$A,ROW()))</f>
        <v/>
      </c>
      <c r="B297" s="32">
        <f>TRIM(INDEX('Form Responses'!$B:$B,ROW())&amp;"")</f>
        <v/>
      </c>
      <c r="C297" s="32">
        <f>IF(B297="","",TRIM(INDEX('Form Responses'!$C:$C,ROW())&amp;""))</f>
        <v/>
      </c>
      <c r="D297" s="32">
        <f>SUBSTITUTE(SUBSTITUTE(SUBSTITUTE(SUBSTITUTE(SUBSTITUTE(SUBSTITUTE(SUBSTITUTE(SUBSTITUTE(C297," ",""),"-",""),"(",""),")",""),".",""),"+",""),"/",""),CHAR(160),"")</f>
        <v/>
      </c>
      <c r="E297" s="32">
        <f>IF(LEN(D297)&gt;=10,RIGHT(D297,10),D297)</f>
        <v/>
      </c>
      <c r="F297" s="32">
        <f>IF(B297="","",TRIM(INDEX('Form Responses'!$D:$D,ROW())&amp;""))</f>
        <v/>
      </c>
      <c r="G297" s="32">
        <f>IF(B297="","",IF(LEFT(TRIM(INDEX('Form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7" s="32">
        <f>IF(B297="","",MAX(0,IFERROR(INT(--(INDEX('Form Responses'!$F:$F,ROW())&amp;"")),1)))</f>
        <v/>
      </c>
      <c r="I297" s="32">
        <f>IF(B297="","",MAX(0,IFERROR(INT(--(INDEX('Form Responses'!$G:$G,ROW())&amp;"")),0)))</f>
        <v/>
      </c>
      <c r="J297" s="32">
        <f>IF(B297="","",TRIM(INDEX('Form Responses'!$H:$H,ROW())&amp;""))</f>
        <v/>
      </c>
      <c r="K297" s="32">
        <f>IF(B297="","",TRIM(INDEX('Form Responses'!$I:$I,ROW())&amp;""))</f>
        <v/>
      </c>
      <c r="L297" s="32">
        <f>IF(B297="","",TRIM(INDEX('Form Responses'!$J:$J,ROW())&amp;""))</f>
        <v/>
      </c>
      <c r="M297" s="32">
        <f>IF(B297="","",TRIM(INDEX('Form Responses'!$K:$K,ROW())&amp;""))</f>
        <v/>
      </c>
      <c r="N297" s="32">
        <f>IF(B297="","",IF(E297&lt;&gt;"","P"&amp;E297,"N"&amp;B297))</f>
        <v/>
      </c>
      <c r="O297" s="32">
        <f>IF(N297="",0,IF(COUNTIF(N298:N$602,N297)=0,1,0))</f>
        <v/>
      </c>
      <c r="P297" s="32">
        <f>IF(AND(O297=1,E297&lt;&gt;""),E297,"")</f>
        <v/>
      </c>
      <c r="Q297" s="32">
        <f>IF(O297=1,B297,"")</f>
        <v/>
      </c>
      <c r="R297" s="32">
        <f>IF(O297&lt;&gt;1,"",IF(E297&lt;&gt;"",IFERROR(MATCH(E297,Guests!$S$6:$S$505,0)+5,IFERROR(MATCH(B297,Guests!$A$6:$A$505,0)+5,"")),IFERROR(MATCH(B297,Guests!$A$6:$A$505,0)+5,"")))</f>
        <v/>
      </c>
      <c r="S297" s="32">
        <f>IF(R297="","",TRIM(INDEX(Guests!$E$1:$E$505,R297)&amp;""))</f>
        <v/>
      </c>
      <c r="T297" s="32">
        <f>IF(R297="","",IF(S297="",1,COUNTIF(Guests!$E$6:$E$505,S297)))</f>
        <v/>
      </c>
      <c r="U297" s="32">
        <f>IF(R297="","",IF(S297="",1,IF(COUNTIF(S$1:S296,S297)=0,1,0)))</f>
        <v/>
      </c>
      <c r="V297" s="32">
        <f>IF(AND(R297&lt;&gt;"",G297="Attending",U297=1),MAX(0,H297+I297-T297),0)</f>
        <v/>
      </c>
      <c r="W297" s="32">
        <f>IF(AND(O297=1,R297=""),1,0)</f>
        <v/>
      </c>
      <c r="X297" s="32">
        <f>IF(B297="",0,H297+I297)</f>
        <v/>
      </c>
      <c r="Y297" s="32">
        <f>N(Y296)+O297</f>
        <v/>
      </c>
      <c r="Z297" s="32">
        <f>IF(O297=1,Y297,"")</f>
        <v/>
      </c>
      <c r="AA297" s="32">
        <f>IF(AND(W297=1,G297="Not sure yet"),1,0)</f>
        <v/>
      </c>
      <c r="AB297" s="32">
        <f>N(AB296)+AA297</f>
        <v/>
      </c>
      <c r="AC297" s="32">
        <f>IF(AA297=1,AB297,"")</f>
        <v/>
      </c>
      <c r="AD297" s="32">
        <f>IF(D297="","",IF(LEN(D297)=10,"+1"&amp;D297,IF(AND(LEN(D297)=11,LEFT(D297,1)="1"),"+"&amp;D297,IF(LEFT(C297,1)="+","+"&amp;D297,D297))))</f>
        <v/>
      </c>
      <c r="AE297" s="32">
        <f>IF(B297="","",PROPER(IFERROR(LEFT(B297,FIND(" ",B297)-1),B297)))</f>
        <v/>
      </c>
      <c r="AF297" s="32">
        <f>SUBSTITUTE(SUBSTITUTE(SUBSTITUTE(SUBSTITUTE(SUBSTITUTE(SUBSTITUTE(SUBSTITUTE(SUBSTITUTE(SUBSTITUTE(SUBSTITUTE(AE297,"%","%25"),"&amp;","%26"),"#","%23"),"+","%2B"),"=","%3D"),"?","%3F"),CHAR(34),"%22"),CHAR(10),"%0A"),CHAR(13),"")," ","+")</f>
        <v/>
      </c>
      <c r="AG297" s="32">
        <f>IF(OR(AD297="",AE297=""),"",'Start Here'!$B$20&amp;"#p="&amp;SUBSTITUTE(AD297,"+","%2B")&amp;"&amp;n="&amp;AF297&amp;"&amp;m="&amp;SUBSTITUTE('Start Here'!$B$24,"{name}",AF297))</f>
        <v/>
      </c>
      <c r="AH297" s="32">
        <f>N(AH296)+W297</f>
        <v/>
      </c>
      <c r="AI297" s="32">
        <f>IF(W297=1,AH297,"")</f>
        <v/>
      </c>
    </row>
    <row r="298">
      <c r="A298" s="32">
        <f>IF(INDEX('Form Responses'!$A:$A,ROW())="","",INDEX('Form Responses'!$A:$A,ROW()))</f>
        <v/>
      </c>
      <c r="B298" s="32">
        <f>TRIM(INDEX('Form Responses'!$B:$B,ROW())&amp;"")</f>
        <v/>
      </c>
      <c r="C298" s="32">
        <f>IF(B298="","",TRIM(INDEX('Form Responses'!$C:$C,ROW())&amp;""))</f>
        <v/>
      </c>
      <c r="D298" s="32">
        <f>SUBSTITUTE(SUBSTITUTE(SUBSTITUTE(SUBSTITUTE(SUBSTITUTE(SUBSTITUTE(SUBSTITUTE(SUBSTITUTE(C298," ",""),"-",""),"(",""),")",""),".",""),"+",""),"/",""),CHAR(160),"")</f>
        <v/>
      </c>
      <c r="E298" s="32">
        <f>IF(LEN(D298)&gt;=10,RIGHT(D298,10),D298)</f>
        <v/>
      </c>
      <c r="F298" s="32">
        <f>IF(B298="","",TRIM(INDEX('Form Responses'!$D:$D,ROW())&amp;""))</f>
        <v/>
      </c>
      <c r="G298" s="32">
        <f>IF(B298="","",IF(LEFT(TRIM(INDEX('Form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8" s="32">
        <f>IF(B298="","",MAX(0,IFERROR(INT(--(INDEX('Form Responses'!$F:$F,ROW())&amp;"")),1)))</f>
        <v/>
      </c>
      <c r="I298" s="32">
        <f>IF(B298="","",MAX(0,IFERROR(INT(--(INDEX('Form Responses'!$G:$G,ROW())&amp;"")),0)))</f>
        <v/>
      </c>
      <c r="J298" s="32">
        <f>IF(B298="","",TRIM(INDEX('Form Responses'!$H:$H,ROW())&amp;""))</f>
        <v/>
      </c>
      <c r="K298" s="32">
        <f>IF(B298="","",TRIM(INDEX('Form Responses'!$I:$I,ROW())&amp;""))</f>
        <v/>
      </c>
      <c r="L298" s="32">
        <f>IF(B298="","",TRIM(INDEX('Form Responses'!$J:$J,ROW())&amp;""))</f>
        <v/>
      </c>
      <c r="M298" s="32">
        <f>IF(B298="","",TRIM(INDEX('Form Responses'!$K:$K,ROW())&amp;""))</f>
        <v/>
      </c>
      <c r="N298" s="32">
        <f>IF(B298="","",IF(E298&lt;&gt;"","P"&amp;E298,"N"&amp;B298))</f>
        <v/>
      </c>
      <c r="O298" s="32">
        <f>IF(N298="",0,IF(COUNTIF(N299:N$602,N298)=0,1,0))</f>
        <v/>
      </c>
      <c r="P298" s="32">
        <f>IF(AND(O298=1,E298&lt;&gt;""),E298,"")</f>
        <v/>
      </c>
      <c r="Q298" s="32">
        <f>IF(O298=1,B298,"")</f>
        <v/>
      </c>
      <c r="R298" s="32">
        <f>IF(O298&lt;&gt;1,"",IF(E298&lt;&gt;"",IFERROR(MATCH(E298,Guests!$S$6:$S$505,0)+5,IFERROR(MATCH(B298,Guests!$A$6:$A$505,0)+5,"")),IFERROR(MATCH(B298,Guests!$A$6:$A$505,0)+5,"")))</f>
        <v/>
      </c>
      <c r="S298" s="32">
        <f>IF(R298="","",TRIM(INDEX(Guests!$E$1:$E$505,R298)&amp;""))</f>
        <v/>
      </c>
      <c r="T298" s="32">
        <f>IF(R298="","",IF(S298="",1,COUNTIF(Guests!$E$6:$E$505,S298)))</f>
        <v/>
      </c>
      <c r="U298" s="32">
        <f>IF(R298="","",IF(S298="",1,IF(COUNTIF(S$1:S297,S298)=0,1,0)))</f>
        <v/>
      </c>
      <c r="V298" s="32">
        <f>IF(AND(R298&lt;&gt;"",G298="Attending",U298=1),MAX(0,H298+I298-T298),0)</f>
        <v/>
      </c>
      <c r="W298" s="32">
        <f>IF(AND(O298=1,R298=""),1,0)</f>
        <v/>
      </c>
      <c r="X298" s="32">
        <f>IF(B298="",0,H298+I298)</f>
        <v/>
      </c>
      <c r="Y298" s="32">
        <f>N(Y297)+O298</f>
        <v/>
      </c>
      <c r="Z298" s="32">
        <f>IF(O298=1,Y298,"")</f>
        <v/>
      </c>
      <c r="AA298" s="32">
        <f>IF(AND(W298=1,G298="Not sure yet"),1,0)</f>
        <v/>
      </c>
      <c r="AB298" s="32">
        <f>N(AB297)+AA298</f>
        <v/>
      </c>
      <c r="AC298" s="32">
        <f>IF(AA298=1,AB298,"")</f>
        <v/>
      </c>
      <c r="AD298" s="32">
        <f>IF(D298="","",IF(LEN(D298)=10,"+1"&amp;D298,IF(AND(LEN(D298)=11,LEFT(D298,1)="1"),"+"&amp;D298,IF(LEFT(C298,1)="+","+"&amp;D298,D298))))</f>
        <v/>
      </c>
      <c r="AE298" s="32">
        <f>IF(B298="","",PROPER(IFERROR(LEFT(B298,FIND(" ",B298)-1),B298)))</f>
        <v/>
      </c>
      <c r="AF298" s="32">
        <f>SUBSTITUTE(SUBSTITUTE(SUBSTITUTE(SUBSTITUTE(SUBSTITUTE(SUBSTITUTE(SUBSTITUTE(SUBSTITUTE(SUBSTITUTE(SUBSTITUTE(AE298,"%","%25"),"&amp;","%26"),"#","%23"),"+","%2B"),"=","%3D"),"?","%3F"),CHAR(34),"%22"),CHAR(10),"%0A"),CHAR(13),"")," ","+")</f>
        <v/>
      </c>
      <c r="AG298" s="32">
        <f>IF(OR(AD298="",AE298=""),"",'Start Here'!$B$20&amp;"#p="&amp;SUBSTITUTE(AD298,"+","%2B")&amp;"&amp;n="&amp;AF298&amp;"&amp;m="&amp;SUBSTITUTE('Start Here'!$B$24,"{name}",AF298))</f>
        <v/>
      </c>
      <c r="AH298" s="32">
        <f>N(AH297)+W298</f>
        <v/>
      </c>
      <c r="AI298" s="32">
        <f>IF(W298=1,AH298,"")</f>
        <v/>
      </c>
    </row>
    <row r="299">
      <c r="A299" s="32">
        <f>IF(INDEX('Form Responses'!$A:$A,ROW())="","",INDEX('Form Responses'!$A:$A,ROW()))</f>
        <v/>
      </c>
      <c r="B299" s="32">
        <f>TRIM(INDEX('Form Responses'!$B:$B,ROW())&amp;"")</f>
        <v/>
      </c>
      <c r="C299" s="32">
        <f>IF(B299="","",TRIM(INDEX('Form Responses'!$C:$C,ROW())&amp;""))</f>
        <v/>
      </c>
      <c r="D299" s="32">
        <f>SUBSTITUTE(SUBSTITUTE(SUBSTITUTE(SUBSTITUTE(SUBSTITUTE(SUBSTITUTE(SUBSTITUTE(SUBSTITUTE(C299," ",""),"-",""),"(",""),")",""),".",""),"+",""),"/",""),CHAR(160),"")</f>
        <v/>
      </c>
      <c r="E299" s="32">
        <f>IF(LEN(D299)&gt;=10,RIGHT(D299,10),D299)</f>
        <v/>
      </c>
      <c r="F299" s="32">
        <f>IF(B299="","",TRIM(INDEX('Form Responses'!$D:$D,ROW())&amp;""))</f>
        <v/>
      </c>
      <c r="G299" s="32">
        <f>IF(B299="","",IF(LEFT(TRIM(INDEX('Form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299" s="32">
        <f>IF(B299="","",MAX(0,IFERROR(INT(--(INDEX('Form Responses'!$F:$F,ROW())&amp;"")),1)))</f>
        <v/>
      </c>
      <c r="I299" s="32">
        <f>IF(B299="","",MAX(0,IFERROR(INT(--(INDEX('Form Responses'!$G:$G,ROW())&amp;"")),0)))</f>
        <v/>
      </c>
      <c r="J299" s="32">
        <f>IF(B299="","",TRIM(INDEX('Form Responses'!$H:$H,ROW())&amp;""))</f>
        <v/>
      </c>
      <c r="K299" s="32">
        <f>IF(B299="","",TRIM(INDEX('Form Responses'!$I:$I,ROW())&amp;""))</f>
        <v/>
      </c>
      <c r="L299" s="32">
        <f>IF(B299="","",TRIM(INDEX('Form Responses'!$J:$J,ROW())&amp;""))</f>
        <v/>
      </c>
      <c r="M299" s="32">
        <f>IF(B299="","",TRIM(INDEX('Form Responses'!$K:$K,ROW())&amp;""))</f>
        <v/>
      </c>
      <c r="N299" s="32">
        <f>IF(B299="","",IF(E299&lt;&gt;"","P"&amp;E299,"N"&amp;B299))</f>
        <v/>
      </c>
      <c r="O299" s="32">
        <f>IF(N299="",0,IF(COUNTIF(N300:N$602,N299)=0,1,0))</f>
        <v/>
      </c>
      <c r="P299" s="32">
        <f>IF(AND(O299=1,E299&lt;&gt;""),E299,"")</f>
        <v/>
      </c>
      <c r="Q299" s="32">
        <f>IF(O299=1,B299,"")</f>
        <v/>
      </c>
      <c r="R299" s="32">
        <f>IF(O299&lt;&gt;1,"",IF(E299&lt;&gt;"",IFERROR(MATCH(E299,Guests!$S$6:$S$505,0)+5,IFERROR(MATCH(B299,Guests!$A$6:$A$505,0)+5,"")),IFERROR(MATCH(B299,Guests!$A$6:$A$505,0)+5,"")))</f>
        <v/>
      </c>
      <c r="S299" s="32">
        <f>IF(R299="","",TRIM(INDEX(Guests!$E$1:$E$505,R299)&amp;""))</f>
        <v/>
      </c>
      <c r="T299" s="32">
        <f>IF(R299="","",IF(S299="",1,COUNTIF(Guests!$E$6:$E$505,S299)))</f>
        <v/>
      </c>
      <c r="U299" s="32">
        <f>IF(R299="","",IF(S299="",1,IF(COUNTIF(S$1:S298,S299)=0,1,0)))</f>
        <v/>
      </c>
      <c r="V299" s="32">
        <f>IF(AND(R299&lt;&gt;"",G299="Attending",U299=1),MAX(0,H299+I299-T299),0)</f>
        <v/>
      </c>
      <c r="W299" s="32">
        <f>IF(AND(O299=1,R299=""),1,0)</f>
        <v/>
      </c>
      <c r="X299" s="32">
        <f>IF(B299="",0,H299+I299)</f>
        <v/>
      </c>
      <c r="Y299" s="32">
        <f>N(Y298)+O299</f>
        <v/>
      </c>
      <c r="Z299" s="32">
        <f>IF(O299=1,Y299,"")</f>
        <v/>
      </c>
      <c r="AA299" s="32">
        <f>IF(AND(W299=1,G299="Not sure yet"),1,0)</f>
        <v/>
      </c>
      <c r="AB299" s="32">
        <f>N(AB298)+AA299</f>
        <v/>
      </c>
      <c r="AC299" s="32">
        <f>IF(AA299=1,AB299,"")</f>
        <v/>
      </c>
      <c r="AD299" s="32">
        <f>IF(D299="","",IF(LEN(D299)=10,"+1"&amp;D299,IF(AND(LEN(D299)=11,LEFT(D299,1)="1"),"+"&amp;D299,IF(LEFT(C299,1)="+","+"&amp;D299,D299))))</f>
        <v/>
      </c>
      <c r="AE299" s="32">
        <f>IF(B299="","",PROPER(IFERROR(LEFT(B299,FIND(" ",B299)-1),B299)))</f>
        <v/>
      </c>
      <c r="AF299" s="32">
        <f>SUBSTITUTE(SUBSTITUTE(SUBSTITUTE(SUBSTITUTE(SUBSTITUTE(SUBSTITUTE(SUBSTITUTE(SUBSTITUTE(SUBSTITUTE(SUBSTITUTE(AE299,"%","%25"),"&amp;","%26"),"#","%23"),"+","%2B"),"=","%3D"),"?","%3F"),CHAR(34),"%22"),CHAR(10),"%0A"),CHAR(13),"")," ","+")</f>
        <v/>
      </c>
      <c r="AG299" s="32">
        <f>IF(OR(AD299="",AE299=""),"",'Start Here'!$B$20&amp;"#p="&amp;SUBSTITUTE(AD299,"+","%2B")&amp;"&amp;n="&amp;AF299&amp;"&amp;m="&amp;SUBSTITUTE('Start Here'!$B$24,"{name}",AF299))</f>
        <v/>
      </c>
      <c r="AH299" s="32">
        <f>N(AH298)+W299</f>
        <v/>
      </c>
      <c r="AI299" s="32">
        <f>IF(W299=1,AH299,"")</f>
        <v/>
      </c>
    </row>
    <row r="300">
      <c r="A300" s="32">
        <f>IF(INDEX('Form Responses'!$A:$A,ROW())="","",INDEX('Form Responses'!$A:$A,ROW()))</f>
        <v/>
      </c>
      <c r="B300" s="32">
        <f>TRIM(INDEX('Form Responses'!$B:$B,ROW())&amp;"")</f>
        <v/>
      </c>
      <c r="C300" s="32">
        <f>IF(B300="","",TRIM(INDEX('Form Responses'!$C:$C,ROW())&amp;""))</f>
        <v/>
      </c>
      <c r="D300" s="32">
        <f>SUBSTITUTE(SUBSTITUTE(SUBSTITUTE(SUBSTITUTE(SUBSTITUTE(SUBSTITUTE(SUBSTITUTE(SUBSTITUTE(C300," ",""),"-",""),"(",""),")",""),".",""),"+",""),"/",""),CHAR(160),"")</f>
        <v/>
      </c>
      <c r="E300" s="32">
        <f>IF(LEN(D300)&gt;=10,RIGHT(D300,10),D300)</f>
        <v/>
      </c>
      <c r="F300" s="32">
        <f>IF(B300="","",TRIM(INDEX('Form Responses'!$D:$D,ROW())&amp;""))</f>
        <v/>
      </c>
      <c r="G300" s="32">
        <f>IF(B300="","",IF(LEFT(TRIM(INDEX('Form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0" s="32">
        <f>IF(B300="","",MAX(0,IFERROR(INT(--(INDEX('Form Responses'!$F:$F,ROW())&amp;"")),1)))</f>
        <v/>
      </c>
      <c r="I300" s="32">
        <f>IF(B300="","",MAX(0,IFERROR(INT(--(INDEX('Form Responses'!$G:$G,ROW())&amp;"")),0)))</f>
        <v/>
      </c>
      <c r="J300" s="32">
        <f>IF(B300="","",TRIM(INDEX('Form Responses'!$H:$H,ROW())&amp;""))</f>
        <v/>
      </c>
      <c r="K300" s="32">
        <f>IF(B300="","",TRIM(INDEX('Form Responses'!$I:$I,ROW())&amp;""))</f>
        <v/>
      </c>
      <c r="L300" s="32">
        <f>IF(B300="","",TRIM(INDEX('Form Responses'!$J:$J,ROW())&amp;""))</f>
        <v/>
      </c>
      <c r="M300" s="32">
        <f>IF(B300="","",TRIM(INDEX('Form Responses'!$K:$K,ROW())&amp;""))</f>
        <v/>
      </c>
      <c r="N300" s="32">
        <f>IF(B300="","",IF(E300&lt;&gt;"","P"&amp;E300,"N"&amp;B300))</f>
        <v/>
      </c>
      <c r="O300" s="32">
        <f>IF(N300="",0,IF(COUNTIF(N301:N$602,N300)=0,1,0))</f>
        <v/>
      </c>
      <c r="P300" s="32">
        <f>IF(AND(O300=1,E300&lt;&gt;""),E300,"")</f>
        <v/>
      </c>
      <c r="Q300" s="32">
        <f>IF(O300=1,B300,"")</f>
        <v/>
      </c>
      <c r="R300" s="32">
        <f>IF(O300&lt;&gt;1,"",IF(E300&lt;&gt;"",IFERROR(MATCH(E300,Guests!$S$6:$S$505,0)+5,IFERROR(MATCH(B300,Guests!$A$6:$A$505,0)+5,"")),IFERROR(MATCH(B300,Guests!$A$6:$A$505,0)+5,"")))</f>
        <v/>
      </c>
      <c r="S300" s="32">
        <f>IF(R300="","",TRIM(INDEX(Guests!$E$1:$E$505,R300)&amp;""))</f>
        <v/>
      </c>
      <c r="T300" s="32">
        <f>IF(R300="","",IF(S300="",1,COUNTIF(Guests!$E$6:$E$505,S300)))</f>
        <v/>
      </c>
      <c r="U300" s="32">
        <f>IF(R300="","",IF(S300="",1,IF(COUNTIF(S$1:S299,S300)=0,1,0)))</f>
        <v/>
      </c>
      <c r="V300" s="32">
        <f>IF(AND(R300&lt;&gt;"",G300="Attending",U300=1),MAX(0,H300+I300-T300),0)</f>
        <v/>
      </c>
      <c r="W300" s="32">
        <f>IF(AND(O300=1,R300=""),1,0)</f>
        <v/>
      </c>
      <c r="X300" s="32">
        <f>IF(B300="",0,H300+I300)</f>
        <v/>
      </c>
      <c r="Y300" s="32">
        <f>N(Y299)+O300</f>
        <v/>
      </c>
      <c r="Z300" s="32">
        <f>IF(O300=1,Y300,"")</f>
        <v/>
      </c>
      <c r="AA300" s="32">
        <f>IF(AND(W300=1,G300="Not sure yet"),1,0)</f>
        <v/>
      </c>
      <c r="AB300" s="32">
        <f>N(AB299)+AA300</f>
        <v/>
      </c>
      <c r="AC300" s="32">
        <f>IF(AA300=1,AB300,"")</f>
        <v/>
      </c>
      <c r="AD300" s="32">
        <f>IF(D300="","",IF(LEN(D300)=10,"+1"&amp;D300,IF(AND(LEN(D300)=11,LEFT(D300,1)="1"),"+"&amp;D300,IF(LEFT(C300,1)="+","+"&amp;D300,D300))))</f>
        <v/>
      </c>
      <c r="AE300" s="32">
        <f>IF(B300="","",PROPER(IFERROR(LEFT(B300,FIND(" ",B300)-1),B300)))</f>
        <v/>
      </c>
      <c r="AF300" s="32">
        <f>SUBSTITUTE(SUBSTITUTE(SUBSTITUTE(SUBSTITUTE(SUBSTITUTE(SUBSTITUTE(SUBSTITUTE(SUBSTITUTE(SUBSTITUTE(SUBSTITUTE(AE300,"%","%25"),"&amp;","%26"),"#","%23"),"+","%2B"),"=","%3D"),"?","%3F"),CHAR(34),"%22"),CHAR(10),"%0A"),CHAR(13),"")," ","+")</f>
        <v/>
      </c>
      <c r="AG300" s="32">
        <f>IF(OR(AD300="",AE300=""),"",'Start Here'!$B$20&amp;"#p="&amp;SUBSTITUTE(AD300,"+","%2B")&amp;"&amp;n="&amp;AF300&amp;"&amp;m="&amp;SUBSTITUTE('Start Here'!$B$24,"{name}",AF300))</f>
        <v/>
      </c>
      <c r="AH300" s="32">
        <f>N(AH299)+W300</f>
        <v/>
      </c>
      <c r="AI300" s="32">
        <f>IF(W300=1,AH300,"")</f>
        <v/>
      </c>
    </row>
    <row r="301">
      <c r="A301" s="32">
        <f>IF(INDEX('Form Responses'!$A:$A,ROW())="","",INDEX('Form Responses'!$A:$A,ROW()))</f>
        <v/>
      </c>
      <c r="B301" s="32">
        <f>TRIM(INDEX('Form Responses'!$B:$B,ROW())&amp;"")</f>
        <v/>
      </c>
      <c r="C301" s="32">
        <f>IF(B301="","",TRIM(INDEX('Form Responses'!$C:$C,ROW())&amp;""))</f>
        <v/>
      </c>
      <c r="D301" s="32">
        <f>SUBSTITUTE(SUBSTITUTE(SUBSTITUTE(SUBSTITUTE(SUBSTITUTE(SUBSTITUTE(SUBSTITUTE(SUBSTITUTE(C301," ",""),"-",""),"(",""),")",""),".",""),"+",""),"/",""),CHAR(160),"")</f>
        <v/>
      </c>
      <c r="E301" s="32">
        <f>IF(LEN(D301)&gt;=10,RIGHT(D301,10),D301)</f>
        <v/>
      </c>
      <c r="F301" s="32">
        <f>IF(B301="","",TRIM(INDEX('Form Responses'!$D:$D,ROW())&amp;""))</f>
        <v/>
      </c>
      <c r="G301" s="32">
        <f>IF(B301="","",IF(LEFT(TRIM(INDEX('Form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1" s="32">
        <f>IF(B301="","",MAX(0,IFERROR(INT(--(INDEX('Form Responses'!$F:$F,ROW())&amp;"")),1)))</f>
        <v/>
      </c>
      <c r="I301" s="32">
        <f>IF(B301="","",MAX(0,IFERROR(INT(--(INDEX('Form Responses'!$G:$G,ROW())&amp;"")),0)))</f>
        <v/>
      </c>
      <c r="J301" s="32">
        <f>IF(B301="","",TRIM(INDEX('Form Responses'!$H:$H,ROW())&amp;""))</f>
        <v/>
      </c>
      <c r="K301" s="32">
        <f>IF(B301="","",TRIM(INDEX('Form Responses'!$I:$I,ROW())&amp;""))</f>
        <v/>
      </c>
      <c r="L301" s="32">
        <f>IF(B301="","",TRIM(INDEX('Form Responses'!$J:$J,ROW())&amp;""))</f>
        <v/>
      </c>
      <c r="M301" s="32">
        <f>IF(B301="","",TRIM(INDEX('Form Responses'!$K:$K,ROW())&amp;""))</f>
        <v/>
      </c>
      <c r="N301" s="32">
        <f>IF(B301="","",IF(E301&lt;&gt;"","P"&amp;E301,"N"&amp;B301))</f>
        <v/>
      </c>
      <c r="O301" s="32">
        <f>IF(N301="",0,IF(COUNTIF(N302:N$602,N301)=0,1,0))</f>
        <v/>
      </c>
      <c r="P301" s="32">
        <f>IF(AND(O301=1,E301&lt;&gt;""),E301,"")</f>
        <v/>
      </c>
      <c r="Q301" s="32">
        <f>IF(O301=1,B301,"")</f>
        <v/>
      </c>
      <c r="R301" s="32">
        <f>IF(O301&lt;&gt;1,"",IF(E301&lt;&gt;"",IFERROR(MATCH(E301,Guests!$S$6:$S$505,0)+5,IFERROR(MATCH(B301,Guests!$A$6:$A$505,0)+5,"")),IFERROR(MATCH(B301,Guests!$A$6:$A$505,0)+5,"")))</f>
        <v/>
      </c>
      <c r="S301" s="32">
        <f>IF(R301="","",TRIM(INDEX(Guests!$E$1:$E$505,R301)&amp;""))</f>
        <v/>
      </c>
      <c r="T301" s="32">
        <f>IF(R301="","",IF(S301="",1,COUNTIF(Guests!$E$6:$E$505,S301)))</f>
        <v/>
      </c>
      <c r="U301" s="32">
        <f>IF(R301="","",IF(S301="",1,IF(COUNTIF(S$1:S300,S301)=0,1,0)))</f>
        <v/>
      </c>
      <c r="V301" s="32">
        <f>IF(AND(R301&lt;&gt;"",G301="Attending",U301=1),MAX(0,H301+I301-T301),0)</f>
        <v/>
      </c>
      <c r="W301" s="32">
        <f>IF(AND(O301=1,R301=""),1,0)</f>
        <v/>
      </c>
      <c r="X301" s="32">
        <f>IF(B301="",0,H301+I301)</f>
        <v/>
      </c>
      <c r="Y301" s="32">
        <f>N(Y300)+O301</f>
        <v/>
      </c>
      <c r="Z301" s="32">
        <f>IF(O301=1,Y301,"")</f>
        <v/>
      </c>
      <c r="AA301" s="32">
        <f>IF(AND(W301=1,G301="Not sure yet"),1,0)</f>
        <v/>
      </c>
      <c r="AB301" s="32">
        <f>N(AB300)+AA301</f>
        <v/>
      </c>
      <c r="AC301" s="32">
        <f>IF(AA301=1,AB301,"")</f>
        <v/>
      </c>
      <c r="AD301" s="32">
        <f>IF(D301="","",IF(LEN(D301)=10,"+1"&amp;D301,IF(AND(LEN(D301)=11,LEFT(D301,1)="1"),"+"&amp;D301,IF(LEFT(C301,1)="+","+"&amp;D301,D301))))</f>
        <v/>
      </c>
      <c r="AE301" s="32">
        <f>IF(B301="","",PROPER(IFERROR(LEFT(B301,FIND(" ",B301)-1),B301)))</f>
        <v/>
      </c>
      <c r="AF301" s="32">
        <f>SUBSTITUTE(SUBSTITUTE(SUBSTITUTE(SUBSTITUTE(SUBSTITUTE(SUBSTITUTE(SUBSTITUTE(SUBSTITUTE(SUBSTITUTE(SUBSTITUTE(AE301,"%","%25"),"&amp;","%26"),"#","%23"),"+","%2B"),"=","%3D"),"?","%3F"),CHAR(34),"%22"),CHAR(10),"%0A"),CHAR(13),"")," ","+")</f>
        <v/>
      </c>
      <c r="AG301" s="32">
        <f>IF(OR(AD301="",AE301=""),"",'Start Here'!$B$20&amp;"#p="&amp;SUBSTITUTE(AD301,"+","%2B")&amp;"&amp;n="&amp;AF301&amp;"&amp;m="&amp;SUBSTITUTE('Start Here'!$B$24,"{name}",AF301))</f>
        <v/>
      </c>
      <c r="AH301" s="32">
        <f>N(AH300)+W301</f>
        <v/>
      </c>
      <c r="AI301" s="32">
        <f>IF(W301=1,AH301,"")</f>
        <v/>
      </c>
    </row>
    <row r="302">
      <c r="A302" s="32">
        <f>IF(INDEX('Form Responses'!$A:$A,ROW())="","",INDEX('Form Responses'!$A:$A,ROW()))</f>
        <v/>
      </c>
      <c r="B302" s="32">
        <f>TRIM(INDEX('Form Responses'!$B:$B,ROW())&amp;"")</f>
        <v/>
      </c>
      <c r="C302" s="32">
        <f>IF(B302="","",TRIM(INDEX('Form Responses'!$C:$C,ROW())&amp;""))</f>
        <v/>
      </c>
      <c r="D302" s="32">
        <f>SUBSTITUTE(SUBSTITUTE(SUBSTITUTE(SUBSTITUTE(SUBSTITUTE(SUBSTITUTE(SUBSTITUTE(SUBSTITUTE(C302," ",""),"-",""),"(",""),")",""),".",""),"+",""),"/",""),CHAR(160),"")</f>
        <v/>
      </c>
      <c r="E302" s="32">
        <f>IF(LEN(D302)&gt;=10,RIGHT(D302,10),D302)</f>
        <v/>
      </c>
      <c r="F302" s="32">
        <f>IF(B302="","",TRIM(INDEX('Form Responses'!$D:$D,ROW())&amp;""))</f>
        <v/>
      </c>
      <c r="G302" s="32">
        <f>IF(B302="","",IF(LEFT(TRIM(INDEX('Form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2" s="32">
        <f>IF(B302="","",MAX(0,IFERROR(INT(--(INDEX('Form Responses'!$F:$F,ROW())&amp;"")),1)))</f>
        <v/>
      </c>
      <c r="I302" s="32">
        <f>IF(B302="","",MAX(0,IFERROR(INT(--(INDEX('Form Responses'!$G:$G,ROW())&amp;"")),0)))</f>
        <v/>
      </c>
      <c r="J302" s="32">
        <f>IF(B302="","",TRIM(INDEX('Form Responses'!$H:$H,ROW())&amp;""))</f>
        <v/>
      </c>
      <c r="K302" s="32">
        <f>IF(B302="","",TRIM(INDEX('Form Responses'!$I:$I,ROW())&amp;""))</f>
        <v/>
      </c>
      <c r="L302" s="32">
        <f>IF(B302="","",TRIM(INDEX('Form Responses'!$J:$J,ROW())&amp;""))</f>
        <v/>
      </c>
      <c r="M302" s="32">
        <f>IF(B302="","",TRIM(INDEX('Form Responses'!$K:$K,ROW())&amp;""))</f>
        <v/>
      </c>
      <c r="N302" s="32">
        <f>IF(B302="","",IF(E302&lt;&gt;"","P"&amp;E302,"N"&amp;B302))</f>
        <v/>
      </c>
      <c r="O302" s="32">
        <f>IF(N302="",0,IF(COUNTIF(N303:N$602,N302)=0,1,0))</f>
        <v/>
      </c>
      <c r="P302" s="32">
        <f>IF(AND(O302=1,E302&lt;&gt;""),E302,"")</f>
        <v/>
      </c>
      <c r="Q302" s="32">
        <f>IF(O302=1,B302,"")</f>
        <v/>
      </c>
      <c r="R302" s="32">
        <f>IF(O302&lt;&gt;1,"",IF(E302&lt;&gt;"",IFERROR(MATCH(E302,Guests!$S$6:$S$505,0)+5,IFERROR(MATCH(B302,Guests!$A$6:$A$505,0)+5,"")),IFERROR(MATCH(B302,Guests!$A$6:$A$505,0)+5,"")))</f>
        <v/>
      </c>
      <c r="S302" s="32">
        <f>IF(R302="","",TRIM(INDEX(Guests!$E$1:$E$505,R302)&amp;""))</f>
        <v/>
      </c>
      <c r="T302" s="32">
        <f>IF(R302="","",IF(S302="",1,COUNTIF(Guests!$E$6:$E$505,S302)))</f>
        <v/>
      </c>
      <c r="U302" s="32">
        <f>IF(R302="","",IF(S302="",1,IF(COUNTIF(S$1:S301,S302)=0,1,0)))</f>
        <v/>
      </c>
      <c r="V302" s="32">
        <f>IF(AND(R302&lt;&gt;"",G302="Attending",U302=1),MAX(0,H302+I302-T302),0)</f>
        <v/>
      </c>
      <c r="W302" s="32">
        <f>IF(AND(O302=1,R302=""),1,0)</f>
        <v/>
      </c>
      <c r="X302" s="32">
        <f>IF(B302="",0,H302+I302)</f>
        <v/>
      </c>
      <c r="Y302" s="32">
        <f>N(Y301)+O302</f>
        <v/>
      </c>
      <c r="Z302" s="32">
        <f>IF(O302=1,Y302,"")</f>
        <v/>
      </c>
      <c r="AA302" s="32">
        <f>IF(AND(W302=1,G302="Not sure yet"),1,0)</f>
        <v/>
      </c>
      <c r="AB302" s="32">
        <f>N(AB301)+AA302</f>
        <v/>
      </c>
      <c r="AC302" s="32">
        <f>IF(AA302=1,AB302,"")</f>
        <v/>
      </c>
      <c r="AD302" s="32">
        <f>IF(D302="","",IF(LEN(D302)=10,"+1"&amp;D302,IF(AND(LEN(D302)=11,LEFT(D302,1)="1"),"+"&amp;D302,IF(LEFT(C302,1)="+","+"&amp;D302,D302))))</f>
        <v/>
      </c>
      <c r="AE302" s="32">
        <f>IF(B302="","",PROPER(IFERROR(LEFT(B302,FIND(" ",B302)-1),B302)))</f>
        <v/>
      </c>
      <c r="AF302" s="32">
        <f>SUBSTITUTE(SUBSTITUTE(SUBSTITUTE(SUBSTITUTE(SUBSTITUTE(SUBSTITUTE(SUBSTITUTE(SUBSTITUTE(SUBSTITUTE(SUBSTITUTE(AE302,"%","%25"),"&amp;","%26"),"#","%23"),"+","%2B"),"=","%3D"),"?","%3F"),CHAR(34),"%22"),CHAR(10),"%0A"),CHAR(13),"")," ","+")</f>
        <v/>
      </c>
      <c r="AG302" s="32">
        <f>IF(OR(AD302="",AE302=""),"",'Start Here'!$B$20&amp;"#p="&amp;SUBSTITUTE(AD302,"+","%2B")&amp;"&amp;n="&amp;AF302&amp;"&amp;m="&amp;SUBSTITUTE('Start Here'!$B$24,"{name}",AF302))</f>
        <v/>
      </c>
      <c r="AH302" s="32">
        <f>N(AH301)+W302</f>
        <v/>
      </c>
      <c r="AI302" s="32">
        <f>IF(W302=1,AH302,"")</f>
        <v/>
      </c>
    </row>
    <row r="303">
      <c r="A303" s="32">
        <f>IF(INDEX('Form Responses'!$A:$A,ROW())="","",INDEX('Form Responses'!$A:$A,ROW()))</f>
        <v/>
      </c>
      <c r="B303" s="32">
        <f>TRIM(INDEX('Form Responses'!$B:$B,ROW())&amp;"")</f>
        <v/>
      </c>
      <c r="C303" s="32">
        <f>IF(B303="","",TRIM(INDEX('Form Responses'!$C:$C,ROW())&amp;""))</f>
        <v/>
      </c>
      <c r="D303" s="32">
        <f>SUBSTITUTE(SUBSTITUTE(SUBSTITUTE(SUBSTITUTE(SUBSTITUTE(SUBSTITUTE(SUBSTITUTE(SUBSTITUTE(C303," ",""),"-",""),"(",""),")",""),".",""),"+",""),"/",""),CHAR(160),"")</f>
        <v/>
      </c>
      <c r="E303" s="32">
        <f>IF(LEN(D303)&gt;=10,RIGHT(D303,10),D303)</f>
        <v/>
      </c>
      <c r="F303" s="32">
        <f>IF(B303="","",TRIM(INDEX('Form Responses'!$D:$D,ROW())&amp;""))</f>
        <v/>
      </c>
      <c r="G303" s="32">
        <f>IF(B303="","",IF(LEFT(TRIM(INDEX('Form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3" s="32">
        <f>IF(B303="","",MAX(0,IFERROR(INT(--(INDEX('Form Responses'!$F:$F,ROW())&amp;"")),1)))</f>
        <v/>
      </c>
      <c r="I303" s="32">
        <f>IF(B303="","",MAX(0,IFERROR(INT(--(INDEX('Form Responses'!$G:$G,ROW())&amp;"")),0)))</f>
        <v/>
      </c>
      <c r="J303" s="32">
        <f>IF(B303="","",TRIM(INDEX('Form Responses'!$H:$H,ROW())&amp;""))</f>
        <v/>
      </c>
      <c r="K303" s="32">
        <f>IF(B303="","",TRIM(INDEX('Form Responses'!$I:$I,ROW())&amp;""))</f>
        <v/>
      </c>
      <c r="L303" s="32">
        <f>IF(B303="","",TRIM(INDEX('Form Responses'!$J:$J,ROW())&amp;""))</f>
        <v/>
      </c>
      <c r="M303" s="32">
        <f>IF(B303="","",TRIM(INDEX('Form Responses'!$K:$K,ROW())&amp;""))</f>
        <v/>
      </c>
      <c r="N303" s="32">
        <f>IF(B303="","",IF(E303&lt;&gt;"","P"&amp;E303,"N"&amp;B303))</f>
        <v/>
      </c>
      <c r="O303" s="32">
        <f>IF(N303="",0,IF(COUNTIF(N304:N$602,N303)=0,1,0))</f>
        <v/>
      </c>
      <c r="P303" s="32">
        <f>IF(AND(O303=1,E303&lt;&gt;""),E303,"")</f>
        <v/>
      </c>
      <c r="Q303" s="32">
        <f>IF(O303=1,B303,"")</f>
        <v/>
      </c>
      <c r="R303" s="32">
        <f>IF(O303&lt;&gt;1,"",IF(E303&lt;&gt;"",IFERROR(MATCH(E303,Guests!$S$6:$S$505,0)+5,IFERROR(MATCH(B303,Guests!$A$6:$A$505,0)+5,"")),IFERROR(MATCH(B303,Guests!$A$6:$A$505,0)+5,"")))</f>
        <v/>
      </c>
      <c r="S303" s="32">
        <f>IF(R303="","",TRIM(INDEX(Guests!$E$1:$E$505,R303)&amp;""))</f>
        <v/>
      </c>
      <c r="T303" s="32">
        <f>IF(R303="","",IF(S303="",1,COUNTIF(Guests!$E$6:$E$505,S303)))</f>
        <v/>
      </c>
      <c r="U303" s="32">
        <f>IF(R303="","",IF(S303="",1,IF(COUNTIF(S$1:S302,S303)=0,1,0)))</f>
        <v/>
      </c>
      <c r="V303" s="32">
        <f>IF(AND(R303&lt;&gt;"",G303="Attending",U303=1),MAX(0,H303+I303-T303),0)</f>
        <v/>
      </c>
      <c r="W303" s="32">
        <f>IF(AND(O303=1,R303=""),1,0)</f>
        <v/>
      </c>
      <c r="X303" s="32">
        <f>IF(B303="",0,H303+I303)</f>
        <v/>
      </c>
      <c r="Y303" s="32">
        <f>N(Y302)+O303</f>
        <v/>
      </c>
      <c r="Z303" s="32">
        <f>IF(O303=1,Y303,"")</f>
        <v/>
      </c>
      <c r="AA303" s="32">
        <f>IF(AND(W303=1,G303="Not sure yet"),1,0)</f>
        <v/>
      </c>
      <c r="AB303" s="32">
        <f>N(AB302)+AA303</f>
        <v/>
      </c>
      <c r="AC303" s="32">
        <f>IF(AA303=1,AB303,"")</f>
        <v/>
      </c>
      <c r="AD303" s="32">
        <f>IF(D303="","",IF(LEN(D303)=10,"+1"&amp;D303,IF(AND(LEN(D303)=11,LEFT(D303,1)="1"),"+"&amp;D303,IF(LEFT(C303,1)="+","+"&amp;D303,D303))))</f>
        <v/>
      </c>
      <c r="AE303" s="32">
        <f>IF(B303="","",PROPER(IFERROR(LEFT(B303,FIND(" ",B303)-1),B303)))</f>
        <v/>
      </c>
      <c r="AF303" s="32">
        <f>SUBSTITUTE(SUBSTITUTE(SUBSTITUTE(SUBSTITUTE(SUBSTITUTE(SUBSTITUTE(SUBSTITUTE(SUBSTITUTE(SUBSTITUTE(SUBSTITUTE(AE303,"%","%25"),"&amp;","%26"),"#","%23"),"+","%2B"),"=","%3D"),"?","%3F"),CHAR(34),"%22"),CHAR(10),"%0A"),CHAR(13),"")," ","+")</f>
        <v/>
      </c>
      <c r="AG303" s="32">
        <f>IF(OR(AD303="",AE303=""),"",'Start Here'!$B$20&amp;"#p="&amp;SUBSTITUTE(AD303,"+","%2B")&amp;"&amp;n="&amp;AF303&amp;"&amp;m="&amp;SUBSTITUTE('Start Here'!$B$24,"{name}",AF303))</f>
        <v/>
      </c>
      <c r="AH303" s="32">
        <f>N(AH302)+W303</f>
        <v/>
      </c>
      <c r="AI303" s="32">
        <f>IF(W303=1,AH303,"")</f>
        <v/>
      </c>
    </row>
    <row r="304">
      <c r="A304" s="32">
        <f>IF(INDEX('Form Responses'!$A:$A,ROW())="","",INDEX('Form Responses'!$A:$A,ROW()))</f>
        <v/>
      </c>
      <c r="B304" s="32">
        <f>TRIM(INDEX('Form Responses'!$B:$B,ROW())&amp;"")</f>
        <v/>
      </c>
      <c r="C304" s="32">
        <f>IF(B304="","",TRIM(INDEX('Form Responses'!$C:$C,ROW())&amp;""))</f>
        <v/>
      </c>
      <c r="D304" s="32">
        <f>SUBSTITUTE(SUBSTITUTE(SUBSTITUTE(SUBSTITUTE(SUBSTITUTE(SUBSTITUTE(SUBSTITUTE(SUBSTITUTE(C304," ",""),"-",""),"(",""),")",""),".",""),"+",""),"/",""),CHAR(160),"")</f>
        <v/>
      </c>
      <c r="E304" s="32">
        <f>IF(LEN(D304)&gt;=10,RIGHT(D304,10),D304)</f>
        <v/>
      </c>
      <c r="F304" s="32">
        <f>IF(B304="","",TRIM(INDEX('Form Responses'!$D:$D,ROW())&amp;""))</f>
        <v/>
      </c>
      <c r="G304" s="32">
        <f>IF(B304="","",IF(LEFT(TRIM(INDEX('Form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4" s="32">
        <f>IF(B304="","",MAX(0,IFERROR(INT(--(INDEX('Form Responses'!$F:$F,ROW())&amp;"")),1)))</f>
        <v/>
      </c>
      <c r="I304" s="32">
        <f>IF(B304="","",MAX(0,IFERROR(INT(--(INDEX('Form Responses'!$G:$G,ROW())&amp;"")),0)))</f>
        <v/>
      </c>
      <c r="J304" s="32">
        <f>IF(B304="","",TRIM(INDEX('Form Responses'!$H:$H,ROW())&amp;""))</f>
        <v/>
      </c>
      <c r="K304" s="32">
        <f>IF(B304="","",TRIM(INDEX('Form Responses'!$I:$I,ROW())&amp;""))</f>
        <v/>
      </c>
      <c r="L304" s="32">
        <f>IF(B304="","",TRIM(INDEX('Form Responses'!$J:$J,ROW())&amp;""))</f>
        <v/>
      </c>
      <c r="M304" s="32">
        <f>IF(B304="","",TRIM(INDEX('Form Responses'!$K:$K,ROW())&amp;""))</f>
        <v/>
      </c>
      <c r="N304" s="32">
        <f>IF(B304="","",IF(E304&lt;&gt;"","P"&amp;E304,"N"&amp;B304))</f>
        <v/>
      </c>
      <c r="O304" s="32">
        <f>IF(N304="",0,IF(COUNTIF(N305:N$602,N304)=0,1,0))</f>
        <v/>
      </c>
      <c r="P304" s="32">
        <f>IF(AND(O304=1,E304&lt;&gt;""),E304,"")</f>
        <v/>
      </c>
      <c r="Q304" s="32">
        <f>IF(O304=1,B304,"")</f>
        <v/>
      </c>
      <c r="R304" s="32">
        <f>IF(O304&lt;&gt;1,"",IF(E304&lt;&gt;"",IFERROR(MATCH(E304,Guests!$S$6:$S$505,0)+5,IFERROR(MATCH(B304,Guests!$A$6:$A$505,0)+5,"")),IFERROR(MATCH(B304,Guests!$A$6:$A$505,0)+5,"")))</f>
        <v/>
      </c>
      <c r="S304" s="32">
        <f>IF(R304="","",TRIM(INDEX(Guests!$E$1:$E$505,R304)&amp;""))</f>
        <v/>
      </c>
      <c r="T304" s="32">
        <f>IF(R304="","",IF(S304="",1,COUNTIF(Guests!$E$6:$E$505,S304)))</f>
        <v/>
      </c>
      <c r="U304" s="32">
        <f>IF(R304="","",IF(S304="",1,IF(COUNTIF(S$1:S303,S304)=0,1,0)))</f>
        <v/>
      </c>
      <c r="V304" s="32">
        <f>IF(AND(R304&lt;&gt;"",G304="Attending",U304=1),MAX(0,H304+I304-T304),0)</f>
        <v/>
      </c>
      <c r="W304" s="32">
        <f>IF(AND(O304=1,R304=""),1,0)</f>
        <v/>
      </c>
      <c r="X304" s="32">
        <f>IF(B304="",0,H304+I304)</f>
        <v/>
      </c>
      <c r="Y304" s="32">
        <f>N(Y303)+O304</f>
        <v/>
      </c>
      <c r="Z304" s="32">
        <f>IF(O304=1,Y304,"")</f>
        <v/>
      </c>
      <c r="AA304" s="32">
        <f>IF(AND(W304=1,G304="Not sure yet"),1,0)</f>
        <v/>
      </c>
      <c r="AB304" s="32">
        <f>N(AB303)+AA304</f>
        <v/>
      </c>
      <c r="AC304" s="32">
        <f>IF(AA304=1,AB304,"")</f>
        <v/>
      </c>
      <c r="AD304" s="32">
        <f>IF(D304="","",IF(LEN(D304)=10,"+1"&amp;D304,IF(AND(LEN(D304)=11,LEFT(D304,1)="1"),"+"&amp;D304,IF(LEFT(C304,1)="+","+"&amp;D304,D304))))</f>
        <v/>
      </c>
      <c r="AE304" s="32">
        <f>IF(B304="","",PROPER(IFERROR(LEFT(B304,FIND(" ",B304)-1),B304)))</f>
        <v/>
      </c>
      <c r="AF304" s="32">
        <f>SUBSTITUTE(SUBSTITUTE(SUBSTITUTE(SUBSTITUTE(SUBSTITUTE(SUBSTITUTE(SUBSTITUTE(SUBSTITUTE(SUBSTITUTE(SUBSTITUTE(AE304,"%","%25"),"&amp;","%26"),"#","%23"),"+","%2B"),"=","%3D"),"?","%3F"),CHAR(34),"%22"),CHAR(10),"%0A"),CHAR(13),"")," ","+")</f>
        <v/>
      </c>
      <c r="AG304" s="32">
        <f>IF(OR(AD304="",AE304=""),"",'Start Here'!$B$20&amp;"#p="&amp;SUBSTITUTE(AD304,"+","%2B")&amp;"&amp;n="&amp;AF304&amp;"&amp;m="&amp;SUBSTITUTE('Start Here'!$B$24,"{name}",AF304))</f>
        <v/>
      </c>
      <c r="AH304" s="32">
        <f>N(AH303)+W304</f>
        <v/>
      </c>
      <c r="AI304" s="32">
        <f>IF(W304=1,AH304,"")</f>
        <v/>
      </c>
    </row>
    <row r="305">
      <c r="A305" s="32">
        <f>IF(INDEX('Form Responses'!$A:$A,ROW())="","",INDEX('Form Responses'!$A:$A,ROW()))</f>
        <v/>
      </c>
      <c r="B305" s="32">
        <f>TRIM(INDEX('Form Responses'!$B:$B,ROW())&amp;"")</f>
        <v/>
      </c>
      <c r="C305" s="32">
        <f>IF(B305="","",TRIM(INDEX('Form Responses'!$C:$C,ROW())&amp;""))</f>
        <v/>
      </c>
      <c r="D305" s="32">
        <f>SUBSTITUTE(SUBSTITUTE(SUBSTITUTE(SUBSTITUTE(SUBSTITUTE(SUBSTITUTE(SUBSTITUTE(SUBSTITUTE(C305," ",""),"-",""),"(",""),")",""),".",""),"+",""),"/",""),CHAR(160),"")</f>
        <v/>
      </c>
      <c r="E305" s="32">
        <f>IF(LEN(D305)&gt;=10,RIGHT(D305,10),D305)</f>
        <v/>
      </c>
      <c r="F305" s="32">
        <f>IF(B305="","",TRIM(INDEX('Form Responses'!$D:$D,ROW())&amp;""))</f>
        <v/>
      </c>
      <c r="G305" s="32">
        <f>IF(B305="","",IF(LEFT(TRIM(INDEX('Form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5" s="32">
        <f>IF(B305="","",MAX(0,IFERROR(INT(--(INDEX('Form Responses'!$F:$F,ROW())&amp;"")),1)))</f>
        <v/>
      </c>
      <c r="I305" s="32">
        <f>IF(B305="","",MAX(0,IFERROR(INT(--(INDEX('Form Responses'!$G:$G,ROW())&amp;"")),0)))</f>
        <v/>
      </c>
      <c r="J305" s="32">
        <f>IF(B305="","",TRIM(INDEX('Form Responses'!$H:$H,ROW())&amp;""))</f>
        <v/>
      </c>
      <c r="K305" s="32">
        <f>IF(B305="","",TRIM(INDEX('Form Responses'!$I:$I,ROW())&amp;""))</f>
        <v/>
      </c>
      <c r="L305" s="32">
        <f>IF(B305="","",TRIM(INDEX('Form Responses'!$J:$J,ROW())&amp;""))</f>
        <v/>
      </c>
      <c r="M305" s="32">
        <f>IF(B305="","",TRIM(INDEX('Form Responses'!$K:$K,ROW())&amp;""))</f>
        <v/>
      </c>
      <c r="N305" s="32">
        <f>IF(B305="","",IF(E305&lt;&gt;"","P"&amp;E305,"N"&amp;B305))</f>
        <v/>
      </c>
      <c r="O305" s="32">
        <f>IF(N305="",0,IF(COUNTIF(N306:N$602,N305)=0,1,0))</f>
        <v/>
      </c>
      <c r="P305" s="32">
        <f>IF(AND(O305=1,E305&lt;&gt;""),E305,"")</f>
        <v/>
      </c>
      <c r="Q305" s="32">
        <f>IF(O305=1,B305,"")</f>
        <v/>
      </c>
      <c r="R305" s="32">
        <f>IF(O305&lt;&gt;1,"",IF(E305&lt;&gt;"",IFERROR(MATCH(E305,Guests!$S$6:$S$505,0)+5,IFERROR(MATCH(B305,Guests!$A$6:$A$505,0)+5,"")),IFERROR(MATCH(B305,Guests!$A$6:$A$505,0)+5,"")))</f>
        <v/>
      </c>
      <c r="S305" s="32">
        <f>IF(R305="","",TRIM(INDEX(Guests!$E$1:$E$505,R305)&amp;""))</f>
        <v/>
      </c>
      <c r="T305" s="32">
        <f>IF(R305="","",IF(S305="",1,COUNTIF(Guests!$E$6:$E$505,S305)))</f>
        <v/>
      </c>
      <c r="U305" s="32">
        <f>IF(R305="","",IF(S305="",1,IF(COUNTIF(S$1:S304,S305)=0,1,0)))</f>
        <v/>
      </c>
      <c r="V305" s="32">
        <f>IF(AND(R305&lt;&gt;"",G305="Attending",U305=1),MAX(0,H305+I305-T305),0)</f>
        <v/>
      </c>
      <c r="W305" s="32">
        <f>IF(AND(O305=1,R305=""),1,0)</f>
        <v/>
      </c>
      <c r="X305" s="32">
        <f>IF(B305="",0,H305+I305)</f>
        <v/>
      </c>
      <c r="Y305" s="32">
        <f>N(Y304)+O305</f>
        <v/>
      </c>
      <c r="Z305" s="32">
        <f>IF(O305=1,Y305,"")</f>
        <v/>
      </c>
      <c r="AA305" s="32">
        <f>IF(AND(W305=1,G305="Not sure yet"),1,0)</f>
        <v/>
      </c>
      <c r="AB305" s="32">
        <f>N(AB304)+AA305</f>
        <v/>
      </c>
      <c r="AC305" s="32">
        <f>IF(AA305=1,AB305,"")</f>
        <v/>
      </c>
      <c r="AD305" s="32">
        <f>IF(D305="","",IF(LEN(D305)=10,"+1"&amp;D305,IF(AND(LEN(D305)=11,LEFT(D305,1)="1"),"+"&amp;D305,IF(LEFT(C305,1)="+","+"&amp;D305,D305))))</f>
        <v/>
      </c>
      <c r="AE305" s="32">
        <f>IF(B305="","",PROPER(IFERROR(LEFT(B305,FIND(" ",B305)-1),B305)))</f>
        <v/>
      </c>
      <c r="AF305" s="32">
        <f>SUBSTITUTE(SUBSTITUTE(SUBSTITUTE(SUBSTITUTE(SUBSTITUTE(SUBSTITUTE(SUBSTITUTE(SUBSTITUTE(SUBSTITUTE(SUBSTITUTE(AE305,"%","%25"),"&amp;","%26"),"#","%23"),"+","%2B"),"=","%3D"),"?","%3F"),CHAR(34),"%22"),CHAR(10),"%0A"),CHAR(13),"")," ","+")</f>
        <v/>
      </c>
      <c r="AG305" s="32">
        <f>IF(OR(AD305="",AE305=""),"",'Start Here'!$B$20&amp;"#p="&amp;SUBSTITUTE(AD305,"+","%2B")&amp;"&amp;n="&amp;AF305&amp;"&amp;m="&amp;SUBSTITUTE('Start Here'!$B$24,"{name}",AF305))</f>
        <v/>
      </c>
      <c r="AH305" s="32">
        <f>N(AH304)+W305</f>
        <v/>
      </c>
      <c r="AI305" s="32">
        <f>IF(W305=1,AH305,"")</f>
        <v/>
      </c>
    </row>
    <row r="306">
      <c r="A306" s="32">
        <f>IF(INDEX('Form Responses'!$A:$A,ROW())="","",INDEX('Form Responses'!$A:$A,ROW()))</f>
        <v/>
      </c>
      <c r="B306" s="32">
        <f>TRIM(INDEX('Form Responses'!$B:$B,ROW())&amp;"")</f>
        <v/>
      </c>
      <c r="C306" s="32">
        <f>IF(B306="","",TRIM(INDEX('Form Responses'!$C:$C,ROW())&amp;""))</f>
        <v/>
      </c>
      <c r="D306" s="32">
        <f>SUBSTITUTE(SUBSTITUTE(SUBSTITUTE(SUBSTITUTE(SUBSTITUTE(SUBSTITUTE(SUBSTITUTE(SUBSTITUTE(C306," ",""),"-",""),"(",""),")",""),".",""),"+",""),"/",""),CHAR(160),"")</f>
        <v/>
      </c>
      <c r="E306" s="32">
        <f>IF(LEN(D306)&gt;=10,RIGHT(D306,10),D306)</f>
        <v/>
      </c>
      <c r="F306" s="32">
        <f>IF(B306="","",TRIM(INDEX('Form Responses'!$D:$D,ROW())&amp;""))</f>
        <v/>
      </c>
      <c r="G306" s="32">
        <f>IF(B306="","",IF(LEFT(TRIM(INDEX('Form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6" s="32">
        <f>IF(B306="","",MAX(0,IFERROR(INT(--(INDEX('Form Responses'!$F:$F,ROW())&amp;"")),1)))</f>
        <v/>
      </c>
      <c r="I306" s="32">
        <f>IF(B306="","",MAX(0,IFERROR(INT(--(INDEX('Form Responses'!$G:$G,ROW())&amp;"")),0)))</f>
        <v/>
      </c>
      <c r="J306" s="32">
        <f>IF(B306="","",TRIM(INDEX('Form Responses'!$H:$H,ROW())&amp;""))</f>
        <v/>
      </c>
      <c r="K306" s="32">
        <f>IF(B306="","",TRIM(INDEX('Form Responses'!$I:$I,ROW())&amp;""))</f>
        <v/>
      </c>
      <c r="L306" s="32">
        <f>IF(B306="","",TRIM(INDEX('Form Responses'!$J:$J,ROW())&amp;""))</f>
        <v/>
      </c>
      <c r="M306" s="32">
        <f>IF(B306="","",TRIM(INDEX('Form Responses'!$K:$K,ROW())&amp;""))</f>
        <v/>
      </c>
      <c r="N306" s="32">
        <f>IF(B306="","",IF(E306&lt;&gt;"","P"&amp;E306,"N"&amp;B306))</f>
        <v/>
      </c>
      <c r="O306" s="32">
        <f>IF(N306="",0,IF(COUNTIF(N307:N$602,N306)=0,1,0))</f>
        <v/>
      </c>
      <c r="P306" s="32">
        <f>IF(AND(O306=1,E306&lt;&gt;""),E306,"")</f>
        <v/>
      </c>
      <c r="Q306" s="32">
        <f>IF(O306=1,B306,"")</f>
        <v/>
      </c>
      <c r="R306" s="32">
        <f>IF(O306&lt;&gt;1,"",IF(E306&lt;&gt;"",IFERROR(MATCH(E306,Guests!$S$6:$S$505,0)+5,IFERROR(MATCH(B306,Guests!$A$6:$A$505,0)+5,"")),IFERROR(MATCH(B306,Guests!$A$6:$A$505,0)+5,"")))</f>
        <v/>
      </c>
      <c r="S306" s="32">
        <f>IF(R306="","",TRIM(INDEX(Guests!$E$1:$E$505,R306)&amp;""))</f>
        <v/>
      </c>
      <c r="T306" s="32">
        <f>IF(R306="","",IF(S306="",1,COUNTIF(Guests!$E$6:$E$505,S306)))</f>
        <v/>
      </c>
      <c r="U306" s="32">
        <f>IF(R306="","",IF(S306="",1,IF(COUNTIF(S$1:S305,S306)=0,1,0)))</f>
        <v/>
      </c>
      <c r="V306" s="32">
        <f>IF(AND(R306&lt;&gt;"",G306="Attending",U306=1),MAX(0,H306+I306-T306),0)</f>
        <v/>
      </c>
      <c r="W306" s="32">
        <f>IF(AND(O306=1,R306=""),1,0)</f>
        <v/>
      </c>
      <c r="X306" s="32">
        <f>IF(B306="",0,H306+I306)</f>
        <v/>
      </c>
      <c r="Y306" s="32">
        <f>N(Y305)+O306</f>
        <v/>
      </c>
      <c r="Z306" s="32">
        <f>IF(O306=1,Y306,"")</f>
        <v/>
      </c>
      <c r="AA306" s="32">
        <f>IF(AND(W306=1,G306="Not sure yet"),1,0)</f>
        <v/>
      </c>
      <c r="AB306" s="32">
        <f>N(AB305)+AA306</f>
        <v/>
      </c>
      <c r="AC306" s="32">
        <f>IF(AA306=1,AB306,"")</f>
        <v/>
      </c>
      <c r="AD306" s="32">
        <f>IF(D306="","",IF(LEN(D306)=10,"+1"&amp;D306,IF(AND(LEN(D306)=11,LEFT(D306,1)="1"),"+"&amp;D306,IF(LEFT(C306,1)="+","+"&amp;D306,D306))))</f>
        <v/>
      </c>
      <c r="AE306" s="32">
        <f>IF(B306="","",PROPER(IFERROR(LEFT(B306,FIND(" ",B306)-1),B306)))</f>
        <v/>
      </c>
      <c r="AF306" s="32">
        <f>SUBSTITUTE(SUBSTITUTE(SUBSTITUTE(SUBSTITUTE(SUBSTITUTE(SUBSTITUTE(SUBSTITUTE(SUBSTITUTE(SUBSTITUTE(SUBSTITUTE(AE306,"%","%25"),"&amp;","%26"),"#","%23"),"+","%2B"),"=","%3D"),"?","%3F"),CHAR(34),"%22"),CHAR(10),"%0A"),CHAR(13),"")," ","+")</f>
        <v/>
      </c>
      <c r="AG306" s="32">
        <f>IF(OR(AD306="",AE306=""),"",'Start Here'!$B$20&amp;"#p="&amp;SUBSTITUTE(AD306,"+","%2B")&amp;"&amp;n="&amp;AF306&amp;"&amp;m="&amp;SUBSTITUTE('Start Here'!$B$24,"{name}",AF306))</f>
        <v/>
      </c>
      <c r="AH306" s="32">
        <f>N(AH305)+W306</f>
        <v/>
      </c>
      <c r="AI306" s="32">
        <f>IF(W306=1,AH306,"")</f>
        <v/>
      </c>
    </row>
    <row r="307">
      <c r="A307" s="32">
        <f>IF(INDEX('Form Responses'!$A:$A,ROW())="","",INDEX('Form Responses'!$A:$A,ROW()))</f>
        <v/>
      </c>
      <c r="B307" s="32">
        <f>TRIM(INDEX('Form Responses'!$B:$B,ROW())&amp;"")</f>
        <v/>
      </c>
      <c r="C307" s="32">
        <f>IF(B307="","",TRIM(INDEX('Form Responses'!$C:$C,ROW())&amp;""))</f>
        <v/>
      </c>
      <c r="D307" s="32">
        <f>SUBSTITUTE(SUBSTITUTE(SUBSTITUTE(SUBSTITUTE(SUBSTITUTE(SUBSTITUTE(SUBSTITUTE(SUBSTITUTE(C307," ",""),"-",""),"(",""),")",""),".",""),"+",""),"/",""),CHAR(160),"")</f>
        <v/>
      </c>
      <c r="E307" s="32">
        <f>IF(LEN(D307)&gt;=10,RIGHT(D307,10),D307)</f>
        <v/>
      </c>
      <c r="F307" s="32">
        <f>IF(B307="","",TRIM(INDEX('Form Responses'!$D:$D,ROW())&amp;""))</f>
        <v/>
      </c>
      <c r="G307" s="32">
        <f>IF(B307="","",IF(LEFT(TRIM(INDEX('Form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7" s="32">
        <f>IF(B307="","",MAX(0,IFERROR(INT(--(INDEX('Form Responses'!$F:$F,ROW())&amp;"")),1)))</f>
        <v/>
      </c>
      <c r="I307" s="32">
        <f>IF(B307="","",MAX(0,IFERROR(INT(--(INDEX('Form Responses'!$G:$G,ROW())&amp;"")),0)))</f>
        <v/>
      </c>
      <c r="J307" s="32">
        <f>IF(B307="","",TRIM(INDEX('Form Responses'!$H:$H,ROW())&amp;""))</f>
        <v/>
      </c>
      <c r="K307" s="32">
        <f>IF(B307="","",TRIM(INDEX('Form Responses'!$I:$I,ROW())&amp;""))</f>
        <v/>
      </c>
      <c r="L307" s="32">
        <f>IF(B307="","",TRIM(INDEX('Form Responses'!$J:$J,ROW())&amp;""))</f>
        <v/>
      </c>
      <c r="M307" s="32">
        <f>IF(B307="","",TRIM(INDEX('Form Responses'!$K:$K,ROW())&amp;""))</f>
        <v/>
      </c>
      <c r="N307" s="32">
        <f>IF(B307="","",IF(E307&lt;&gt;"","P"&amp;E307,"N"&amp;B307))</f>
        <v/>
      </c>
      <c r="O307" s="32">
        <f>IF(N307="",0,IF(COUNTIF(N308:N$602,N307)=0,1,0))</f>
        <v/>
      </c>
      <c r="P307" s="32">
        <f>IF(AND(O307=1,E307&lt;&gt;""),E307,"")</f>
        <v/>
      </c>
      <c r="Q307" s="32">
        <f>IF(O307=1,B307,"")</f>
        <v/>
      </c>
      <c r="R307" s="32">
        <f>IF(O307&lt;&gt;1,"",IF(E307&lt;&gt;"",IFERROR(MATCH(E307,Guests!$S$6:$S$505,0)+5,IFERROR(MATCH(B307,Guests!$A$6:$A$505,0)+5,"")),IFERROR(MATCH(B307,Guests!$A$6:$A$505,0)+5,"")))</f>
        <v/>
      </c>
      <c r="S307" s="32">
        <f>IF(R307="","",TRIM(INDEX(Guests!$E$1:$E$505,R307)&amp;""))</f>
        <v/>
      </c>
      <c r="T307" s="32">
        <f>IF(R307="","",IF(S307="",1,COUNTIF(Guests!$E$6:$E$505,S307)))</f>
        <v/>
      </c>
      <c r="U307" s="32">
        <f>IF(R307="","",IF(S307="",1,IF(COUNTIF(S$1:S306,S307)=0,1,0)))</f>
        <v/>
      </c>
      <c r="V307" s="32">
        <f>IF(AND(R307&lt;&gt;"",G307="Attending",U307=1),MAX(0,H307+I307-T307),0)</f>
        <v/>
      </c>
      <c r="W307" s="32">
        <f>IF(AND(O307=1,R307=""),1,0)</f>
        <v/>
      </c>
      <c r="X307" s="32">
        <f>IF(B307="",0,H307+I307)</f>
        <v/>
      </c>
      <c r="Y307" s="32">
        <f>N(Y306)+O307</f>
        <v/>
      </c>
      <c r="Z307" s="32">
        <f>IF(O307=1,Y307,"")</f>
        <v/>
      </c>
      <c r="AA307" s="32">
        <f>IF(AND(W307=1,G307="Not sure yet"),1,0)</f>
        <v/>
      </c>
      <c r="AB307" s="32">
        <f>N(AB306)+AA307</f>
        <v/>
      </c>
      <c r="AC307" s="32">
        <f>IF(AA307=1,AB307,"")</f>
        <v/>
      </c>
      <c r="AD307" s="32">
        <f>IF(D307="","",IF(LEN(D307)=10,"+1"&amp;D307,IF(AND(LEN(D307)=11,LEFT(D307,1)="1"),"+"&amp;D307,IF(LEFT(C307,1)="+","+"&amp;D307,D307))))</f>
        <v/>
      </c>
      <c r="AE307" s="32">
        <f>IF(B307="","",PROPER(IFERROR(LEFT(B307,FIND(" ",B307)-1),B307)))</f>
        <v/>
      </c>
      <c r="AF307" s="32">
        <f>SUBSTITUTE(SUBSTITUTE(SUBSTITUTE(SUBSTITUTE(SUBSTITUTE(SUBSTITUTE(SUBSTITUTE(SUBSTITUTE(SUBSTITUTE(SUBSTITUTE(AE307,"%","%25"),"&amp;","%26"),"#","%23"),"+","%2B"),"=","%3D"),"?","%3F"),CHAR(34),"%22"),CHAR(10),"%0A"),CHAR(13),"")," ","+")</f>
        <v/>
      </c>
      <c r="AG307" s="32">
        <f>IF(OR(AD307="",AE307=""),"",'Start Here'!$B$20&amp;"#p="&amp;SUBSTITUTE(AD307,"+","%2B")&amp;"&amp;n="&amp;AF307&amp;"&amp;m="&amp;SUBSTITUTE('Start Here'!$B$24,"{name}",AF307))</f>
        <v/>
      </c>
      <c r="AH307" s="32">
        <f>N(AH306)+W307</f>
        <v/>
      </c>
      <c r="AI307" s="32">
        <f>IF(W307=1,AH307,"")</f>
        <v/>
      </c>
    </row>
    <row r="308">
      <c r="A308" s="32">
        <f>IF(INDEX('Form Responses'!$A:$A,ROW())="","",INDEX('Form Responses'!$A:$A,ROW()))</f>
        <v/>
      </c>
      <c r="B308" s="32">
        <f>TRIM(INDEX('Form Responses'!$B:$B,ROW())&amp;"")</f>
        <v/>
      </c>
      <c r="C308" s="32">
        <f>IF(B308="","",TRIM(INDEX('Form Responses'!$C:$C,ROW())&amp;""))</f>
        <v/>
      </c>
      <c r="D308" s="32">
        <f>SUBSTITUTE(SUBSTITUTE(SUBSTITUTE(SUBSTITUTE(SUBSTITUTE(SUBSTITUTE(SUBSTITUTE(SUBSTITUTE(C308," ",""),"-",""),"(",""),")",""),".",""),"+",""),"/",""),CHAR(160),"")</f>
        <v/>
      </c>
      <c r="E308" s="32">
        <f>IF(LEN(D308)&gt;=10,RIGHT(D308,10),D308)</f>
        <v/>
      </c>
      <c r="F308" s="32">
        <f>IF(B308="","",TRIM(INDEX('Form Responses'!$D:$D,ROW())&amp;""))</f>
        <v/>
      </c>
      <c r="G308" s="32">
        <f>IF(B308="","",IF(LEFT(TRIM(INDEX('Form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8" s="32">
        <f>IF(B308="","",MAX(0,IFERROR(INT(--(INDEX('Form Responses'!$F:$F,ROW())&amp;"")),1)))</f>
        <v/>
      </c>
      <c r="I308" s="32">
        <f>IF(B308="","",MAX(0,IFERROR(INT(--(INDEX('Form Responses'!$G:$G,ROW())&amp;"")),0)))</f>
        <v/>
      </c>
      <c r="J308" s="32">
        <f>IF(B308="","",TRIM(INDEX('Form Responses'!$H:$H,ROW())&amp;""))</f>
        <v/>
      </c>
      <c r="K308" s="32">
        <f>IF(B308="","",TRIM(INDEX('Form Responses'!$I:$I,ROW())&amp;""))</f>
        <v/>
      </c>
      <c r="L308" s="32">
        <f>IF(B308="","",TRIM(INDEX('Form Responses'!$J:$J,ROW())&amp;""))</f>
        <v/>
      </c>
      <c r="M308" s="32">
        <f>IF(B308="","",TRIM(INDEX('Form Responses'!$K:$K,ROW())&amp;""))</f>
        <v/>
      </c>
      <c r="N308" s="32">
        <f>IF(B308="","",IF(E308&lt;&gt;"","P"&amp;E308,"N"&amp;B308))</f>
        <v/>
      </c>
      <c r="O308" s="32">
        <f>IF(N308="",0,IF(COUNTIF(N309:N$602,N308)=0,1,0))</f>
        <v/>
      </c>
      <c r="P308" s="32">
        <f>IF(AND(O308=1,E308&lt;&gt;""),E308,"")</f>
        <v/>
      </c>
      <c r="Q308" s="32">
        <f>IF(O308=1,B308,"")</f>
        <v/>
      </c>
      <c r="R308" s="32">
        <f>IF(O308&lt;&gt;1,"",IF(E308&lt;&gt;"",IFERROR(MATCH(E308,Guests!$S$6:$S$505,0)+5,IFERROR(MATCH(B308,Guests!$A$6:$A$505,0)+5,"")),IFERROR(MATCH(B308,Guests!$A$6:$A$505,0)+5,"")))</f>
        <v/>
      </c>
      <c r="S308" s="32">
        <f>IF(R308="","",TRIM(INDEX(Guests!$E$1:$E$505,R308)&amp;""))</f>
        <v/>
      </c>
      <c r="T308" s="32">
        <f>IF(R308="","",IF(S308="",1,COUNTIF(Guests!$E$6:$E$505,S308)))</f>
        <v/>
      </c>
      <c r="U308" s="32">
        <f>IF(R308="","",IF(S308="",1,IF(COUNTIF(S$1:S307,S308)=0,1,0)))</f>
        <v/>
      </c>
      <c r="V308" s="32">
        <f>IF(AND(R308&lt;&gt;"",G308="Attending",U308=1),MAX(0,H308+I308-T308),0)</f>
        <v/>
      </c>
      <c r="W308" s="32">
        <f>IF(AND(O308=1,R308=""),1,0)</f>
        <v/>
      </c>
      <c r="X308" s="32">
        <f>IF(B308="",0,H308+I308)</f>
        <v/>
      </c>
      <c r="Y308" s="32">
        <f>N(Y307)+O308</f>
        <v/>
      </c>
      <c r="Z308" s="32">
        <f>IF(O308=1,Y308,"")</f>
        <v/>
      </c>
      <c r="AA308" s="32">
        <f>IF(AND(W308=1,G308="Not sure yet"),1,0)</f>
        <v/>
      </c>
      <c r="AB308" s="32">
        <f>N(AB307)+AA308</f>
        <v/>
      </c>
      <c r="AC308" s="32">
        <f>IF(AA308=1,AB308,"")</f>
        <v/>
      </c>
      <c r="AD308" s="32">
        <f>IF(D308="","",IF(LEN(D308)=10,"+1"&amp;D308,IF(AND(LEN(D308)=11,LEFT(D308,1)="1"),"+"&amp;D308,IF(LEFT(C308,1)="+","+"&amp;D308,D308))))</f>
        <v/>
      </c>
      <c r="AE308" s="32">
        <f>IF(B308="","",PROPER(IFERROR(LEFT(B308,FIND(" ",B308)-1),B308)))</f>
        <v/>
      </c>
      <c r="AF308" s="32">
        <f>SUBSTITUTE(SUBSTITUTE(SUBSTITUTE(SUBSTITUTE(SUBSTITUTE(SUBSTITUTE(SUBSTITUTE(SUBSTITUTE(SUBSTITUTE(SUBSTITUTE(AE308,"%","%25"),"&amp;","%26"),"#","%23"),"+","%2B"),"=","%3D"),"?","%3F"),CHAR(34),"%22"),CHAR(10),"%0A"),CHAR(13),"")," ","+")</f>
        <v/>
      </c>
      <c r="AG308" s="32">
        <f>IF(OR(AD308="",AE308=""),"",'Start Here'!$B$20&amp;"#p="&amp;SUBSTITUTE(AD308,"+","%2B")&amp;"&amp;n="&amp;AF308&amp;"&amp;m="&amp;SUBSTITUTE('Start Here'!$B$24,"{name}",AF308))</f>
        <v/>
      </c>
      <c r="AH308" s="32">
        <f>N(AH307)+W308</f>
        <v/>
      </c>
      <c r="AI308" s="32">
        <f>IF(W308=1,AH308,"")</f>
        <v/>
      </c>
    </row>
    <row r="309">
      <c r="A309" s="32">
        <f>IF(INDEX('Form Responses'!$A:$A,ROW())="","",INDEX('Form Responses'!$A:$A,ROW()))</f>
        <v/>
      </c>
      <c r="B309" s="32">
        <f>TRIM(INDEX('Form Responses'!$B:$B,ROW())&amp;"")</f>
        <v/>
      </c>
      <c r="C309" s="32">
        <f>IF(B309="","",TRIM(INDEX('Form Responses'!$C:$C,ROW())&amp;""))</f>
        <v/>
      </c>
      <c r="D309" s="32">
        <f>SUBSTITUTE(SUBSTITUTE(SUBSTITUTE(SUBSTITUTE(SUBSTITUTE(SUBSTITUTE(SUBSTITUTE(SUBSTITUTE(C309," ",""),"-",""),"(",""),")",""),".",""),"+",""),"/",""),CHAR(160),"")</f>
        <v/>
      </c>
      <c r="E309" s="32">
        <f>IF(LEN(D309)&gt;=10,RIGHT(D309,10),D309)</f>
        <v/>
      </c>
      <c r="F309" s="32">
        <f>IF(B309="","",TRIM(INDEX('Form Responses'!$D:$D,ROW())&amp;""))</f>
        <v/>
      </c>
      <c r="G309" s="32">
        <f>IF(B309="","",IF(LEFT(TRIM(INDEX('Form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09" s="32">
        <f>IF(B309="","",MAX(0,IFERROR(INT(--(INDEX('Form Responses'!$F:$F,ROW())&amp;"")),1)))</f>
        <v/>
      </c>
      <c r="I309" s="32">
        <f>IF(B309="","",MAX(0,IFERROR(INT(--(INDEX('Form Responses'!$G:$G,ROW())&amp;"")),0)))</f>
        <v/>
      </c>
      <c r="J309" s="32">
        <f>IF(B309="","",TRIM(INDEX('Form Responses'!$H:$H,ROW())&amp;""))</f>
        <v/>
      </c>
      <c r="K309" s="32">
        <f>IF(B309="","",TRIM(INDEX('Form Responses'!$I:$I,ROW())&amp;""))</f>
        <v/>
      </c>
      <c r="L309" s="32">
        <f>IF(B309="","",TRIM(INDEX('Form Responses'!$J:$J,ROW())&amp;""))</f>
        <v/>
      </c>
      <c r="M309" s="32">
        <f>IF(B309="","",TRIM(INDEX('Form Responses'!$K:$K,ROW())&amp;""))</f>
        <v/>
      </c>
      <c r="N309" s="32">
        <f>IF(B309="","",IF(E309&lt;&gt;"","P"&amp;E309,"N"&amp;B309))</f>
        <v/>
      </c>
      <c r="O309" s="32">
        <f>IF(N309="",0,IF(COUNTIF(N310:N$602,N309)=0,1,0))</f>
        <v/>
      </c>
      <c r="P309" s="32">
        <f>IF(AND(O309=1,E309&lt;&gt;""),E309,"")</f>
        <v/>
      </c>
      <c r="Q309" s="32">
        <f>IF(O309=1,B309,"")</f>
        <v/>
      </c>
      <c r="R309" s="32">
        <f>IF(O309&lt;&gt;1,"",IF(E309&lt;&gt;"",IFERROR(MATCH(E309,Guests!$S$6:$S$505,0)+5,IFERROR(MATCH(B309,Guests!$A$6:$A$505,0)+5,"")),IFERROR(MATCH(B309,Guests!$A$6:$A$505,0)+5,"")))</f>
        <v/>
      </c>
      <c r="S309" s="32">
        <f>IF(R309="","",TRIM(INDEX(Guests!$E$1:$E$505,R309)&amp;""))</f>
        <v/>
      </c>
      <c r="T309" s="32">
        <f>IF(R309="","",IF(S309="",1,COUNTIF(Guests!$E$6:$E$505,S309)))</f>
        <v/>
      </c>
      <c r="U309" s="32">
        <f>IF(R309="","",IF(S309="",1,IF(COUNTIF(S$1:S308,S309)=0,1,0)))</f>
        <v/>
      </c>
      <c r="V309" s="32">
        <f>IF(AND(R309&lt;&gt;"",G309="Attending",U309=1),MAX(0,H309+I309-T309),0)</f>
        <v/>
      </c>
      <c r="W309" s="32">
        <f>IF(AND(O309=1,R309=""),1,0)</f>
        <v/>
      </c>
      <c r="X309" s="32">
        <f>IF(B309="",0,H309+I309)</f>
        <v/>
      </c>
      <c r="Y309" s="32">
        <f>N(Y308)+O309</f>
        <v/>
      </c>
      <c r="Z309" s="32">
        <f>IF(O309=1,Y309,"")</f>
        <v/>
      </c>
      <c r="AA309" s="32">
        <f>IF(AND(W309=1,G309="Not sure yet"),1,0)</f>
        <v/>
      </c>
      <c r="AB309" s="32">
        <f>N(AB308)+AA309</f>
        <v/>
      </c>
      <c r="AC309" s="32">
        <f>IF(AA309=1,AB309,"")</f>
        <v/>
      </c>
      <c r="AD309" s="32">
        <f>IF(D309="","",IF(LEN(D309)=10,"+1"&amp;D309,IF(AND(LEN(D309)=11,LEFT(D309,1)="1"),"+"&amp;D309,IF(LEFT(C309,1)="+","+"&amp;D309,D309))))</f>
        <v/>
      </c>
      <c r="AE309" s="32">
        <f>IF(B309="","",PROPER(IFERROR(LEFT(B309,FIND(" ",B309)-1),B309)))</f>
        <v/>
      </c>
      <c r="AF309" s="32">
        <f>SUBSTITUTE(SUBSTITUTE(SUBSTITUTE(SUBSTITUTE(SUBSTITUTE(SUBSTITUTE(SUBSTITUTE(SUBSTITUTE(SUBSTITUTE(SUBSTITUTE(AE309,"%","%25"),"&amp;","%26"),"#","%23"),"+","%2B"),"=","%3D"),"?","%3F"),CHAR(34),"%22"),CHAR(10),"%0A"),CHAR(13),"")," ","+")</f>
        <v/>
      </c>
      <c r="AG309" s="32">
        <f>IF(OR(AD309="",AE309=""),"",'Start Here'!$B$20&amp;"#p="&amp;SUBSTITUTE(AD309,"+","%2B")&amp;"&amp;n="&amp;AF309&amp;"&amp;m="&amp;SUBSTITUTE('Start Here'!$B$24,"{name}",AF309))</f>
        <v/>
      </c>
      <c r="AH309" s="32">
        <f>N(AH308)+W309</f>
        <v/>
      </c>
      <c r="AI309" s="32">
        <f>IF(W309=1,AH309,"")</f>
        <v/>
      </c>
    </row>
    <row r="310">
      <c r="A310" s="32">
        <f>IF(INDEX('Form Responses'!$A:$A,ROW())="","",INDEX('Form Responses'!$A:$A,ROW()))</f>
        <v/>
      </c>
      <c r="B310" s="32">
        <f>TRIM(INDEX('Form Responses'!$B:$B,ROW())&amp;"")</f>
        <v/>
      </c>
      <c r="C310" s="32">
        <f>IF(B310="","",TRIM(INDEX('Form Responses'!$C:$C,ROW())&amp;""))</f>
        <v/>
      </c>
      <c r="D310" s="32">
        <f>SUBSTITUTE(SUBSTITUTE(SUBSTITUTE(SUBSTITUTE(SUBSTITUTE(SUBSTITUTE(SUBSTITUTE(SUBSTITUTE(C310," ",""),"-",""),"(",""),")",""),".",""),"+",""),"/",""),CHAR(160),"")</f>
        <v/>
      </c>
      <c r="E310" s="32">
        <f>IF(LEN(D310)&gt;=10,RIGHT(D310,10),D310)</f>
        <v/>
      </c>
      <c r="F310" s="32">
        <f>IF(B310="","",TRIM(INDEX('Form Responses'!$D:$D,ROW())&amp;""))</f>
        <v/>
      </c>
      <c r="G310" s="32">
        <f>IF(B310="","",IF(LEFT(TRIM(INDEX('Form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0" s="32">
        <f>IF(B310="","",MAX(0,IFERROR(INT(--(INDEX('Form Responses'!$F:$F,ROW())&amp;"")),1)))</f>
        <v/>
      </c>
      <c r="I310" s="32">
        <f>IF(B310="","",MAX(0,IFERROR(INT(--(INDEX('Form Responses'!$G:$G,ROW())&amp;"")),0)))</f>
        <v/>
      </c>
      <c r="J310" s="32">
        <f>IF(B310="","",TRIM(INDEX('Form Responses'!$H:$H,ROW())&amp;""))</f>
        <v/>
      </c>
      <c r="K310" s="32">
        <f>IF(B310="","",TRIM(INDEX('Form Responses'!$I:$I,ROW())&amp;""))</f>
        <v/>
      </c>
      <c r="L310" s="32">
        <f>IF(B310="","",TRIM(INDEX('Form Responses'!$J:$J,ROW())&amp;""))</f>
        <v/>
      </c>
      <c r="M310" s="32">
        <f>IF(B310="","",TRIM(INDEX('Form Responses'!$K:$K,ROW())&amp;""))</f>
        <v/>
      </c>
      <c r="N310" s="32">
        <f>IF(B310="","",IF(E310&lt;&gt;"","P"&amp;E310,"N"&amp;B310))</f>
        <v/>
      </c>
      <c r="O310" s="32">
        <f>IF(N310="",0,IF(COUNTIF(N311:N$602,N310)=0,1,0))</f>
        <v/>
      </c>
      <c r="P310" s="32">
        <f>IF(AND(O310=1,E310&lt;&gt;""),E310,"")</f>
        <v/>
      </c>
      <c r="Q310" s="32">
        <f>IF(O310=1,B310,"")</f>
        <v/>
      </c>
      <c r="R310" s="32">
        <f>IF(O310&lt;&gt;1,"",IF(E310&lt;&gt;"",IFERROR(MATCH(E310,Guests!$S$6:$S$505,0)+5,IFERROR(MATCH(B310,Guests!$A$6:$A$505,0)+5,"")),IFERROR(MATCH(B310,Guests!$A$6:$A$505,0)+5,"")))</f>
        <v/>
      </c>
      <c r="S310" s="32">
        <f>IF(R310="","",TRIM(INDEX(Guests!$E$1:$E$505,R310)&amp;""))</f>
        <v/>
      </c>
      <c r="T310" s="32">
        <f>IF(R310="","",IF(S310="",1,COUNTIF(Guests!$E$6:$E$505,S310)))</f>
        <v/>
      </c>
      <c r="U310" s="32">
        <f>IF(R310="","",IF(S310="",1,IF(COUNTIF(S$1:S309,S310)=0,1,0)))</f>
        <v/>
      </c>
      <c r="V310" s="32">
        <f>IF(AND(R310&lt;&gt;"",G310="Attending",U310=1),MAX(0,H310+I310-T310),0)</f>
        <v/>
      </c>
      <c r="W310" s="32">
        <f>IF(AND(O310=1,R310=""),1,0)</f>
        <v/>
      </c>
      <c r="X310" s="32">
        <f>IF(B310="",0,H310+I310)</f>
        <v/>
      </c>
      <c r="Y310" s="32">
        <f>N(Y309)+O310</f>
        <v/>
      </c>
      <c r="Z310" s="32">
        <f>IF(O310=1,Y310,"")</f>
        <v/>
      </c>
      <c r="AA310" s="32">
        <f>IF(AND(W310=1,G310="Not sure yet"),1,0)</f>
        <v/>
      </c>
      <c r="AB310" s="32">
        <f>N(AB309)+AA310</f>
        <v/>
      </c>
      <c r="AC310" s="32">
        <f>IF(AA310=1,AB310,"")</f>
        <v/>
      </c>
      <c r="AD310" s="32">
        <f>IF(D310="","",IF(LEN(D310)=10,"+1"&amp;D310,IF(AND(LEN(D310)=11,LEFT(D310,1)="1"),"+"&amp;D310,IF(LEFT(C310,1)="+","+"&amp;D310,D310))))</f>
        <v/>
      </c>
      <c r="AE310" s="32">
        <f>IF(B310="","",PROPER(IFERROR(LEFT(B310,FIND(" ",B310)-1),B310)))</f>
        <v/>
      </c>
      <c r="AF310" s="32">
        <f>SUBSTITUTE(SUBSTITUTE(SUBSTITUTE(SUBSTITUTE(SUBSTITUTE(SUBSTITUTE(SUBSTITUTE(SUBSTITUTE(SUBSTITUTE(SUBSTITUTE(AE310,"%","%25"),"&amp;","%26"),"#","%23"),"+","%2B"),"=","%3D"),"?","%3F"),CHAR(34),"%22"),CHAR(10),"%0A"),CHAR(13),"")," ","+")</f>
        <v/>
      </c>
      <c r="AG310" s="32">
        <f>IF(OR(AD310="",AE310=""),"",'Start Here'!$B$20&amp;"#p="&amp;SUBSTITUTE(AD310,"+","%2B")&amp;"&amp;n="&amp;AF310&amp;"&amp;m="&amp;SUBSTITUTE('Start Here'!$B$24,"{name}",AF310))</f>
        <v/>
      </c>
      <c r="AH310" s="32">
        <f>N(AH309)+W310</f>
        <v/>
      </c>
      <c r="AI310" s="32">
        <f>IF(W310=1,AH310,"")</f>
        <v/>
      </c>
    </row>
    <row r="311">
      <c r="A311" s="32">
        <f>IF(INDEX('Form Responses'!$A:$A,ROW())="","",INDEX('Form Responses'!$A:$A,ROW()))</f>
        <v/>
      </c>
      <c r="B311" s="32">
        <f>TRIM(INDEX('Form Responses'!$B:$B,ROW())&amp;"")</f>
        <v/>
      </c>
      <c r="C311" s="32">
        <f>IF(B311="","",TRIM(INDEX('Form Responses'!$C:$C,ROW())&amp;""))</f>
        <v/>
      </c>
      <c r="D311" s="32">
        <f>SUBSTITUTE(SUBSTITUTE(SUBSTITUTE(SUBSTITUTE(SUBSTITUTE(SUBSTITUTE(SUBSTITUTE(SUBSTITUTE(C311," ",""),"-",""),"(",""),")",""),".",""),"+",""),"/",""),CHAR(160),"")</f>
        <v/>
      </c>
      <c r="E311" s="32">
        <f>IF(LEN(D311)&gt;=10,RIGHT(D311,10),D311)</f>
        <v/>
      </c>
      <c r="F311" s="32">
        <f>IF(B311="","",TRIM(INDEX('Form Responses'!$D:$D,ROW())&amp;""))</f>
        <v/>
      </c>
      <c r="G311" s="32">
        <f>IF(B311="","",IF(LEFT(TRIM(INDEX('Form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1" s="32">
        <f>IF(B311="","",MAX(0,IFERROR(INT(--(INDEX('Form Responses'!$F:$F,ROW())&amp;"")),1)))</f>
        <v/>
      </c>
      <c r="I311" s="32">
        <f>IF(B311="","",MAX(0,IFERROR(INT(--(INDEX('Form Responses'!$G:$G,ROW())&amp;"")),0)))</f>
        <v/>
      </c>
      <c r="J311" s="32">
        <f>IF(B311="","",TRIM(INDEX('Form Responses'!$H:$H,ROW())&amp;""))</f>
        <v/>
      </c>
      <c r="K311" s="32">
        <f>IF(B311="","",TRIM(INDEX('Form Responses'!$I:$I,ROW())&amp;""))</f>
        <v/>
      </c>
      <c r="L311" s="32">
        <f>IF(B311="","",TRIM(INDEX('Form Responses'!$J:$J,ROW())&amp;""))</f>
        <v/>
      </c>
      <c r="M311" s="32">
        <f>IF(B311="","",TRIM(INDEX('Form Responses'!$K:$K,ROW())&amp;""))</f>
        <v/>
      </c>
      <c r="N311" s="32">
        <f>IF(B311="","",IF(E311&lt;&gt;"","P"&amp;E311,"N"&amp;B311))</f>
        <v/>
      </c>
      <c r="O311" s="32">
        <f>IF(N311="",0,IF(COUNTIF(N312:N$602,N311)=0,1,0))</f>
        <v/>
      </c>
      <c r="P311" s="32">
        <f>IF(AND(O311=1,E311&lt;&gt;""),E311,"")</f>
        <v/>
      </c>
      <c r="Q311" s="32">
        <f>IF(O311=1,B311,"")</f>
        <v/>
      </c>
      <c r="R311" s="32">
        <f>IF(O311&lt;&gt;1,"",IF(E311&lt;&gt;"",IFERROR(MATCH(E311,Guests!$S$6:$S$505,0)+5,IFERROR(MATCH(B311,Guests!$A$6:$A$505,0)+5,"")),IFERROR(MATCH(B311,Guests!$A$6:$A$505,0)+5,"")))</f>
        <v/>
      </c>
      <c r="S311" s="32">
        <f>IF(R311="","",TRIM(INDEX(Guests!$E$1:$E$505,R311)&amp;""))</f>
        <v/>
      </c>
      <c r="T311" s="32">
        <f>IF(R311="","",IF(S311="",1,COUNTIF(Guests!$E$6:$E$505,S311)))</f>
        <v/>
      </c>
      <c r="U311" s="32">
        <f>IF(R311="","",IF(S311="",1,IF(COUNTIF(S$1:S310,S311)=0,1,0)))</f>
        <v/>
      </c>
      <c r="V311" s="32">
        <f>IF(AND(R311&lt;&gt;"",G311="Attending",U311=1),MAX(0,H311+I311-T311),0)</f>
        <v/>
      </c>
      <c r="W311" s="32">
        <f>IF(AND(O311=1,R311=""),1,0)</f>
        <v/>
      </c>
      <c r="X311" s="32">
        <f>IF(B311="",0,H311+I311)</f>
        <v/>
      </c>
      <c r="Y311" s="32">
        <f>N(Y310)+O311</f>
        <v/>
      </c>
      <c r="Z311" s="32">
        <f>IF(O311=1,Y311,"")</f>
        <v/>
      </c>
      <c r="AA311" s="32">
        <f>IF(AND(W311=1,G311="Not sure yet"),1,0)</f>
        <v/>
      </c>
      <c r="AB311" s="32">
        <f>N(AB310)+AA311</f>
        <v/>
      </c>
      <c r="AC311" s="32">
        <f>IF(AA311=1,AB311,"")</f>
        <v/>
      </c>
      <c r="AD311" s="32">
        <f>IF(D311="","",IF(LEN(D311)=10,"+1"&amp;D311,IF(AND(LEN(D311)=11,LEFT(D311,1)="1"),"+"&amp;D311,IF(LEFT(C311,1)="+","+"&amp;D311,D311))))</f>
        <v/>
      </c>
      <c r="AE311" s="32">
        <f>IF(B311="","",PROPER(IFERROR(LEFT(B311,FIND(" ",B311)-1),B311)))</f>
        <v/>
      </c>
      <c r="AF311" s="32">
        <f>SUBSTITUTE(SUBSTITUTE(SUBSTITUTE(SUBSTITUTE(SUBSTITUTE(SUBSTITUTE(SUBSTITUTE(SUBSTITUTE(SUBSTITUTE(SUBSTITUTE(AE311,"%","%25"),"&amp;","%26"),"#","%23"),"+","%2B"),"=","%3D"),"?","%3F"),CHAR(34),"%22"),CHAR(10),"%0A"),CHAR(13),"")," ","+")</f>
        <v/>
      </c>
      <c r="AG311" s="32">
        <f>IF(OR(AD311="",AE311=""),"",'Start Here'!$B$20&amp;"#p="&amp;SUBSTITUTE(AD311,"+","%2B")&amp;"&amp;n="&amp;AF311&amp;"&amp;m="&amp;SUBSTITUTE('Start Here'!$B$24,"{name}",AF311))</f>
        <v/>
      </c>
      <c r="AH311" s="32">
        <f>N(AH310)+W311</f>
        <v/>
      </c>
      <c r="AI311" s="32">
        <f>IF(W311=1,AH311,"")</f>
        <v/>
      </c>
    </row>
    <row r="312">
      <c r="A312" s="32">
        <f>IF(INDEX('Form Responses'!$A:$A,ROW())="","",INDEX('Form Responses'!$A:$A,ROW()))</f>
        <v/>
      </c>
      <c r="B312" s="32">
        <f>TRIM(INDEX('Form Responses'!$B:$B,ROW())&amp;"")</f>
        <v/>
      </c>
      <c r="C312" s="32">
        <f>IF(B312="","",TRIM(INDEX('Form Responses'!$C:$C,ROW())&amp;""))</f>
        <v/>
      </c>
      <c r="D312" s="32">
        <f>SUBSTITUTE(SUBSTITUTE(SUBSTITUTE(SUBSTITUTE(SUBSTITUTE(SUBSTITUTE(SUBSTITUTE(SUBSTITUTE(C312," ",""),"-",""),"(",""),")",""),".",""),"+",""),"/",""),CHAR(160),"")</f>
        <v/>
      </c>
      <c r="E312" s="32">
        <f>IF(LEN(D312)&gt;=10,RIGHT(D312,10),D312)</f>
        <v/>
      </c>
      <c r="F312" s="32">
        <f>IF(B312="","",TRIM(INDEX('Form Responses'!$D:$D,ROW())&amp;""))</f>
        <v/>
      </c>
      <c r="G312" s="32">
        <f>IF(B312="","",IF(LEFT(TRIM(INDEX('Form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2" s="32">
        <f>IF(B312="","",MAX(0,IFERROR(INT(--(INDEX('Form Responses'!$F:$F,ROW())&amp;"")),1)))</f>
        <v/>
      </c>
      <c r="I312" s="32">
        <f>IF(B312="","",MAX(0,IFERROR(INT(--(INDEX('Form Responses'!$G:$G,ROW())&amp;"")),0)))</f>
        <v/>
      </c>
      <c r="J312" s="32">
        <f>IF(B312="","",TRIM(INDEX('Form Responses'!$H:$H,ROW())&amp;""))</f>
        <v/>
      </c>
      <c r="K312" s="32">
        <f>IF(B312="","",TRIM(INDEX('Form Responses'!$I:$I,ROW())&amp;""))</f>
        <v/>
      </c>
      <c r="L312" s="32">
        <f>IF(B312="","",TRIM(INDEX('Form Responses'!$J:$J,ROW())&amp;""))</f>
        <v/>
      </c>
      <c r="M312" s="32">
        <f>IF(B312="","",TRIM(INDEX('Form Responses'!$K:$K,ROW())&amp;""))</f>
        <v/>
      </c>
      <c r="N312" s="32">
        <f>IF(B312="","",IF(E312&lt;&gt;"","P"&amp;E312,"N"&amp;B312))</f>
        <v/>
      </c>
      <c r="O312" s="32">
        <f>IF(N312="",0,IF(COUNTIF(N313:N$602,N312)=0,1,0))</f>
        <v/>
      </c>
      <c r="P312" s="32">
        <f>IF(AND(O312=1,E312&lt;&gt;""),E312,"")</f>
        <v/>
      </c>
      <c r="Q312" s="32">
        <f>IF(O312=1,B312,"")</f>
        <v/>
      </c>
      <c r="R312" s="32">
        <f>IF(O312&lt;&gt;1,"",IF(E312&lt;&gt;"",IFERROR(MATCH(E312,Guests!$S$6:$S$505,0)+5,IFERROR(MATCH(B312,Guests!$A$6:$A$505,0)+5,"")),IFERROR(MATCH(B312,Guests!$A$6:$A$505,0)+5,"")))</f>
        <v/>
      </c>
      <c r="S312" s="32">
        <f>IF(R312="","",TRIM(INDEX(Guests!$E$1:$E$505,R312)&amp;""))</f>
        <v/>
      </c>
      <c r="T312" s="32">
        <f>IF(R312="","",IF(S312="",1,COUNTIF(Guests!$E$6:$E$505,S312)))</f>
        <v/>
      </c>
      <c r="U312" s="32">
        <f>IF(R312="","",IF(S312="",1,IF(COUNTIF(S$1:S311,S312)=0,1,0)))</f>
        <v/>
      </c>
      <c r="V312" s="32">
        <f>IF(AND(R312&lt;&gt;"",G312="Attending",U312=1),MAX(0,H312+I312-T312),0)</f>
        <v/>
      </c>
      <c r="W312" s="32">
        <f>IF(AND(O312=1,R312=""),1,0)</f>
        <v/>
      </c>
      <c r="X312" s="32">
        <f>IF(B312="",0,H312+I312)</f>
        <v/>
      </c>
      <c r="Y312" s="32">
        <f>N(Y311)+O312</f>
        <v/>
      </c>
      <c r="Z312" s="32">
        <f>IF(O312=1,Y312,"")</f>
        <v/>
      </c>
      <c r="AA312" s="32">
        <f>IF(AND(W312=1,G312="Not sure yet"),1,0)</f>
        <v/>
      </c>
      <c r="AB312" s="32">
        <f>N(AB311)+AA312</f>
        <v/>
      </c>
      <c r="AC312" s="32">
        <f>IF(AA312=1,AB312,"")</f>
        <v/>
      </c>
      <c r="AD312" s="32">
        <f>IF(D312="","",IF(LEN(D312)=10,"+1"&amp;D312,IF(AND(LEN(D312)=11,LEFT(D312,1)="1"),"+"&amp;D312,IF(LEFT(C312,1)="+","+"&amp;D312,D312))))</f>
        <v/>
      </c>
      <c r="AE312" s="32">
        <f>IF(B312="","",PROPER(IFERROR(LEFT(B312,FIND(" ",B312)-1),B312)))</f>
        <v/>
      </c>
      <c r="AF312" s="32">
        <f>SUBSTITUTE(SUBSTITUTE(SUBSTITUTE(SUBSTITUTE(SUBSTITUTE(SUBSTITUTE(SUBSTITUTE(SUBSTITUTE(SUBSTITUTE(SUBSTITUTE(AE312,"%","%25"),"&amp;","%26"),"#","%23"),"+","%2B"),"=","%3D"),"?","%3F"),CHAR(34),"%22"),CHAR(10),"%0A"),CHAR(13),"")," ","+")</f>
        <v/>
      </c>
      <c r="AG312" s="32">
        <f>IF(OR(AD312="",AE312=""),"",'Start Here'!$B$20&amp;"#p="&amp;SUBSTITUTE(AD312,"+","%2B")&amp;"&amp;n="&amp;AF312&amp;"&amp;m="&amp;SUBSTITUTE('Start Here'!$B$24,"{name}",AF312))</f>
        <v/>
      </c>
      <c r="AH312" s="32">
        <f>N(AH311)+W312</f>
        <v/>
      </c>
      <c r="AI312" s="32">
        <f>IF(W312=1,AH312,"")</f>
        <v/>
      </c>
    </row>
    <row r="313">
      <c r="A313" s="32">
        <f>IF(INDEX('Form Responses'!$A:$A,ROW())="","",INDEX('Form Responses'!$A:$A,ROW()))</f>
        <v/>
      </c>
      <c r="B313" s="32">
        <f>TRIM(INDEX('Form Responses'!$B:$B,ROW())&amp;"")</f>
        <v/>
      </c>
      <c r="C313" s="32">
        <f>IF(B313="","",TRIM(INDEX('Form Responses'!$C:$C,ROW())&amp;""))</f>
        <v/>
      </c>
      <c r="D313" s="32">
        <f>SUBSTITUTE(SUBSTITUTE(SUBSTITUTE(SUBSTITUTE(SUBSTITUTE(SUBSTITUTE(SUBSTITUTE(SUBSTITUTE(C313," ",""),"-",""),"(",""),")",""),".",""),"+",""),"/",""),CHAR(160),"")</f>
        <v/>
      </c>
      <c r="E313" s="32">
        <f>IF(LEN(D313)&gt;=10,RIGHT(D313,10),D313)</f>
        <v/>
      </c>
      <c r="F313" s="32">
        <f>IF(B313="","",TRIM(INDEX('Form Responses'!$D:$D,ROW())&amp;""))</f>
        <v/>
      </c>
      <c r="G313" s="32">
        <f>IF(B313="","",IF(LEFT(TRIM(INDEX('Form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3" s="32">
        <f>IF(B313="","",MAX(0,IFERROR(INT(--(INDEX('Form Responses'!$F:$F,ROW())&amp;"")),1)))</f>
        <v/>
      </c>
      <c r="I313" s="32">
        <f>IF(B313="","",MAX(0,IFERROR(INT(--(INDEX('Form Responses'!$G:$G,ROW())&amp;"")),0)))</f>
        <v/>
      </c>
      <c r="J313" s="32">
        <f>IF(B313="","",TRIM(INDEX('Form Responses'!$H:$H,ROW())&amp;""))</f>
        <v/>
      </c>
      <c r="K313" s="32">
        <f>IF(B313="","",TRIM(INDEX('Form Responses'!$I:$I,ROW())&amp;""))</f>
        <v/>
      </c>
      <c r="L313" s="32">
        <f>IF(B313="","",TRIM(INDEX('Form Responses'!$J:$J,ROW())&amp;""))</f>
        <v/>
      </c>
      <c r="M313" s="32">
        <f>IF(B313="","",TRIM(INDEX('Form Responses'!$K:$K,ROW())&amp;""))</f>
        <v/>
      </c>
      <c r="N313" s="32">
        <f>IF(B313="","",IF(E313&lt;&gt;"","P"&amp;E313,"N"&amp;B313))</f>
        <v/>
      </c>
      <c r="O313" s="32">
        <f>IF(N313="",0,IF(COUNTIF(N314:N$602,N313)=0,1,0))</f>
        <v/>
      </c>
      <c r="P313" s="32">
        <f>IF(AND(O313=1,E313&lt;&gt;""),E313,"")</f>
        <v/>
      </c>
      <c r="Q313" s="32">
        <f>IF(O313=1,B313,"")</f>
        <v/>
      </c>
      <c r="R313" s="32">
        <f>IF(O313&lt;&gt;1,"",IF(E313&lt;&gt;"",IFERROR(MATCH(E313,Guests!$S$6:$S$505,0)+5,IFERROR(MATCH(B313,Guests!$A$6:$A$505,0)+5,"")),IFERROR(MATCH(B313,Guests!$A$6:$A$505,0)+5,"")))</f>
        <v/>
      </c>
      <c r="S313" s="32">
        <f>IF(R313="","",TRIM(INDEX(Guests!$E$1:$E$505,R313)&amp;""))</f>
        <v/>
      </c>
      <c r="T313" s="32">
        <f>IF(R313="","",IF(S313="",1,COUNTIF(Guests!$E$6:$E$505,S313)))</f>
        <v/>
      </c>
      <c r="U313" s="32">
        <f>IF(R313="","",IF(S313="",1,IF(COUNTIF(S$1:S312,S313)=0,1,0)))</f>
        <v/>
      </c>
      <c r="V313" s="32">
        <f>IF(AND(R313&lt;&gt;"",G313="Attending",U313=1),MAX(0,H313+I313-T313),0)</f>
        <v/>
      </c>
      <c r="W313" s="32">
        <f>IF(AND(O313=1,R313=""),1,0)</f>
        <v/>
      </c>
      <c r="X313" s="32">
        <f>IF(B313="",0,H313+I313)</f>
        <v/>
      </c>
      <c r="Y313" s="32">
        <f>N(Y312)+O313</f>
        <v/>
      </c>
      <c r="Z313" s="32">
        <f>IF(O313=1,Y313,"")</f>
        <v/>
      </c>
      <c r="AA313" s="32">
        <f>IF(AND(W313=1,G313="Not sure yet"),1,0)</f>
        <v/>
      </c>
      <c r="AB313" s="32">
        <f>N(AB312)+AA313</f>
        <v/>
      </c>
      <c r="AC313" s="32">
        <f>IF(AA313=1,AB313,"")</f>
        <v/>
      </c>
      <c r="AD313" s="32">
        <f>IF(D313="","",IF(LEN(D313)=10,"+1"&amp;D313,IF(AND(LEN(D313)=11,LEFT(D313,1)="1"),"+"&amp;D313,IF(LEFT(C313,1)="+","+"&amp;D313,D313))))</f>
        <v/>
      </c>
      <c r="AE313" s="32">
        <f>IF(B313="","",PROPER(IFERROR(LEFT(B313,FIND(" ",B313)-1),B313)))</f>
        <v/>
      </c>
      <c r="AF313" s="32">
        <f>SUBSTITUTE(SUBSTITUTE(SUBSTITUTE(SUBSTITUTE(SUBSTITUTE(SUBSTITUTE(SUBSTITUTE(SUBSTITUTE(SUBSTITUTE(SUBSTITUTE(AE313,"%","%25"),"&amp;","%26"),"#","%23"),"+","%2B"),"=","%3D"),"?","%3F"),CHAR(34),"%22"),CHAR(10),"%0A"),CHAR(13),"")," ","+")</f>
        <v/>
      </c>
      <c r="AG313" s="32">
        <f>IF(OR(AD313="",AE313=""),"",'Start Here'!$B$20&amp;"#p="&amp;SUBSTITUTE(AD313,"+","%2B")&amp;"&amp;n="&amp;AF313&amp;"&amp;m="&amp;SUBSTITUTE('Start Here'!$B$24,"{name}",AF313))</f>
        <v/>
      </c>
      <c r="AH313" s="32">
        <f>N(AH312)+W313</f>
        <v/>
      </c>
      <c r="AI313" s="32">
        <f>IF(W313=1,AH313,"")</f>
        <v/>
      </c>
    </row>
    <row r="314">
      <c r="A314" s="32">
        <f>IF(INDEX('Form Responses'!$A:$A,ROW())="","",INDEX('Form Responses'!$A:$A,ROW()))</f>
        <v/>
      </c>
      <c r="B314" s="32">
        <f>TRIM(INDEX('Form Responses'!$B:$B,ROW())&amp;"")</f>
        <v/>
      </c>
      <c r="C314" s="32">
        <f>IF(B314="","",TRIM(INDEX('Form Responses'!$C:$C,ROW())&amp;""))</f>
        <v/>
      </c>
      <c r="D314" s="32">
        <f>SUBSTITUTE(SUBSTITUTE(SUBSTITUTE(SUBSTITUTE(SUBSTITUTE(SUBSTITUTE(SUBSTITUTE(SUBSTITUTE(C314," ",""),"-",""),"(",""),")",""),".",""),"+",""),"/",""),CHAR(160),"")</f>
        <v/>
      </c>
      <c r="E314" s="32">
        <f>IF(LEN(D314)&gt;=10,RIGHT(D314,10),D314)</f>
        <v/>
      </c>
      <c r="F314" s="32">
        <f>IF(B314="","",TRIM(INDEX('Form Responses'!$D:$D,ROW())&amp;""))</f>
        <v/>
      </c>
      <c r="G314" s="32">
        <f>IF(B314="","",IF(LEFT(TRIM(INDEX('Form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4" s="32">
        <f>IF(B314="","",MAX(0,IFERROR(INT(--(INDEX('Form Responses'!$F:$F,ROW())&amp;"")),1)))</f>
        <v/>
      </c>
      <c r="I314" s="32">
        <f>IF(B314="","",MAX(0,IFERROR(INT(--(INDEX('Form Responses'!$G:$G,ROW())&amp;"")),0)))</f>
        <v/>
      </c>
      <c r="J314" s="32">
        <f>IF(B314="","",TRIM(INDEX('Form Responses'!$H:$H,ROW())&amp;""))</f>
        <v/>
      </c>
      <c r="K314" s="32">
        <f>IF(B314="","",TRIM(INDEX('Form Responses'!$I:$I,ROW())&amp;""))</f>
        <v/>
      </c>
      <c r="L314" s="32">
        <f>IF(B314="","",TRIM(INDEX('Form Responses'!$J:$J,ROW())&amp;""))</f>
        <v/>
      </c>
      <c r="M314" s="32">
        <f>IF(B314="","",TRIM(INDEX('Form Responses'!$K:$K,ROW())&amp;""))</f>
        <v/>
      </c>
      <c r="N314" s="32">
        <f>IF(B314="","",IF(E314&lt;&gt;"","P"&amp;E314,"N"&amp;B314))</f>
        <v/>
      </c>
      <c r="O314" s="32">
        <f>IF(N314="",0,IF(COUNTIF(N315:N$602,N314)=0,1,0))</f>
        <v/>
      </c>
      <c r="P314" s="32">
        <f>IF(AND(O314=1,E314&lt;&gt;""),E314,"")</f>
        <v/>
      </c>
      <c r="Q314" s="32">
        <f>IF(O314=1,B314,"")</f>
        <v/>
      </c>
      <c r="R314" s="32">
        <f>IF(O314&lt;&gt;1,"",IF(E314&lt;&gt;"",IFERROR(MATCH(E314,Guests!$S$6:$S$505,0)+5,IFERROR(MATCH(B314,Guests!$A$6:$A$505,0)+5,"")),IFERROR(MATCH(B314,Guests!$A$6:$A$505,0)+5,"")))</f>
        <v/>
      </c>
      <c r="S314" s="32">
        <f>IF(R314="","",TRIM(INDEX(Guests!$E$1:$E$505,R314)&amp;""))</f>
        <v/>
      </c>
      <c r="T314" s="32">
        <f>IF(R314="","",IF(S314="",1,COUNTIF(Guests!$E$6:$E$505,S314)))</f>
        <v/>
      </c>
      <c r="U314" s="32">
        <f>IF(R314="","",IF(S314="",1,IF(COUNTIF(S$1:S313,S314)=0,1,0)))</f>
        <v/>
      </c>
      <c r="V314" s="32">
        <f>IF(AND(R314&lt;&gt;"",G314="Attending",U314=1),MAX(0,H314+I314-T314),0)</f>
        <v/>
      </c>
      <c r="W314" s="32">
        <f>IF(AND(O314=1,R314=""),1,0)</f>
        <v/>
      </c>
      <c r="X314" s="32">
        <f>IF(B314="",0,H314+I314)</f>
        <v/>
      </c>
      <c r="Y314" s="32">
        <f>N(Y313)+O314</f>
        <v/>
      </c>
      <c r="Z314" s="32">
        <f>IF(O314=1,Y314,"")</f>
        <v/>
      </c>
      <c r="AA314" s="32">
        <f>IF(AND(W314=1,G314="Not sure yet"),1,0)</f>
        <v/>
      </c>
      <c r="AB314" s="32">
        <f>N(AB313)+AA314</f>
        <v/>
      </c>
      <c r="AC314" s="32">
        <f>IF(AA314=1,AB314,"")</f>
        <v/>
      </c>
      <c r="AD314" s="32">
        <f>IF(D314="","",IF(LEN(D314)=10,"+1"&amp;D314,IF(AND(LEN(D314)=11,LEFT(D314,1)="1"),"+"&amp;D314,IF(LEFT(C314,1)="+","+"&amp;D314,D314))))</f>
        <v/>
      </c>
      <c r="AE314" s="32">
        <f>IF(B314="","",PROPER(IFERROR(LEFT(B314,FIND(" ",B314)-1),B314)))</f>
        <v/>
      </c>
      <c r="AF314" s="32">
        <f>SUBSTITUTE(SUBSTITUTE(SUBSTITUTE(SUBSTITUTE(SUBSTITUTE(SUBSTITUTE(SUBSTITUTE(SUBSTITUTE(SUBSTITUTE(SUBSTITUTE(AE314,"%","%25"),"&amp;","%26"),"#","%23"),"+","%2B"),"=","%3D"),"?","%3F"),CHAR(34),"%22"),CHAR(10),"%0A"),CHAR(13),"")," ","+")</f>
        <v/>
      </c>
      <c r="AG314" s="32">
        <f>IF(OR(AD314="",AE314=""),"",'Start Here'!$B$20&amp;"#p="&amp;SUBSTITUTE(AD314,"+","%2B")&amp;"&amp;n="&amp;AF314&amp;"&amp;m="&amp;SUBSTITUTE('Start Here'!$B$24,"{name}",AF314))</f>
        <v/>
      </c>
      <c r="AH314" s="32">
        <f>N(AH313)+W314</f>
        <v/>
      </c>
      <c r="AI314" s="32">
        <f>IF(W314=1,AH314,"")</f>
        <v/>
      </c>
    </row>
    <row r="315">
      <c r="A315" s="32">
        <f>IF(INDEX('Form Responses'!$A:$A,ROW())="","",INDEX('Form Responses'!$A:$A,ROW()))</f>
        <v/>
      </c>
      <c r="B315" s="32">
        <f>TRIM(INDEX('Form Responses'!$B:$B,ROW())&amp;"")</f>
        <v/>
      </c>
      <c r="C315" s="32">
        <f>IF(B315="","",TRIM(INDEX('Form Responses'!$C:$C,ROW())&amp;""))</f>
        <v/>
      </c>
      <c r="D315" s="32">
        <f>SUBSTITUTE(SUBSTITUTE(SUBSTITUTE(SUBSTITUTE(SUBSTITUTE(SUBSTITUTE(SUBSTITUTE(SUBSTITUTE(C315," ",""),"-",""),"(",""),")",""),".",""),"+",""),"/",""),CHAR(160),"")</f>
        <v/>
      </c>
      <c r="E315" s="32">
        <f>IF(LEN(D315)&gt;=10,RIGHT(D315,10),D315)</f>
        <v/>
      </c>
      <c r="F315" s="32">
        <f>IF(B315="","",TRIM(INDEX('Form Responses'!$D:$D,ROW())&amp;""))</f>
        <v/>
      </c>
      <c r="G315" s="32">
        <f>IF(B315="","",IF(LEFT(TRIM(INDEX('Form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5" s="32">
        <f>IF(B315="","",MAX(0,IFERROR(INT(--(INDEX('Form Responses'!$F:$F,ROW())&amp;"")),1)))</f>
        <v/>
      </c>
      <c r="I315" s="32">
        <f>IF(B315="","",MAX(0,IFERROR(INT(--(INDEX('Form Responses'!$G:$G,ROW())&amp;"")),0)))</f>
        <v/>
      </c>
      <c r="J315" s="32">
        <f>IF(B315="","",TRIM(INDEX('Form Responses'!$H:$H,ROW())&amp;""))</f>
        <v/>
      </c>
      <c r="K315" s="32">
        <f>IF(B315="","",TRIM(INDEX('Form Responses'!$I:$I,ROW())&amp;""))</f>
        <v/>
      </c>
      <c r="L315" s="32">
        <f>IF(B315="","",TRIM(INDEX('Form Responses'!$J:$J,ROW())&amp;""))</f>
        <v/>
      </c>
      <c r="M315" s="32">
        <f>IF(B315="","",TRIM(INDEX('Form Responses'!$K:$K,ROW())&amp;""))</f>
        <v/>
      </c>
      <c r="N315" s="32">
        <f>IF(B315="","",IF(E315&lt;&gt;"","P"&amp;E315,"N"&amp;B315))</f>
        <v/>
      </c>
      <c r="O315" s="32">
        <f>IF(N315="",0,IF(COUNTIF(N316:N$602,N315)=0,1,0))</f>
        <v/>
      </c>
      <c r="P315" s="32">
        <f>IF(AND(O315=1,E315&lt;&gt;""),E315,"")</f>
        <v/>
      </c>
      <c r="Q315" s="32">
        <f>IF(O315=1,B315,"")</f>
        <v/>
      </c>
      <c r="R315" s="32">
        <f>IF(O315&lt;&gt;1,"",IF(E315&lt;&gt;"",IFERROR(MATCH(E315,Guests!$S$6:$S$505,0)+5,IFERROR(MATCH(B315,Guests!$A$6:$A$505,0)+5,"")),IFERROR(MATCH(B315,Guests!$A$6:$A$505,0)+5,"")))</f>
        <v/>
      </c>
      <c r="S315" s="32">
        <f>IF(R315="","",TRIM(INDEX(Guests!$E$1:$E$505,R315)&amp;""))</f>
        <v/>
      </c>
      <c r="T315" s="32">
        <f>IF(R315="","",IF(S315="",1,COUNTIF(Guests!$E$6:$E$505,S315)))</f>
        <v/>
      </c>
      <c r="U315" s="32">
        <f>IF(R315="","",IF(S315="",1,IF(COUNTIF(S$1:S314,S315)=0,1,0)))</f>
        <v/>
      </c>
      <c r="V315" s="32">
        <f>IF(AND(R315&lt;&gt;"",G315="Attending",U315=1),MAX(0,H315+I315-T315),0)</f>
        <v/>
      </c>
      <c r="W315" s="32">
        <f>IF(AND(O315=1,R315=""),1,0)</f>
        <v/>
      </c>
      <c r="X315" s="32">
        <f>IF(B315="",0,H315+I315)</f>
        <v/>
      </c>
      <c r="Y315" s="32">
        <f>N(Y314)+O315</f>
        <v/>
      </c>
      <c r="Z315" s="32">
        <f>IF(O315=1,Y315,"")</f>
        <v/>
      </c>
      <c r="AA315" s="32">
        <f>IF(AND(W315=1,G315="Not sure yet"),1,0)</f>
        <v/>
      </c>
      <c r="AB315" s="32">
        <f>N(AB314)+AA315</f>
        <v/>
      </c>
      <c r="AC315" s="32">
        <f>IF(AA315=1,AB315,"")</f>
        <v/>
      </c>
      <c r="AD315" s="32">
        <f>IF(D315="","",IF(LEN(D315)=10,"+1"&amp;D315,IF(AND(LEN(D315)=11,LEFT(D315,1)="1"),"+"&amp;D315,IF(LEFT(C315,1)="+","+"&amp;D315,D315))))</f>
        <v/>
      </c>
      <c r="AE315" s="32">
        <f>IF(B315="","",PROPER(IFERROR(LEFT(B315,FIND(" ",B315)-1),B315)))</f>
        <v/>
      </c>
      <c r="AF315" s="32">
        <f>SUBSTITUTE(SUBSTITUTE(SUBSTITUTE(SUBSTITUTE(SUBSTITUTE(SUBSTITUTE(SUBSTITUTE(SUBSTITUTE(SUBSTITUTE(SUBSTITUTE(AE315,"%","%25"),"&amp;","%26"),"#","%23"),"+","%2B"),"=","%3D"),"?","%3F"),CHAR(34),"%22"),CHAR(10),"%0A"),CHAR(13),"")," ","+")</f>
        <v/>
      </c>
      <c r="AG315" s="32">
        <f>IF(OR(AD315="",AE315=""),"",'Start Here'!$B$20&amp;"#p="&amp;SUBSTITUTE(AD315,"+","%2B")&amp;"&amp;n="&amp;AF315&amp;"&amp;m="&amp;SUBSTITUTE('Start Here'!$B$24,"{name}",AF315))</f>
        <v/>
      </c>
      <c r="AH315" s="32">
        <f>N(AH314)+W315</f>
        <v/>
      </c>
      <c r="AI315" s="32">
        <f>IF(W315=1,AH315,"")</f>
        <v/>
      </c>
    </row>
    <row r="316">
      <c r="A316" s="32">
        <f>IF(INDEX('Form Responses'!$A:$A,ROW())="","",INDEX('Form Responses'!$A:$A,ROW()))</f>
        <v/>
      </c>
      <c r="B316" s="32">
        <f>TRIM(INDEX('Form Responses'!$B:$B,ROW())&amp;"")</f>
        <v/>
      </c>
      <c r="C316" s="32">
        <f>IF(B316="","",TRIM(INDEX('Form Responses'!$C:$C,ROW())&amp;""))</f>
        <v/>
      </c>
      <c r="D316" s="32">
        <f>SUBSTITUTE(SUBSTITUTE(SUBSTITUTE(SUBSTITUTE(SUBSTITUTE(SUBSTITUTE(SUBSTITUTE(SUBSTITUTE(C316," ",""),"-",""),"(",""),")",""),".",""),"+",""),"/",""),CHAR(160),"")</f>
        <v/>
      </c>
      <c r="E316" s="32">
        <f>IF(LEN(D316)&gt;=10,RIGHT(D316,10),D316)</f>
        <v/>
      </c>
      <c r="F316" s="32">
        <f>IF(B316="","",TRIM(INDEX('Form Responses'!$D:$D,ROW())&amp;""))</f>
        <v/>
      </c>
      <c r="G316" s="32">
        <f>IF(B316="","",IF(LEFT(TRIM(INDEX('Form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6" s="32">
        <f>IF(B316="","",MAX(0,IFERROR(INT(--(INDEX('Form Responses'!$F:$F,ROW())&amp;"")),1)))</f>
        <v/>
      </c>
      <c r="I316" s="32">
        <f>IF(B316="","",MAX(0,IFERROR(INT(--(INDEX('Form Responses'!$G:$G,ROW())&amp;"")),0)))</f>
        <v/>
      </c>
      <c r="J316" s="32">
        <f>IF(B316="","",TRIM(INDEX('Form Responses'!$H:$H,ROW())&amp;""))</f>
        <v/>
      </c>
      <c r="K316" s="32">
        <f>IF(B316="","",TRIM(INDEX('Form Responses'!$I:$I,ROW())&amp;""))</f>
        <v/>
      </c>
      <c r="L316" s="32">
        <f>IF(B316="","",TRIM(INDEX('Form Responses'!$J:$J,ROW())&amp;""))</f>
        <v/>
      </c>
      <c r="M316" s="32">
        <f>IF(B316="","",TRIM(INDEX('Form Responses'!$K:$K,ROW())&amp;""))</f>
        <v/>
      </c>
      <c r="N316" s="32">
        <f>IF(B316="","",IF(E316&lt;&gt;"","P"&amp;E316,"N"&amp;B316))</f>
        <v/>
      </c>
      <c r="O316" s="32">
        <f>IF(N316="",0,IF(COUNTIF(N317:N$602,N316)=0,1,0))</f>
        <v/>
      </c>
      <c r="P316" s="32">
        <f>IF(AND(O316=1,E316&lt;&gt;""),E316,"")</f>
        <v/>
      </c>
      <c r="Q316" s="32">
        <f>IF(O316=1,B316,"")</f>
        <v/>
      </c>
      <c r="R316" s="32">
        <f>IF(O316&lt;&gt;1,"",IF(E316&lt;&gt;"",IFERROR(MATCH(E316,Guests!$S$6:$S$505,0)+5,IFERROR(MATCH(B316,Guests!$A$6:$A$505,0)+5,"")),IFERROR(MATCH(B316,Guests!$A$6:$A$505,0)+5,"")))</f>
        <v/>
      </c>
      <c r="S316" s="32">
        <f>IF(R316="","",TRIM(INDEX(Guests!$E$1:$E$505,R316)&amp;""))</f>
        <v/>
      </c>
      <c r="T316" s="32">
        <f>IF(R316="","",IF(S316="",1,COUNTIF(Guests!$E$6:$E$505,S316)))</f>
        <v/>
      </c>
      <c r="U316" s="32">
        <f>IF(R316="","",IF(S316="",1,IF(COUNTIF(S$1:S315,S316)=0,1,0)))</f>
        <v/>
      </c>
      <c r="V316" s="32">
        <f>IF(AND(R316&lt;&gt;"",G316="Attending",U316=1),MAX(0,H316+I316-T316),0)</f>
        <v/>
      </c>
      <c r="W316" s="32">
        <f>IF(AND(O316=1,R316=""),1,0)</f>
        <v/>
      </c>
      <c r="X316" s="32">
        <f>IF(B316="",0,H316+I316)</f>
        <v/>
      </c>
      <c r="Y316" s="32">
        <f>N(Y315)+O316</f>
        <v/>
      </c>
      <c r="Z316" s="32">
        <f>IF(O316=1,Y316,"")</f>
        <v/>
      </c>
      <c r="AA316" s="32">
        <f>IF(AND(W316=1,G316="Not sure yet"),1,0)</f>
        <v/>
      </c>
      <c r="AB316" s="32">
        <f>N(AB315)+AA316</f>
        <v/>
      </c>
      <c r="AC316" s="32">
        <f>IF(AA316=1,AB316,"")</f>
        <v/>
      </c>
      <c r="AD316" s="32">
        <f>IF(D316="","",IF(LEN(D316)=10,"+1"&amp;D316,IF(AND(LEN(D316)=11,LEFT(D316,1)="1"),"+"&amp;D316,IF(LEFT(C316,1)="+","+"&amp;D316,D316))))</f>
        <v/>
      </c>
      <c r="AE316" s="32">
        <f>IF(B316="","",PROPER(IFERROR(LEFT(B316,FIND(" ",B316)-1),B316)))</f>
        <v/>
      </c>
      <c r="AF316" s="32">
        <f>SUBSTITUTE(SUBSTITUTE(SUBSTITUTE(SUBSTITUTE(SUBSTITUTE(SUBSTITUTE(SUBSTITUTE(SUBSTITUTE(SUBSTITUTE(SUBSTITUTE(AE316,"%","%25"),"&amp;","%26"),"#","%23"),"+","%2B"),"=","%3D"),"?","%3F"),CHAR(34),"%22"),CHAR(10),"%0A"),CHAR(13),"")," ","+")</f>
        <v/>
      </c>
      <c r="AG316" s="32">
        <f>IF(OR(AD316="",AE316=""),"",'Start Here'!$B$20&amp;"#p="&amp;SUBSTITUTE(AD316,"+","%2B")&amp;"&amp;n="&amp;AF316&amp;"&amp;m="&amp;SUBSTITUTE('Start Here'!$B$24,"{name}",AF316))</f>
        <v/>
      </c>
      <c r="AH316" s="32">
        <f>N(AH315)+W316</f>
        <v/>
      </c>
      <c r="AI316" s="32">
        <f>IF(W316=1,AH316,"")</f>
        <v/>
      </c>
    </row>
    <row r="317">
      <c r="A317" s="32">
        <f>IF(INDEX('Form Responses'!$A:$A,ROW())="","",INDEX('Form Responses'!$A:$A,ROW()))</f>
        <v/>
      </c>
      <c r="B317" s="32">
        <f>TRIM(INDEX('Form Responses'!$B:$B,ROW())&amp;"")</f>
        <v/>
      </c>
      <c r="C317" s="32">
        <f>IF(B317="","",TRIM(INDEX('Form Responses'!$C:$C,ROW())&amp;""))</f>
        <v/>
      </c>
      <c r="D317" s="32">
        <f>SUBSTITUTE(SUBSTITUTE(SUBSTITUTE(SUBSTITUTE(SUBSTITUTE(SUBSTITUTE(SUBSTITUTE(SUBSTITUTE(C317," ",""),"-",""),"(",""),")",""),".",""),"+",""),"/",""),CHAR(160),"")</f>
        <v/>
      </c>
      <c r="E317" s="32">
        <f>IF(LEN(D317)&gt;=10,RIGHT(D317,10),D317)</f>
        <v/>
      </c>
      <c r="F317" s="32">
        <f>IF(B317="","",TRIM(INDEX('Form Responses'!$D:$D,ROW())&amp;""))</f>
        <v/>
      </c>
      <c r="G317" s="32">
        <f>IF(B317="","",IF(LEFT(TRIM(INDEX('Form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7" s="32">
        <f>IF(B317="","",MAX(0,IFERROR(INT(--(INDEX('Form Responses'!$F:$F,ROW())&amp;"")),1)))</f>
        <v/>
      </c>
      <c r="I317" s="32">
        <f>IF(B317="","",MAX(0,IFERROR(INT(--(INDEX('Form Responses'!$G:$G,ROW())&amp;"")),0)))</f>
        <v/>
      </c>
      <c r="J317" s="32">
        <f>IF(B317="","",TRIM(INDEX('Form Responses'!$H:$H,ROW())&amp;""))</f>
        <v/>
      </c>
      <c r="K317" s="32">
        <f>IF(B317="","",TRIM(INDEX('Form Responses'!$I:$I,ROW())&amp;""))</f>
        <v/>
      </c>
      <c r="L317" s="32">
        <f>IF(B317="","",TRIM(INDEX('Form Responses'!$J:$J,ROW())&amp;""))</f>
        <v/>
      </c>
      <c r="M317" s="32">
        <f>IF(B317="","",TRIM(INDEX('Form Responses'!$K:$K,ROW())&amp;""))</f>
        <v/>
      </c>
      <c r="N317" s="32">
        <f>IF(B317="","",IF(E317&lt;&gt;"","P"&amp;E317,"N"&amp;B317))</f>
        <v/>
      </c>
      <c r="O317" s="32">
        <f>IF(N317="",0,IF(COUNTIF(N318:N$602,N317)=0,1,0))</f>
        <v/>
      </c>
      <c r="P317" s="32">
        <f>IF(AND(O317=1,E317&lt;&gt;""),E317,"")</f>
        <v/>
      </c>
      <c r="Q317" s="32">
        <f>IF(O317=1,B317,"")</f>
        <v/>
      </c>
      <c r="R317" s="32">
        <f>IF(O317&lt;&gt;1,"",IF(E317&lt;&gt;"",IFERROR(MATCH(E317,Guests!$S$6:$S$505,0)+5,IFERROR(MATCH(B317,Guests!$A$6:$A$505,0)+5,"")),IFERROR(MATCH(B317,Guests!$A$6:$A$505,0)+5,"")))</f>
        <v/>
      </c>
      <c r="S317" s="32">
        <f>IF(R317="","",TRIM(INDEX(Guests!$E$1:$E$505,R317)&amp;""))</f>
        <v/>
      </c>
      <c r="T317" s="32">
        <f>IF(R317="","",IF(S317="",1,COUNTIF(Guests!$E$6:$E$505,S317)))</f>
        <v/>
      </c>
      <c r="U317" s="32">
        <f>IF(R317="","",IF(S317="",1,IF(COUNTIF(S$1:S316,S317)=0,1,0)))</f>
        <v/>
      </c>
      <c r="V317" s="32">
        <f>IF(AND(R317&lt;&gt;"",G317="Attending",U317=1),MAX(0,H317+I317-T317),0)</f>
        <v/>
      </c>
      <c r="W317" s="32">
        <f>IF(AND(O317=1,R317=""),1,0)</f>
        <v/>
      </c>
      <c r="X317" s="32">
        <f>IF(B317="",0,H317+I317)</f>
        <v/>
      </c>
      <c r="Y317" s="32">
        <f>N(Y316)+O317</f>
        <v/>
      </c>
      <c r="Z317" s="32">
        <f>IF(O317=1,Y317,"")</f>
        <v/>
      </c>
      <c r="AA317" s="32">
        <f>IF(AND(W317=1,G317="Not sure yet"),1,0)</f>
        <v/>
      </c>
      <c r="AB317" s="32">
        <f>N(AB316)+AA317</f>
        <v/>
      </c>
      <c r="AC317" s="32">
        <f>IF(AA317=1,AB317,"")</f>
        <v/>
      </c>
      <c r="AD317" s="32">
        <f>IF(D317="","",IF(LEN(D317)=10,"+1"&amp;D317,IF(AND(LEN(D317)=11,LEFT(D317,1)="1"),"+"&amp;D317,IF(LEFT(C317,1)="+","+"&amp;D317,D317))))</f>
        <v/>
      </c>
      <c r="AE317" s="32">
        <f>IF(B317="","",PROPER(IFERROR(LEFT(B317,FIND(" ",B317)-1),B317)))</f>
        <v/>
      </c>
      <c r="AF317" s="32">
        <f>SUBSTITUTE(SUBSTITUTE(SUBSTITUTE(SUBSTITUTE(SUBSTITUTE(SUBSTITUTE(SUBSTITUTE(SUBSTITUTE(SUBSTITUTE(SUBSTITUTE(AE317,"%","%25"),"&amp;","%26"),"#","%23"),"+","%2B"),"=","%3D"),"?","%3F"),CHAR(34),"%22"),CHAR(10),"%0A"),CHAR(13),"")," ","+")</f>
        <v/>
      </c>
      <c r="AG317" s="32">
        <f>IF(OR(AD317="",AE317=""),"",'Start Here'!$B$20&amp;"#p="&amp;SUBSTITUTE(AD317,"+","%2B")&amp;"&amp;n="&amp;AF317&amp;"&amp;m="&amp;SUBSTITUTE('Start Here'!$B$24,"{name}",AF317))</f>
        <v/>
      </c>
      <c r="AH317" s="32">
        <f>N(AH316)+W317</f>
        <v/>
      </c>
      <c r="AI317" s="32">
        <f>IF(W317=1,AH317,"")</f>
        <v/>
      </c>
    </row>
    <row r="318">
      <c r="A318" s="32">
        <f>IF(INDEX('Form Responses'!$A:$A,ROW())="","",INDEX('Form Responses'!$A:$A,ROW()))</f>
        <v/>
      </c>
      <c r="B318" s="32">
        <f>TRIM(INDEX('Form Responses'!$B:$B,ROW())&amp;"")</f>
        <v/>
      </c>
      <c r="C318" s="32">
        <f>IF(B318="","",TRIM(INDEX('Form Responses'!$C:$C,ROW())&amp;""))</f>
        <v/>
      </c>
      <c r="D318" s="32">
        <f>SUBSTITUTE(SUBSTITUTE(SUBSTITUTE(SUBSTITUTE(SUBSTITUTE(SUBSTITUTE(SUBSTITUTE(SUBSTITUTE(C318," ",""),"-",""),"(",""),")",""),".",""),"+",""),"/",""),CHAR(160),"")</f>
        <v/>
      </c>
      <c r="E318" s="32">
        <f>IF(LEN(D318)&gt;=10,RIGHT(D318,10),D318)</f>
        <v/>
      </c>
      <c r="F318" s="32">
        <f>IF(B318="","",TRIM(INDEX('Form Responses'!$D:$D,ROW())&amp;""))</f>
        <v/>
      </c>
      <c r="G318" s="32">
        <f>IF(B318="","",IF(LEFT(TRIM(INDEX('Form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8" s="32">
        <f>IF(B318="","",MAX(0,IFERROR(INT(--(INDEX('Form Responses'!$F:$F,ROW())&amp;"")),1)))</f>
        <v/>
      </c>
      <c r="I318" s="32">
        <f>IF(B318="","",MAX(0,IFERROR(INT(--(INDEX('Form Responses'!$G:$G,ROW())&amp;"")),0)))</f>
        <v/>
      </c>
      <c r="J318" s="32">
        <f>IF(B318="","",TRIM(INDEX('Form Responses'!$H:$H,ROW())&amp;""))</f>
        <v/>
      </c>
      <c r="K318" s="32">
        <f>IF(B318="","",TRIM(INDEX('Form Responses'!$I:$I,ROW())&amp;""))</f>
        <v/>
      </c>
      <c r="L318" s="32">
        <f>IF(B318="","",TRIM(INDEX('Form Responses'!$J:$J,ROW())&amp;""))</f>
        <v/>
      </c>
      <c r="M318" s="32">
        <f>IF(B318="","",TRIM(INDEX('Form Responses'!$K:$K,ROW())&amp;""))</f>
        <v/>
      </c>
      <c r="N318" s="32">
        <f>IF(B318="","",IF(E318&lt;&gt;"","P"&amp;E318,"N"&amp;B318))</f>
        <v/>
      </c>
      <c r="O318" s="32">
        <f>IF(N318="",0,IF(COUNTIF(N319:N$602,N318)=0,1,0))</f>
        <v/>
      </c>
      <c r="P318" s="32">
        <f>IF(AND(O318=1,E318&lt;&gt;""),E318,"")</f>
        <v/>
      </c>
      <c r="Q318" s="32">
        <f>IF(O318=1,B318,"")</f>
        <v/>
      </c>
      <c r="R318" s="32">
        <f>IF(O318&lt;&gt;1,"",IF(E318&lt;&gt;"",IFERROR(MATCH(E318,Guests!$S$6:$S$505,0)+5,IFERROR(MATCH(B318,Guests!$A$6:$A$505,0)+5,"")),IFERROR(MATCH(B318,Guests!$A$6:$A$505,0)+5,"")))</f>
        <v/>
      </c>
      <c r="S318" s="32">
        <f>IF(R318="","",TRIM(INDEX(Guests!$E$1:$E$505,R318)&amp;""))</f>
        <v/>
      </c>
      <c r="T318" s="32">
        <f>IF(R318="","",IF(S318="",1,COUNTIF(Guests!$E$6:$E$505,S318)))</f>
        <v/>
      </c>
      <c r="U318" s="32">
        <f>IF(R318="","",IF(S318="",1,IF(COUNTIF(S$1:S317,S318)=0,1,0)))</f>
        <v/>
      </c>
      <c r="V318" s="32">
        <f>IF(AND(R318&lt;&gt;"",G318="Attending",U318=1),MAX(0,H318+I318-T318),0)</f>
        <v/>
      </c>
      <c r="W318" s="32">
        <f>IF(AND(O318=1,R318=""),1,0)</f>
        <v/>
      </c>
      <c r="X318" s="32">
        <f>IF(B318="",0,H318+I318)</f>
        <v/>
      </c>
      <c r="Y318" s="32">
        <f>N(Y317)+O318</f>
        <v/>
      </c>
      <c r="Z318" s="32">
        <f>IF(O318=1,Y318,"")</f>
        <v/>
      </c>
      <c r="AA318" s="32">
        <f>IF(AND(W318=1,G318="Not sure yet"),1,0)</f>
        <v/>
      </c>
      <c r="AB318" s="32">
        <f>N(AB317)+AA318</f>
        <v/>
      </c>
      <c r="AC318" s="32">
        <f>IF(AA318=1,AB318,"")</f>
        <v/>
      </c>
      <c r="AD318" s="32">
        <f>IF(D318="","",IF(LEN(D318)=10,"+1"&amp;D318,IF(AND(LEN(D318)=11,LEFT(D318,1)="1"),"+"&amp;D318,IF(LEFT(C318,1)="+","+"&amp;D318,D318))))</f>
        <v/>
      </c>
      <c r="AE318" s="32">
        <f>IF(B318="","",PROPER(IFERROR(LEFT(B318,FIND(" ",B318)-1),B318)))</f>
        <v/>
      </c>
      <c r="AF318" s="32">
        <f>SUBSTITUTE(SUBSTITUTE(SUBSTITUTE(SUBSTITUTE(SUBSTITUTE(SUBSTITUTE(SUBSTITUTE(SUBSTITUTE(SUBSTITUTE(SUBSTITUTE(AE318,"%","%25"),"&amp;","%26"),"#","%23"),"+","%2B"),"=","%3D"),"?","%3F"),CHAR(34),"%22"),CHAR(10),"%0A"),CHAR(13),"")," ","+")</f>
        <v/>
      </c>
      <c r="AG318" s="32">
        <f>IF(OR(AD318="",AE318=""),"",'Start Here'!$B$20&amp;"#p="&amp;SUBSTITUTE(AD318,"+","%2B")&amp;"&amp;n="&amp;AF318&amp;"&amp;m="&amp;SUBSTITUTE('Start Here'!$B$24,"{name}",AF318))</f>
        <v/>
      </c>
      <c r="AH318" s="32">
        <f>N(AH317)+W318</f>
        <v/>
      </c>
      <c r="AI318" s="32">
        <f>IF(W318=1,AH318,"")</f>
        <v/>
      </c>
    </row>
    <row r="319">
      <c r="A319" s="32">
        <f>IF(INDEX('Form Responses'!$A:$A,ROW())="","",INDEX('Form Responses'!$A:$A,ROW()))</f>
        <v/>
      </c>
      <c r="B319" s="32">
        <f>TRIM(INDEX('Form Responses'!$B:$B,ROW())&amp;"")</f>
        <v/>
      </c>
      <c r="C319" s="32">
        <f>IF(B319="","",TRIM(INDEX('Form Responses'!$C:$C,ROW())&amp;""))</f>
        <v/>
      </c>
      <c r="D319" s="32">
        <f>SUBSTITUTE(SUBSTITUTE(SUBSTITUTE(SUBSTITUTE(SUBSTITUTE(SUBSTITUTE(SUBSTITUTE(SUBSTITUTE(C319," ",""),"-",""),"(",""),")",""),".",""),"+",""),"/",""),CHAR(160),"")</f>
        <v/>
      </c>
      <c r="E319" s="32">
        <f>IF(LEN(D319)&gt;=10,RIGHT(D319,10),D319)</f>
        <v/>
      </c>
      <c r="F319" s="32">
        <f>IF(B319="","",TRIM(INDEX('Form Responses'!$D:$D,ROW())&amp;""))</f>
        <v/>
      </c>
      <c r="G319" s="32">
        <f>IF(B319="","",IF(LEFT(TRIM(INDEX('Form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19" s="32">
        <f>IF(B319="","",MAX(0,IFERROR(INT(--(INDEX('Form Responses'!$F:$F,ROW())&amp;"")),1)))</f>
        <v/>
      </c>
      <c r="I319" s="32">
        <f>IF(B319="","",MAX(0,IFERROR(INT(--(INDEX('Form Responses'!$G:$G,ROW())&amp;"")),0)))</f>
        <v/>
      </c>
      <c r="J319" s="32">
        <f>IF(B319="","",TRIM(INDEX('Form Responses'!$H:$H,ROW())&amp;""))</f>
        <v/>
      </c>
      <c r="K319" s="32">
        <f>IF(B319="","",TRIM(INDEX('Form Responses'!$I:$I,ROW())&amp;""))</f>
        <v/>
      </c>
      <c r="L319" s="32">
        <f>IF(B319="","",TRIM(INDEX('Form Responses'!$J:$J,ROW())&amp;""))</f>
        <v/>
      </c>
      <c r="M319" s="32">
        <f>IF(B319="","",TRIM(INDEX('Form Responses'!$K:$K,ROW())&amp;""))</f>
        <v/>
      </c>
      <c r="N319" s="32">
        <f>IF(B319="","",IF(E319&lt;&gt;"","P"&amp;E319,"N"&amp;B319))</f>
        <v/>
      </c>
      <c r="O319" s="32">
        <f>IF(N319="",0,IF(COUNTIF(N320:N$602,N319)=0,1,0))</f>
        <v/>
      </c>
      <c r="P319" s="32">
        <f>IF(AND(O319=1,E319&lt;&gt;""),E319,"")</f>
        <v/>
      </c>
      <c r="Q319" s="32">
        <f>IF(O319=1,B319,"")</f>
        <v/>
      </c>
      <c r="R319" s="32">
        <f>IF(O319&lt;&gt;1,"",IF(E319&lt;&gt;"",IFERROR(MATCH(E319,Guests!$S$6:$S$505,0)+5,IFERROR(MATCH(B319,Guests!$A$6:$A$505,0)+5,"")),IFERROR(MATCH(B319,Guests!$A$6:$A$505,0)+5,"")))</f>
        <v/>
      </c>
      <c r="S319" s="32">
        <f>IF(R319="","",TRIM(INDEX(Guests!$E$1:$E$505,R319)&amp;""))</f>
        <v/>
      </c>
      <c r="T319" s="32">
        <f>IF(R319="","",IF(S319="",1,COUNTIF(Guests!$E$6:$E$505,S319)))</f>
        <v/>
      </c>
      <c r="U319" s="32">
        <f>IF(R319="","",IF(S319="",1,IF(COUNTIF(S$1:S318,S319)=0,1,0)))</f>
        <v/>
      </c>
      <c r="V319" s="32">
        <f>IF(AND(R319&lt;&gt;"",G319="Attending",U319=1),MAX(0,H319+I319-T319),0)</f>
        <v/>
      </c>
      <c r="W319" s="32">
        <f>IF(AND(O319=1,R319=""),1,0)</f>
        <v/>
      </c>
      <c r="X319" s="32">
        <f>IF(B319="",0,H319+I319)</f>
        <v/>
      </c>
      <c r="Y319" s="32">
        <f>N(Y318)+O319</f>
        <v/>
      </c>
      <c r="Z319" s="32">
        <f>IF(O319=1,Y319,"")</f>
        <v/>
      </c>
      <c r="AA319" s="32">
        <f>IF(AND(W319=1,G319="Not sure yet"),1,0)</f>
        <v/>
      </c>
      <c r="AB319" s="32">
        <f>N(AB318)+AA319</f>
        <v/>
      </c>
      <c r="AC319" s="32">
        <f>IF(AA319=1,AB319,"")</f>
        <v/>
      </c>
      <c r="AD319" s="32">
        <f>IF(D319="","",IF(LEN(D319)=10,"+1"&amp;D319,IF(AND(LEN(D319)=11,LEFT(D319,1)="1"),"+"&amp;D319,IF(LEFT(C319,1)="+","+"&amp;D319,D319))))</f>
        <v/>
      </c>
      <c r="AE319" s="32">
        <f>IF(B319="","",PROPER(IFERROR(LEFT(B319,FIND(" ",B319)-1),B319)))</f>
        <v/>
      </c>
      <c r="AF319" s="32">
        <f>SUBSTITUTE(SUBSTITUTE(SUBSTITUTE(SUBSTITUTE(SUBSTITUTE(SUBSTITUTE(SUBSTITUTE(SUBSTITUTE(SUBSTITUTE(SUBSTITUTE(AE319,"%","%25"),"&amp;","%26"),"#","%23"),"+","%2B"),"=","%3D"),"?","%3F"),CHAR(34),"%22"),CHAR(10),"%0A"),CHAR(13),"")," ","+")</f>
        <v/>
      </c>
      <c r="AG319" s="32">
        <f>IF(OR(AD319="",AE319=""),"",'Start Here'!$B$20&amp;"#p="&amp;SUBSTITUTE(AD319,"+","%2B")&amp;"&amp;n="&amp;AF319&amp;"&amp;m="&amp;SUBSTITUTE('Start Here'!$B$24,"{name}",AF319))</f>
        <v/>
      </c>
      <c r="AH319" s="32">
        <f>N(AH318)+W319</f>
        <v/>
      </c>
      <c r="AI319" s="32">
        <f>IF(W319=1,AH319,"")</f>
        <v/>
      </c>
    </row>
    <row r="320">
      <c r="A320" s="32">
        <f>IF(INDEX('Form Responses'!$A:$A,ROW())="","",INDEX('Form Responses'!$A:$A,ROW()))</f>
        <v/>
      </c>
      <c r="B320" s="32">
        <f>TRIM(INDEX('Form Responses'!$B:$B,ROW())&amp;"")</f>
        <v/>
      </c>
      <c r="C320" s="32">
        <f>IF(B320="","",TRIM(INDEX('Form Responses'!$C:$C,ROW())&amp;""))</f>
        <v/>
      </c>
      <c r="D320" s="32">
        <f>SUBSTITUTE(SUBSTITUTE(SUBSTITUTE(SUBSTITUTE(SUBSTITUTE(SUBSTITUTE(SUBSTITUTE(SUBSTITUTE(C320," ",""),"-",""),"(",""),")",""),".",""),"+",""),"/",""),CHAR(160),"")</f>
        <v/>
      </c>
      <c r="E320" s="32">
        <f>IF(LEN(D320)&gt;=10,RIGHT(D320,10),D320)</f>
        <v/>
      </c>
      <c r="F320" s="32">
        <f>IF(B320="","",TRIM(INDEX('Form Responses'!$D:$D,ROW())&amp;""))</f>
        <v/>
      </c>
      <c r="G320" s="32">
        <f>IF(B320="","",IF(LEFT(TRIM(INDEX('Form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0" s="32">
        <f>IF(B320="","",MAX(0,IFERROR(INT(--(INDEX('Form Responses'!$F:$F,ROW())&amp;"")),1)))</f>
        <v/>
      </c>
      <c r="I320" s="32">
        <f>IF(B320="","",MAX(0,IFERROR(INT(--(INDEX('Form Responses'!$G:$G,ROW())&amp;"")),0)))</f>
        <v/>
      </c>
      <c r="J320" s="32">
        <f>IF(B320="","",TRIM(INDEX('Form Responses'!$H:$H,ROW())&amp;""))</f>
        <v/>
      </c>
      <c r="K320" s="32">
        <f>IF(B320="","",TRIM(INDEX('Form Responses'!$I:$I,ROW())&amp;""))</f>
        <v/>
      </c>
      <c r="L320" s="32">
        <f>IF(B320="","",TRIM(INDEX('Form Responses'!$J:$J,ROW())&amp;""))</f>
        <v/>
      </c>
      <c r="M320" s="32">
        <f>IF(B320="","",TRIM(INDEX('Form Responses'!$K:$K,ROW())&amp;""))</f>
        <v/>
      </c>
      <c r="N320" s="32">
        <f>IF(B320="","",IF(E320&lt;&gt;"","P"&amp;E320,"N"&amp;B320))</f>
        <v/>
      </c>
      <c r="O320" s="32">
        <f>IF(N320="",0,IF(COUNTIF(N321:N$602,N320)=0,1,0))</f>
        <v/>
      </c>
      <c r="P320" s="32">
        <f>IF(AND(O320=1,E320&lt;&gt;""),E320,"")</f>
        <v/>
      </c>
      <c r="Q320" s="32">
        <f>IF(O320=1,B320,"")</f>
        <v/>
      </c>
      <c r="R320" s="32">
        <f>IF(O320&lt;&gt;1,"",IF(E320&lt;&gt;"",IFERROR(MATCH(E320,Guests!$S$6:$S$505,0)+5,IFERROR(MATCH(B320,Guests!$A$6:$A$505,0)+5,"")),IFERROR(MATCH(B320,Guests!$A$6:$A$505,0)+5,"")))</f>
        <v/>
      </c>
      <c r="S320" s="32">
        <f>IF(R320="","",TRIM(INDEX(Guests!$E$1:$E$505,R320)&amp;""))</f>
        <v/>
      </c>
      <c r="T320" s="32">
        <f>IF(R320="","",IF(S320="",1,COUNTIF(Guests!$E$6:$E$505,S320)))</f>
        <v/>
      </c>
      <c r="U320" s="32">
        <f>IF(R320="","",IF(S320="",1,IF(COUNTIF(S$1:S319,S320)=0,1,0)))</f>
        <v/>
      </c>
      <c r="V320" s="32">
        <f>IF(AND(R320&lt;&gt;"",G320="Attending",U320=1),MAX(0,H320+I320-T320),0)</f>
        <v/>
      </c>
      <c r="W320" s="32">
        <f>IF(AND(O320=1,R320=""),1,0)</f>
        <v/>
      </c>
      <c r="X320" s="32">
        <f>IF(B320="",0,H320+I320)</f>
        <v/>
      </c>
      <c r="Y320" s="32">
        <f>N(Y319)+O320</f>
        <v/>
      </c>
      <c r="Z320" s="32">
        <f>IF(O320=1,Y320,"")</f>
        <v/>
      </c>
      <c r="AA320" s="32">
        <f>IF(AND(W320=1,G320="Not sure yet"),1,0)</f>
        <v/>
      </c>
      <c r="AB320" s="32">
        <f>N(AB319)+AA320</f>
        <v/>
      </c>
      <c r="AC320" s="32">
        <f>IF(AA320=1,AB320,"")</f>
        <v/>
      </c>
      <c r="AD320" s="32">
        <f>IF(D320="","",IF(LEN(D320)=10,"+1"&amp;D320,IF(AND(LEN(D320)=11,LEFT(D320,1)="1"),"+"&amp;D320,IF(LEFT(C320,1)="+","+"&amp;D320,D320))))</f>
        <v/>
      </c>
      <c r="AE320" s="32">
        <f>IF(B320="","",PROPER(IFERROR(LEFT(B320,FIND(" ",B320)-1),B320)))</f>
        <v/>
      </c>
      <c r="AF320" s="32">
        <f>SUBSTITUTE(SUBSTITUTE(SUBSTITUTE(SUBSTITUTE(SUBSTITUTE(SUBSTITUTE(SUBSTITUTE(SUBSTITUTE(SUBSTITUTE(SUBSTITUTE(AE320,"%","%25"),"&amp;","%26"),"#","%23"),"+","%2B"),"=","%3D"),"?","%3F"),CHAR(34),"%22"),CHAR(10),"%0A"),CHAR(13),"")," ","+")</f>
        <v/>
      </c>
      <c r="AG320" s="32">
        <f>IF(OR(AD320="",AE320=""),"",'Start Here'!$B$20&amp;"#p="&amp;SUBSTITUTE(AD320,"+","%2B")&amp;"&amp;n="&amp;AF320&amp;"&amp;m="&amp;SUBSTITUTE('Start Here'!$B$24,"{name}",AF320))</f>
        <v/>
      </c>
      <c r="AH320" s="32">
        <f>N(AH319)+W320</f>
        <v/>
      </c>
      <c r="AI320" s="32">
        <f>IF(W320=1,AH320,"")</f>
        <v/>
      </c>
    </row>
    <row r="321">
      <c r="A321" s="32">
        <f>IF(INDEX('Form Responses'!$A:$A,ROW())="","",INDEX('Form Responses'!$A:$A,ROW()))</f>
        <v/>
      </c>
      <c r="B321" s="32">
        <f>TRIM(INDEX('Form Responses'!$B:$B,ROW())&amp;"")</f>
        <v/>
      </c>
      <c r="C321" s="32">
        <f>IF(B321="","",TRIM(INDEX('Form Responses'!$C:$C,ROW())&amp;""))</f>
        <v/>
      </c>
      <c r="D321" s="32">
        <f>SUBSTITUTE(SUBSTITUTE(SUBSTITUTE(SUBSTITUTE(SUBSTITUTE(SUBSTITUTE(SUBSTITUTE(SUBSTITUTE(C321," ",""),"-",""),"(",""),")",""),".",""),"+",""),"/",""),CHAR(160),"")</f>
        <v/>
      </c>
      <c r="E321" s="32">
        <f>IF(LEN(D321)&gt;=10,RIGHT(D321,10),D321)</f>
        <v/>
      </c>
      <c r="F321" s="32">
        <f>IF(B321="","",TRIM(INDEX('Form Responses'!$D:$D,ROW())&amp;""))</f>
        <v/>
      </c>
      <c r="G321" s="32">
        <f>IF(B321="","",IF(LEFT(TRIM(INDEX('Form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1" s="32">
        <f>IF(B321="","",MAX(0,IFERROR(INT(--(INDEX('Form Responses'!$F:$F,ROW())&amp;"")),1)))</f>
        <v/>
      </c>
      <c r="I321" s="32">
        <f>IF(B321="","",MAX(0,IFERROR(INT(--(INDEX('Form Responses'!$G:$G,ROW())&amp;"")),0)))</f>
        <v/>
      </c>
      <c r="J321" s="32">
        <f>IF(B321="","",TRIM(INDEX('Form Responses'!$H:$H,ROW())&amp;""))</f>
        <v/>
      </c>
      <c r="K321" s="32">
        <f>IF(B321="","",TRIM(INDEX('Form Responses'!$I:$I,ROW())&amp;""))</f>
        <v/>
      </c>
      <c r="L321" s="32">
        <f>IF(B321="","",TRIM(INDEX('Form Responses'!$J:$J,ROW())&amp;""))</f>
        <v/>
      </c>
      <c r="M321" s="32">
        <f>IF(B321="","",TRIM(INDEX('Form Responses'!$K:$K,ROW())&amp;""))</f>
        <v/>
      </c>
      <c r="N321" s="32">
        <f>IF(B321="","",IF(E321&lt;&gt;"","P"&amp;E321,"N"&amp;B321))</f>
        <v/>
      </c>
      <c r="O321" s="32">
        <f>IF(N321="",0,IF(COUNTIF(N322:N$602,N321)=0,1,0))</f>
        <v/>
      </c>
      <c r="P321" s="32">
        <f>IF(AND(O321=1,E321&lt;&gt;""),E321,"")</f>
        <v/>
      </c>
      <c r="Q321" s="32">
        <f>IF(O321=1,B321,"")</f>
        <v/>
      </c>
      <c r="R321" s="32">
        <f>IF(O321&lt;&gt;1,"",IF(E321&lt;&gt;"",IFERROR(MATCH(E321,Guests!$S$6:$S$505,0)+5,IFERROR(MATCH(B321,Guests!$A$6:$A$505,0)+5,"")),IFERROR(MATCH(B321,Guests!$A$6:$A$505,0)+5,"")))</f>
        <v/>
      </c>
      <c r="S321" s="32">
        <f>IF(R321="","",TRIM(INDEX(Guests!$E$1:$E$505,R321)&amp;""))</f>
        <v/>
      </c>
      <c r="T321" s="32">
        <f>IF(R321="","",IF(S321="",1,COUNTIF(Guests!$E$6:$E$505,S321)))</f>
        <v/>
      </c>
      <c r="U321" s="32">
        <f>IF(R321="","",IF(S321="",1,IF(COUNTIF(S$1:S320,S321)=0,1,0)))</f>
        <v/>
      </c>
      <c r="V321" s="32">
        <f>IF(AND(R321&lt;&gt;"",G321="Attending",U321=1),MAX(0,H321+I321-T321),0)</f>
        <v/>
      </c>
      <c r="W321" s="32">
        <f>IF(AND(O321=1,R321=""),1,0)</f>
        <v/>
      </c>
      <c r="X321" s="32">
        <f>IF(B321="",0,H321+I321)</f>
        <v/>
      </c>
      <c r="Y321" s="32">
        <f>N(Y320)+O321</f>
        <v/>
      </c>
      <c r="Z321" s="32">
        <f>IF(O321=1,Y321,"")</f>
        <v/>
      </c>
      <c r="AA321" s="32">
        <f>IF(AND(W321=1,G321="Not sure yet"),1,0)</f>
        <v/>
      </c>
      <c r="AB321" s="32">
        <f>N(AB320)+AA321</f>
        <v/>
      </c>
      <c r="AC321" s="32">
        <f>IF(AA321=1,AB321,"")</f>
        <v/>
      </c>
      <c r="AD321" s="32">
        <f>IF(D321="","",IF(LEN(D321)=10,"+1"&amp;D321,IF(AND(LEN(D321)=11,LEFT(D321,1)="1"),"+"&amp;D321,IF(LEFT(C321,1)="+","+"&amp;D321,D321))))</f>
        <v/>
      </c>
      <c r="AE321" s="32">
        <f>IF(B321="","",PROPER(IFERROR(LEFT(B321,FIND(" ",B321)-1),B321)))</f>
        <v/>
      </c>
      <c r="AF321" s="32">
        <f>SUBSTITUTE(SUBSTITUTE(SUBSTITUTE(SUBSTITUTE(SUBSTITUTE(SUBSTITUTE(SUBSTITUTE(SUBSTITUTE(SUBSTITUTE(SUBSTITUTE(AE321,"%","%25"),"&amp;","%26"),"#","%23"),"+","%2B"),"=","%3D"),"?","%3F"),CHAR(34),"%22"),CHAR(10),"%0A"),CHAR(13),"")," ","+")</f>
        <v/>
      </c>
      <c r="AG321" s="32">
        <f>IF(OR(AD321="",AE321=""),"",'Start Here'!$B$20&amp;"#p="&amp;SUBSTITUTE(AD321,"+","%2B")&amp;"&amp;n="&amp;AF321&amp;"&amp;m="&amp;SUBSTITUTE('Start Here'!$B$24,"{name}",AF321))</f>
        <v/>
      </c>
      <c r="AH321" s="32">
        <f>N(AH320)+W321</f>
        <v/>
      </c>
      <c r="AI321" s="32">
        <f>IF(W321=1,AH321,"")</f>
        <v/>
      </c>
    </row>
    <row r="322">
      <c r="A322" s="32">
        <f>IF(INDEX('Form Responses'!$A:$A,ROW())="","",INDEX('Form Responses'!$A:$A,ROW()))</f>
        <v/>
      </c>
      <c r="B322" s="32">
        <f>TRIM(INDEX('Form Responses'!$B:$B,ROW())&amp;"")</f>
        <v/>
      </c>
      <c r="C322" s="32">
        <f>IF(B322="","",TRIM(INDEX('Form Responses'!$C:$C,ROW())&amp;""))</f>
        <v/>
      </c>
      <c r="D322" s="32">
        <f>SUBSTITUTE(SUBSTITUTE(SUBSTITUTE(SUBSTITUTE(SUBSTITUTE(SUBSTITUTE(SUBSTITUTE(SUBSTITUTE(C322," ",""),"-",""),"(",""),")",""),".",""),"+",""),"/",""),CHAR(160),"")</f>
        <v/>
      </c>
      <c r="E322" s="32">
        <f>IF(LEN(D322)&gt;=10,RIGHT(D322,10),D322)</f>
        <v/>
      </c>
      <c r="F322" s="32">
        <f>IF(B322="","",TRIM(INDEX('Form Responses'!$D:$D,ROW())&amp;""))</f>
        <v/>
      </c>
      <c r="G322" s="32">
        <f>IF(B322="","",IF(LEFT(TRIM(INDEX('Form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2" s="32">
        <f>IF(B322="","",MAX(0,IFERROR(INT(--(INDEX('Form Responses'!$F:$F,ROW())&amp;"")),1)))</f>
        <v/>
      </c>
      <c r="I322" s="32">
        <f>IF(B322="","",MAX(0,IFERROR(INT(--(INDEX('Form Responses'!$G:$G,ROW())&amp;"")),0)))</f>
        <v/>
      </c>
      <c r="J322" s="32">
        <f>IF(B322="","",TRIM(INDEX('Form Responses'!$H:$H,ROW())&amp;""))</f>
        <v/>
      </c>
      <c r="K322" s="32">
        <f>IF(B322="","",TRIM(INDEX('Form Responses'!$I:$I,ROW())&amp;""))</f>
        <v/>
      </c>
      <c r="L322" s="32">
        <f>IF(B322="","",TRIM(INDEX('Form Responses'!$J:$J,ROW())&amp;""))</f>
        <v/>
      </c>
      <c r="M322" s="32">
        <f>IF(B322="","",TRIM(INDEX('Form Responses'!$K:$K,ROW())&amp;""))</f>
        <v/>
      </c>
      <c r="N322" s="32">
        <f>IF(B322="","",IF(E322&lt;&gt;"","P"&amp;E322,"N"&amp;B322))</f>
        <v/>
      </c>
      <c r="O322" s="32">
        <f>IF(N322="",0,IF(COUNTIF(N323:N$602,N322)=0,1,0))</f>
        <v/>
      </c>
      <c r="P322" s="32">
        <f>IF(AND(O322=1,E322&lt;&gt;""),E322,"")</f>
        <v/>
      </c>
      <c r="Q322" s="32">
        <f>IF(O322=1,B322,"")</f>
        <v/>
      </c>
      <c r="R322" s="32">
        <f>IF(O322&lt;&gt;1,"",IF(E322&lt;&gt;"",IFERROR(MATCH(E322,Guests!$S$6:$S$505,0)+5,IFERROR(MATCH(B322,Guests!$A$6:$A$505,0)+5,"")),IFERROR(MATCH(B322,Guests!$A$6:$A$505,0)+5,"")))</f>
        <v/>
      </c>
      <c r="S322" s="32">
        <f>IF(R322="","",TRIM(INDEX(Guests!$E$1:$E$505,R322)&amp;""))</f>
        <v/>
      </c>
      <c r="T322" s="32">
        <f>IF(R322="","",IF(S322="",1,COUNTIF(Guests!$E$6:$E$505,S322)))</f>
        <v/>
      </c>
      <c r="U322" s="32">
        <f>IF(R322="","",IF(S322="",1,IF(COUNTIF(S$1:S321,S322)=0,1,0)))</f>
        <v/>
      </c>
      <c r="V322" s="32">
        <f>IF(AND(R322&lt;&gt;"",G322="Attending",U322=1),MAX(0,H322+I322-T322),0)</f>
        <v/>
      </c>
      <c r="W322" s="32">
        <f>IF(AND(O322=1,R322=""),1,0)</f>
        <v/>
      </c>
      <c r="X322" s="32">
        <f>IF(B322="",0,H322+I322)</f>
        <v/>
      </c>
      <c r="Y322" s="32">
        <f>N(Y321)+O322</f>
        <v/>
      </c>
      <c r="Z322" s="32">
        <f>IF(O322=1,Y322,"")</f>
        <v/>
      </c>
      <c r="AA322" s="32">
        <f>IF(AND(W322=1,G322="Not sure yet"),1,0)</f>
        <v/>
      </c>
      <c r="AB322" s="32">
        <f>N(AB321)+AA322</f>
        <v/>
      </c>
      <c r="AC322" s="32">
        <f>IF(AA322=1,AB322,"")</f>
        <v/>
      </c>
      <c r="AD322" s="32">
        <f>IF(D322="","",IF(LEN(D322)=10,"+1"&amp;D322,IF(AND(LEN(D322)=11,LEFT(D322,1)="1"),"+"&amp;D322,IF(LEFT(C322,1)="+","+"&amp;D322,D322))))</f>
        <v/>
      </c>
      <c r="AE322" s="32">
        <f>IF(B322="","",PROPER(IFERROR(LEFT(B322,FIND(" ",B322)-1),B322)))</f>
        <v/>
      </c>
      <c r="AF322" s="32">
        <f>SUBSTITUTE(SUBSTITUTE(SUBSTITUTE(SUBSTITUTE(SUBSTITUTE(SUBSTITUTE(SUBSTITUTE(SUBSTITUTE(SUBSTITUTE(SUBSTITUTE(AE322,"%","%25"),"&amp;","%26"),"#","%23"),"+","%2B"),"=","%3D"),"?","%3F"),CHAR(34),"%22"),CHAR(10),"%0A"),CHAR(13),"")," ","+")</f>
        <v/>
      </c>
      <c r="AG322" s="32">
        <f>IF(OR(AD322="",AE322=""),"",'Start Here'!$B$20&amp;"#p="&amp;SUBSTITUTE(AD322,"+","%2B")&amp;"&amp;n="&amp;AF322&amp;"&amp;m="&amp;SUBSTITUTE('Start Here'!$B$24,"{name}",AF322))</f>
        <v/>
      </c>
      <c r="AH322" s="32">
        <f>N(AH321)+W322</f>
        <v/>
      </c>
      <c r="AI322" s="32">
        <f>IF(W322=1,AH322,"")</f>
        <v/>
      </c>
    </row>
    <row r="323">
      <c r="A323" s="32">
        <f>IF(INDEX('Form Responses'!$A:$A,ROW())="","",INDEX('Form Responses'!$A:$A,ROW()))</f>
        <v/>
      </c>
      <c r="B323" s="32">
        <f>TRIM(INDEX('Form Responses'!$B:$B,ROW())&amp;"")</f>
        <v/>
      </c>
      <c r="C323" s="32">
        <f>IF(B323="","",TRIM(INDEX('Form Responses'!$C:$C,ROW())&amp;""))</f>
        <v/>
      </c>
      <c r="D323" s="32">
        <f>SUBSTITUTE(SUBSTITUTE(SUBSTITUTE(SUBSTITUTE(SUBSTITUTE(SUBSTITUTE(SUBSTITUTE(SUBSTITUTE(C323," ",""),"-",""),"(",""),")",""),".",""),"+",""),"/",""),CHAR(160),"")</f>
        <v/>
      </c>
      <c r="E323" s="32">
        <f>IF(LEN(D323)&gt;=10,RIGHT(D323,10),D323)</f>
        <v/>
      </c>
      <c r="F323" s="32">
        <f>IF(B323="","",TRIM(INDEX('Form Responses'!$D:$D,ROW())&amp;""))</f>
        <v/>
      </c>
      <c r="G323" s="32">
        <f>IF(B323="","",IF(LEFT(TRIM(INDEX('Form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3" s="32">
        <f>IF(B323="","",MAX(0,IFERROR(INT(--(INDEX('Form Responses'!$F:$F,ROW())&amp;"")),1)))</f>
        <v/>
      </c>
      <c r="I323" s="32">
        <f>IF(B323="","",MAX(0,IFERROR(INT(--(INDEX('Form Responses'!$G:$G,ROW())&amp;"")),0)))</f>
        <v/>
      </c>
      <c r="J323" s="32">
        <f>IF(B323="","",TRIM(INDEX('Form Responses'!$H:$H,ROW())&amp;""))</f>
        <v/>
      </c>
      <c r="K323" s="32">
        <f>IF(B323="","",TRIM(INDEX('Form Responses'!$I:$I,ROW())&amp;""))</f>
        <v/>
      </c>
      <c r="L323" s="32">
        <f>IF(B323="","",TRIM(INDEX('Form Responses'!$J:$J,ROW())&amp;""))</f>
        <v/>
      </c>
      <c r="M323" s="32">
        <f>IF(B323="","",TRIM(INDEX('Form Responses'!$K:$K,ROW())&amp;""))</f>
        <v/>
      </c>
      <c r="N323" s="32">
        <f>IF(B323="","",IF(E323&lt;&gt;"","P"&amp;E323,"N"&amp;B323))</f>
        <v/>
      </c>
      <c r="O323" s="32">
        <f>IF(N323="",0,IF(COUNTIF(N324:N$602,N323)=0,1,0))</f>
        <v/>
      </c>
      <c r="P323" s="32">
        <f>IF(AND(O323=1,E323&lt;&gt;""),E323,"")</f>
        <v/>
      </c>
      <c r="Q323" s="32">
        <f>IF(O323=1,B323,"")</f>
        <v/>
      </c>
      <c r="R323" s="32">
        <f>IF(O323&lt;&gt;1,"",IF(E323&lt;&gt;"",IFERROR(MATCH(E323,Guests!$S$6:$S$505,0)+5,IFERROR(MATCH(B323,Guests!$A$6:$A$505,0)+5,"")),IFERROR(MATCH(B323,Guests!$A$6:$A$505,0)+5,"")))</f>
        <v/>
      </c>
      <c r="S323" s="32">
        <f>IF(R323="","",TRIM(INDEX(Guests!$E$1:$E$505,R323)&amp;""))</f>
        <v/>
      </c>
      <c r="T323" s="32">
        <f>IF(R323="","",IF(S323="",1,COUNTIF(Guests!$E$6:$E$505,S323)))</f>
        <v/>
      </c>
      <c r="U323" s="32">
        <f>IF(R323="","",IF(S323="",1,IF(COUNTIF(S$1:S322,S323)=0,1,0)))</f>
        <v/>
      </c>
      <c r="V323" s="32">
        <f>IF(AND(R323&lt;&gt;"",G323="Attending",U323=1),MAX(0,H323+I323-T323),0)</f>
        <v/>
      </c>
      <c r="W323" s="32">
        <f>IF(AND(O323=1,R323=""),1,0)</f>
        <v/>
      </c>
      <c r="X323" s="32">
        <f>IF(B323="",0,H323+I323)</f>
        <v/>
      </c>
      <c r="Y323" s="32">
        <f>N(Y322)+O323</f>
        <v/>
      </c>
      <c r="Z323" s="32">
        <f>IF(O323=1,Y323,"")</f>
        <v/>
      </c>
      <c r="AA323" s="32">
        <f>IF(AND(W323=1,G323="Not sure yet"),1,0)</f>
        <v/>
      </c>
      <c r="AB323" s="32">
        <f>N(AB322)+AA323</f>
        <v/>
      </c>
      <c r="AC323" s="32">
        <f>IF(AA323=1,AB323,"")</f>
        <v/>
      </c>
      <c r="AD323" s="32">
        <f>IF(D323="","",IF(LEN(D323)=10,"+1"&amp;D323,IF(AND(LEN(D323)=11,LEFT(D323,1)="1"),"+"&amp;D323,IF(LEFT(C323,1)="+","+"&amp;D323,D323))))</f>
        <v/>
      </c>
      <c r="AE323" s="32">
        <f>IF(B323="","",PROPER(IFERROR(LEFT(B323,FIND(" ",B323)-1),B323)))</f>
        <v/>
      </c>
      <c r="AF323" s="32">
        <f>SUBSTITUTE(SUBSTITUTE(SUBSTITUTE(SUBSTITUTE(SUBSTITUTE(SUBSTITUTE(SUBSTITUTE(SUBSTITUTE(SUBSTITUTE(SUBSTITUTE(AE323,"%","%25"),"&amp;","%26"),"#","%23"),"+","%2B"),"=","%3D"),"?","%3F"),CHAR(34),"%22"),CHAR(10),"%0A"),CHAR(13),"")," ","+")</f>
        <v/>
      </c>
      <c r="AG323" s="32">
        <f>IF(OR(AD323="",AE323=""),"",'Start Here'!$B$20&amp;"#p="&amp;SUBSTITUTE(AD323,"+","%2B")&amp;"&amp;n="&amp;AF323&amp;"&amp;m="&amp;SUBSTITUTE('Start Here'!$B$24,"{name}",AF323))</f>
        <v/>
      </c>
      <c r="AH323" s="32">
        <f>N(AH322)+W323</f>
        <v/>
      </c>
      <c r="AI323" s="32">
        <f>IF(W323=1,AH323,"")</f>
        <v/>
      </c>
    </row>
    <row r="324">
      <c r="A324" s="32">
        <f>IF(INDEX('Form Responses'!$A:$A,ROW())="","",INDEX('Form Responses'!$A:$A,ROW()))</f>
        <v/>
      </c>
      <c r="B324" s="32">
        <f>TRIM(INDEX('Form Responses'!$B:$B,ROW())&amp;"")</f>
        <v/>
      </c>
      <c r="C324" s="32">
        <f>IF(B324="","",TRIM(INDEX('Form Responses'!$C:$C,ROW())&amp;""))</f>
        <v/>
      </c>
      <c r="D324" s="32">
        <f>SUBSTITUTE(SUBSTITUTE(SUBSTITUTE(SUBSTITUTE(SUBSTITUTE(SUBSTITUTE(SUBSTITUTE(SUBSTITUTE(C324," ",""),"-",""),"(",""),")",""),".",""),"+",""),"/",""),CHAR(160),"")</f>
        <v/>
      </c>
      <c r="E324" s="32">
        <f>IF(LEN(D324)&gt;=10,RIGHT(D324,10),D324)</f>
        <v/>
      </c>
      <c r="F324" s="32">
        <f>IF(B324="","",TRIM(INDEX('Form Responses'!$D:$D,ROW())&amp;""))</f>
        <v/>
      </c>
      <c r="G324" s="32">
        <f>IF(B324="","",IF(LEFT(TRIM(INDEX('Form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4" s="32">
        <f>IF(B324="","",MAX(0,IFERROR(INT(--(INDEX('Form Responses'!$F:$F,ROW())&amp;"")),1)))</f>
        <v/>
      </c>
      <c r="I324" s="32">
        <f>IF(B324="","",MAX(0,IFERROR(INT(--(INDEX('Form Responses'!$G:$G,ROW())&amp;"")),0)))</f>
        <v/>
      </c>
      <c r="J324" s="32">
        <f>IF(B324="","",TRIM(INDEX('Form Responses'!$H:$H,ROW())&amp;""))</f>
        <v/>
      </c>
      <c r="K324" s="32">
        <f>IF(B324="","",TRIM(INDEX('Form Responses'!$I:$I,ROW())&amp;""))</f>
        <v/>
      </c>
      <c r="L324" s="32">
        <f>IF(B324="","",TRIM(INDEX('Form Responses'!$J:$J,ROW())&amp;""))</f>
        <v/>
      </c>
      <c r="M324" s="32">
        <f>IF(B324="","",TRIM(INDEX('Form Responses'!$K:$K,ROW())&amp;""))</f>
        <v/>
      </c>
      <c r="N324" s="32">
        <f>IF(B324="","",IF(E324&lt;&gt;"","P"&amp;E324,"N"&amp;B324))</f>
        <v/>
      </c>
      <c r="O324" s="32">
        <f>IF(N324="",0,IF(COUNTIF(N325:N$602,N324)=0,1,0))</f>
        <v/>
      </c>
      <c r="P324" s="32">
        <f>IF(AND(O324=1,E324&lt;&gt;""),E324,"")</f>
        <v/>
      </c>
      <c r="Q324" s="32">
        <f>IF(O324=1,B324,"")</f>
        <v/>
      </c>
      <c r="R324" s="32">
        <f>IF(O324&lt;&gt;1,"",IF(E324&lt;&gt;"",IFERROR(MATCH(E324,Guests!$S$6:$S$505,0)+5,IFERROR(MATCH(B324,Guests!$A$6:$A$505,0)+5,"")),IFERROR(MATCH(B324,Guests!$A$6:$A$505,0)+5,"")))</f>
        <v/>
      </c>
      <c r="S324" s="32">
        <f>IF(R324="","",TRIM(INDEX(Guests!$E$1:$E$505,R324)&amp;""))</f>
        <v/>
      </c>
      <c r="T324" s="32">
        <f>IF(R324="","",IF(S324="",1,COUNTIF(Guests!$E$6:$E$505,S324)))</f>
        <v/>
      </c>
      <c r="U324" s="32">
        <f>IF(R324="","",IF(S324="",1,IF(COUNTIF(S$1:S323,S324)=0,1,0)))</f>
        <v/>
      </c>
      <c r="V324" s="32">
        <f>IF(AND(R324&lt;&gt;"",G324="Attending",U324=1),MAX(0,H324+I324-T324),0)</f>
        <v/>
      </c>
      <c r="W324" s="32">
        <f>IF(AND(O324=1,R324=""),1,0)</f>
        <v/>
      </c>
      <c r="X324" s="32">
        <f>IF(B324="",0,H324+I324)</f>
        <v/>
      </c>
      <c r="Y324" s="32">
        <f>N(Y323)+O324</f>
        <v/>
      </c>
      <c r="Z324" s="32">
        <f>IF(O324=1,Y324,"")</f>
        <v/>
      </c>
      <c r="AA324" s="32">
        <f>IF(AND(W324=1,G324="Not sure yet"),1,0)</f>
        <v/>
      </c>
      <c r="AB324" s="32">
        <f>N(AB323)+AA324</f>
        <v/>
      </c>
      <c r="AC324" s="32">
        <f>IF(AA324=1,AB324,"")</f>
        <v/>
      </c>
      <c r="AD324" s="32">
        <f>IF(D324="","",IF(LEN(D324)=10,"+1"&amp;D324,IF(AND(LEN(D324)=11,LEFT(D324,1)="1"),"+"&amp;D324,IF(LEFT(C324,1)="+","+"&amp;D324,D324))))</f>
        <v/>
      </c>
      <c r="AE324" s="32">
        <f>IF(B324="","",PROPER(IFERROR(LEFT(B324,FIND(" ",B324)-1),B324)))</f>
        <v/>
      </c>
      <c r="AF324" s="32">
        <f>SUBSTITUTE(SUBSTITUTE(SUBSTITUTE(SUBSTITUTE(SUBSTITUTE(SUBSTITUTE(SUBSTITUTE(SUBSTITUTE(SUBSTITUTE(SUBSTITUTE(AE324,"%","%25"),"&amp;","%26"),"#","%23"),"+","%2B"),"=","%3D"),"?","%3F"),CHAR(34),"%22"),CHAR(10),"%0A"),CHAR(13),"")," ","+")</f>
        <v/>
      </c>
      <c r="AG324" s="32">
        <f>IF(OR(AD324="",AE324=""),"",'Start Here'!$B$20&amp;"#p="&amp;SUBSTITUTE(AD324,"+","%2B")&amp;"&amp;n="&amp;AF324&amp;"&amp;m="&amp;SUBSTITUTE('Start Here'!$B$24,"{name}",AF324))</f>
        <v/>
      </c>
      <c r="AH324" s="32">
        <f>N(AH323)+W324</f>
        <v/>
      </c>
      <c r="AI324" s="32">
        <f>IF(W324=1,AH324,"")</f>
        <v/>
      </c>
    </row>
    <row r="325">
      <c r="A325" s="32">
        <f>IF(INDEX('Form Responses'!$A:$A,ROW())="","",INDEX('Form Responses'!$A:$A,ROW()))</f>
        <v/>
      </c>
      <c r="B325" s="32">
        <f>TRIM(INDEX('Form Responses'!$B:$B,ROW())&amp;"")</f>
        <v/>
      </c>
      <c r="C325" s="32">
        <f>IF(B325="","",TRIM(INDEX('Form Responses'!$C:$C,ROW())&amp;""))</f>
        <v/>
      </c>
      <c r="D325" s="32">
        <f>SUBSTITUTE(SUBSTITUTE(SUBSTITUTE(SUBSTITUTE(SUBSTITUTE(SUBSTITUTE(SUBSTITUTE(SUBSTITUTE(C325," ",""),"-",""),"(",""),")",""),".",""),"+",""),"/",""),CHAR(160),"")</f>
        <v/>
      </c>
      <c r="E325" s="32">
        <f>IF(LEN(D325)&gt;=10,RIGHT(D325,10),D325)</f>
        <v/>
      </c>
      <c r="F325" s="32">
        <f>IF(B325="","",TRIM(INDEX('Form Responses'!$D:$D,ROW())&amp;""))</f>
        <v/>
      </c>
      <c r="G325" s="32">
        <f>IF(B325="","",IF(LEFT(TRIM(INDEX('Form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5" s="32">
        <f>IF(B325="","",MAX(0,IFERROR(INT(--(INDEX('Form Responses'!$F:$F,ROW())&amp;"")),1)))</f>
        <v/>
      </c>
      <c r="I325" s="32">
        <f>IF(B325="","",MAX(0,IFERROR(INT(--(INDEX('Form Responses'!$G:$G,ROW())&amp;"")),0)))</f>
        <v/>
      </c>
      <c r="J325" s="32">
        <f>IF(B325="","",TRIM(INDEX('Form Responses'!$H:$H,ROW())&amp;""))</f>
        <v/>
      </c>
      <c r="K325" s="32">
        <f>IF(B325="","",TRIM(INDEX('Form Responses'!$I:$I,ROW())&amp;""))</f>
        <v/>
      </c>
      <c r="L325" s="32">
        <f>IF(B325="","",TRIM(INDEX('Form Responses'!$J:$J,ROW())&amp;""))</f>
        <v/>
      </c>
      <c r="M325" s="32">
        <f>IF(B325="","",TRIM(INDEX('Form Responses'!$K:$K,ROW())&amp;""))</f>
        <v/>
      </c>
      <c r="N325" s="32">
        <f>IF(B325="","",IF(E325&lt;&gt;"","P"&amp;E325,"N"&amp;B325))</f>
        <v/>
      </c>
      <c r="O325" s="32">
        <f>IF(N325="",0,IF(COUNTIF(N326:N$602,N325)=0,1,0))</f>
        <v/>
      </c>
      <c r="P325" s="32">
        <f>IF(AND(O325=1,E325&lt;&gt;""),E325,"")</f>
        <v/>
      </c>
      <c r="Q325" s="32">
        <f>IF(O325=1,B325,"")</f>
        <v/>
      </c>
      <c r="R325" s="32">
        <f>IF(O325&lt;&gt;1,"",IF(E325&lt;&gt;"",IFERROR(MATCH(E325,Guests!$S$6:$S$505,0)+5,IFERROR(MATCH(B325,Guests!$A$6:$A$505,0)+5,"")),IFERROR(MATCH(B325,Guests!$A$6:$A$505,0)+5,"")))</f>
        <v/>
      </c>
      <c r="S325" s="32">
        <f>IF(R325="","",TRIM(INDEX(Guests!$E$1:$E$505,R325)&amp;""))</f>
        <v/>
      </c>
      <c r="T325" s="32">
        <f>IF(R325="","",IF(S325="",1,COUNTIF(Guests!$E$6:$E$505,S325)))</f>
        <v/>
      </c>
      <c r="U325" s="32">
        <f>IF(R325="","",IF(S325="",1,IF(COUNTIF(S$1:S324,S325)=0,1,0)))</f>
        <v/>
      </c>
      <c r="V325" s="32">
        <f>IF(AND(R325&lt;&gt;"",G325="Attending",U325=1),MAX(0,H325+I325-T325),0)</f>
        <v/>
      </c>
      <c r="W325" s="32">
        <f>IF(AND(O325=1,R325=""),1,0)</f>
        <v/>
      </c>
      <c r="X325" s="32">
        <f>IF(B325="",0,H325+I325)</f>
        <v/>
      </c>
      <c r="Y325" s="32">
        <f>N(Y324)+O325</f>
        <v/>
      </c>
      <c r="Z325" s="32">
        <f>IF(O325=1,Y325,"")</f>
        <v/>
      </c>
      <c r="AA325" s="32">
        <f>IF(AND(W325=1,G325="Not sure yet"),1,0)</f>
        <v/>
      </c>
      <c r="AB325" s="32">
        <f>N(AB324)+AA325</f>
        <v/>
      </c>
      <c r="AC325" s="32">
        <f>IF(AA325=1,AB325,"")</f>
        <v/>
      </c>
      <c r="AD325" s="32">
        <f>IF(D325="","",IF(LEN(D325)=10,"+1"&amp;D325,IF(AND(LEN(D325)=11,LEFT(D325,1)="1"),"+"&amp;D325,IF(LEFT(C325,1)="+","+"&amp;D325,D325))))</f>
        <v/>
      </c>
      <c r="AE325" s="32">
        <f>IF(B325="","",PROPER(IFERROR(LEFT(B325,FIND(" ",B325)-1),B325)))</f>
        <v/>
      </c>
      <c r="AF325" s="32">
        <f>SUBSTITUTE(SUBSTITUTE(SUBSTITUTE(SUBSTITUTE(SUBSTITUTE(SUBSTITUTE(SUBSTITUTE(SUBSTITUTE(SUBSTITUTE(SUBSTITUTE(AE325,"%","%25"),"&amp;","%26"),"#","%23"),"+","%2B"),"=","%3D"),"?","%3F"),CHAR(34),"%22"),CHAR(10),"%0A"),CHAR(13),"")," ","+")</f>
        <v/>
      </c>
      <c r="AG325" s="32">
        <f>IF(OR(AD325="",AE325=""),"",'Start Here'!$B$20&amp;"#p="&amp;SUBSTITUTE(AD325,"+","%2B")&amp;"&amp;n="&amp;AF325&amp;"&amp;m="&amp;SUBSTITUTE('Start Here'!$B$24,"{name}",AF325))</f>
        <v/>
      </c>
      <c r="AH325" s="32">
        <f>N(AH324)+W325</f>
        <v/>
      </c>
      <c r="AI325" s="32">
        <f>IF(W325=1,AH325,"")</f>
        <v/>
      </c>
    </row>
    <row r="326">
      <c r="A326" s="32">
        <f>IF(INDEX('Form Responses'!$A:$A,ROW())="","",INDEX('Form Responses'!$A:$A,ROW()))</f>
        <v/>
      </c>
      <c r="B326" s="32">
        <f>TRIM(INDEX('Form Responses'!$B:$B,ROW())&amp;"")</f>
        <v/>
      </c>
      <c r="C326" s="32">
        <f>IF(B326="","",TRIM(INDEX('Form Responses'!$C:$C,ROW())&amp;""))</f>
        <v/>
      </c>
      <c r="D326" s="32">
        <f>SUBSTITUTE(SUBSTITUTE(SUBSTITUTE(SUBSTITUTE(SUBSTITUTE(SUBSTITUTE(SUBSTITUTE(SUBSTITUTE(C326," ",""),"-",""),"(",""),")",""),".",""),"+",""),"/",""),CHAR(160),"")</f>
        <v/>
      </c>
      <c r="E326" s="32">
        <f>IF(LEN(D326)&gt;=10,RIGHT(D326,10),D326)</f>
        <v/>
      </c>
      <c r="F326" s="32">
        <f>IF(B326="","",TRIM(INDEX('Form Responses'!$D:$D,ROW())&amp;""))</f>
        <v/>
      </c>
      <c r="G326" s="32">
        <f>IF(B326="","",IF(LEFT(TRIM(INDEX('Form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6" s="32">
        <f>IF(B326="","",MAX(0,IFERROR(INT(--(INDEX('Form Responses'!$F:$F,ROW())&amp;"")),1)))</f>
        <v/>
      </c>
      <c r="I326" s="32">
        <f>IF(B326="","",MAX(0,IFERROR(INT(--(INDEX('Form Responses'!$G:$G,ROW())&amp;"")),0)))</f>
        <v/>
      </c>
      <c r="J326" s="32">
        <f>IF(B326="","",TRIM(INDEX('Form Responses'!$H:$H,ROW())&amp;""))</f>
        <v/>
      </c>
      <c r="K326" s="32">
        <f>IF(B326="","",TRIM(INDEX('Form Responses'!$I:$I,ROW())&amp;""))</f>
        <v/>
      </c>
      <c r="L326" s="32">
        <f>IF(B326="","",TRIM(INDEX('Form Responses'!$J:$J,ROW())&amp;""))</f>
        <v/>
      </c>
      <c r="M326" s="32">
        <f>IF(B326="","",TRIM(INDEX('Form Responses'!$K:$K,ROW())&amp;""))</f>
        <v/>
      </c>
      <c r="N326" s="32">
        <f>IF(B326="","",IF(E326&lt;&gt;"","P"&amp;E326,"N"&amp;B326))</f>
        <v/>
      </c>
      <c r="O326" s="32">
        <f>IF(N326="",0,IF(COUNTIF(N327:N$602,N326)=0,1,0))</f>
        <v/>
      </c>
      <c r="P326" s="32">
        <f>IF(AND(O326=1,E326&lt;&gt;""),E326,"")</f>
        <v/>
      </c>
      <c r="Q326" s="32">
        <f>IF(O326=1,B326,"")</f>
        <v/>
      </c>
      <c r="R326" s="32">
        <f>IF(O326&lt;&gt;1,"",IF(E326&lt;&gt;"",IFERROR(MATCH(E326,Guests!$S$6:$S$505,0)+5,IFERROR(MATCH(B326,Guests!$A$6:$A$505,0)+5,"")),IFERROR(MATCH(B326,Guests!$A$6:$A$505,0)+5,"")))</f>
        <v/>
      </c>
      <c r="S326" s="32">
        <f>IF(R326="","",TRIM(INDEX(Guests!$E$1:$E$505,R326)&amp;""))</f>
        <v/>
      </c>
      <c r="T326" s="32">
        <f>IF(R326="","",IF(S326="",1,COUNTIF(Guests!$E$6:$E$505,S326)))</f>
        <v/>
      </c>
      <c r="U326" s="32">
        <f>IF(R326="","",IF(S326="",1,IF(COUNTIF(S$1:S325,S326)=0,1,0)))</f>
        <v/>
      </c>
      <c r="V326" s="32">
        <f>IF(AND(R326&lt;&gt;"",G326="Attending",U326=1),MAX(0,H326+I326-T326),0)</f>
        <v/>
      </c>
      <c r="W326" s="32">
        <f>IF(AND(O326=1,R326=""),1,0)</f>
        <v/>
      </c>
      <c r="X326" s="32">
        <f>IF(B326="",0,H326+I326)</f>
        <v/>
      </c>
      <c r="Y326" s="32">
        <f>N(Y325)+O326</f>
        <v/>
      </c>
      <c r="Z326" s="32">
        <f>IF(O326=1,Y326,"")</f>
        <v/>
      </c>
      <c r="AA326" s="32">
        <f>IF(AND(W326=1,G326="Not sure yet"),1,0)</f>
        <v/>
      </c>
      <c r="AB326" s="32">
        <f>N(AB325)+AA326</f>
        <v/>
      </c>
      <c r="AC326" s="32">
        <f>IF(AA326=1,AB326,"")</f>
        <v/>
      </c>
      <c r="AD326" s="32">
        <f>IF(D326="","",IF(LEN(D326)=10,"+1"&amp;D326,IF(AND(LEN(D326)=11,LEFT(D326,1)="1"),"+"&amp;D326,IF(LEFT(C326,1)="+","+"&amp;D326,D326))))</f>
        <v/>
      </c>
      <c r="AE326" s="32">
        <f>IF(B326="","",PROPER(IFERROR(LEFT(B326,FIND(" ",B326)-1),B326)))</f>
        <v/>
      </c>
      <c r="AF326" s="32">
        <f>SUBSTITUTE(SUBSTITUTE(SUBSTITUTE(SUBSTITUTE(SUBSTITUTE(SUBSTITUTE(SUBSTITUTE(SUBSTITUTE(SUBSTITUTE(SUBSTITUTE(AE326,"%","%25"),"&amp;","%26"),"#","%23"),"+","%2B"),"=","%3D"),"?","%3F"),CHAR(34),"%22"),CHAR(10),"%0A"),CHAR(13),"")," ","+")</f>
        <v/>
      </c>
      <c r="AG326" s="32">
        <f>IF(OR(AD326="",AE326=""),"",'Start Here'!$B$20&amp;"#p="&amp;SUBSTITUTE(AD326,"+","%2B")&amp;"&amp;n="&amp;AF326&amp;"&amp;m="&amp;SUBSTITUTE('Start Here'!$B$24,"{name}",AF326))</f>
        <v/>
      </c>
      <c r="AH326" s="32">
        <f>N(AH325)+W326</f>
        <v/>
      </c>
      <c r="AI326" s="32">
        <f>IF(W326=1,AH326,"")</f>
        <v/>
      </c>
    </row>
    <row r="327">
      <c r="A327" s="32">
        <f>IF(INDEX('Form Responses'!$A:$A,ROW())="","",INDEX('Form Responses'!$A:$A,ROW()))</f>
        <v/>
      </c>
      <c r="B327" s="32">
        <f>TRIM(INDEX('Form Responses'!$B:$B,ROW())&amp;"")</f>
        <v/>
      </c>
      <c r="C327" s="32">
        <f>IF(B327="","",TRIM(INDEX('Form Responses'!$C:$C,ROW())&amp;""))</f>
        <v/>
      </c>
      <c r="D327" s="32">
        <f>SUBSTITUTE(SUBSTITUTE(SUBSTITUTE(SUBSTITUTE(SUBSTITUTE(SUBSTITUTE(SUBSTITUTE(SUBSTITUTE(C327," ",""),"-",""),"(",""),")",""),".",""),"+",""),"/",""),CHAR(160),"")</f>
        <v/>
      </c>
      <c r="E327" s="32">
        <f>IF(LEN(D327)&gt;=10,RIGHT(D327,10),D327)</f>
        <v/>
      </c>
      <c r="F327" s="32">
        <f>IF(B327="","",TRIM(INDEX('Form Responses'!$D:$D,ROW())&amp;""))</f>
        <v/>
      </c>
      <c r="G327" s="32">
        <f>IF(B327="","",IF(LEFT(TRIM(INDEX('Form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7" s="32">
        <f>IF(B327="","",MAX(0,IFERROR(INT(--(INDEX('Form Responses'!$F:$F,ROW())&amp;"")),1)))</f>
        <v/>
      </c>
      <c r="I327" s="32">
        <f>IF(B327="","",MAX(0,IFERROR(INT(--(INDEX('Form Responses'!$G:$G,ROW())&amp;"")),0)))</f>
        <v/>
      </c>
      <c r="J327" s="32">
        <f>IF(B327="","",TRIM(INDEX('Form Responses'!$H:$H,ROW())&amp;""))</f>
        <v/>
      </c>
      <c r="K327" s="32">
        <f>IF(B327="","",TRIM(INDEX('Form Responses'!$I:$I,ROW())&amp;""))</f>
        <v/>
      </c>
      <c r="L327" s="32">
        <f>IF(B327="","",TRIM(INDEX('Form Responses'!$J:$J,ROW())&amp;""))</f>
        <v/>
      </c>
      <c r="M327" s="32">
        <f>IF(B327="","",TRIM(INDEX('Form Responses'!$K:$K,ROW())&amp;""))</f>
        <v/>
      </c>
      <c r="N327" s="32">
        <f>IF(B327="","",IF(E327&lt;&gt;"","P"&amp;E327,"N"&amp;B327))</f>
        <v/>
      </c>
      <c r="O327" s="32">
        <f>IF(N327="",0,IF(COUNTIF(N328:N$602,N327)=0,1,0))</f>
        <v/>
      </c>
      <c r="P327" s="32">
        <f>IF(AND(O327=1,E327&lt;&gt;""),E327,"")</f>
        <v/>
      </c>
      <c r="Q327" s="32">
        <f>IF(O327=1,B327,"")</f>
        <v/>
      </c>
      <c r="R327" s="32">
        <f>IF(O327&lt;&gt;1,"",IF(E327&lt;&gt;"",IFERROR(MATCH(E327,Guests!$S$6:$S$505,0)+5,IFERROR(MATCH(B327,Guests!$A$6:$A$505,0)+5,"")),IFERROR(MATCH(B327,Guests!$A$6:$A$505,0)+5,"")))</f>
        <v/>
      </c>
      <c r="S327" s="32">
        <f>IF(R327="","",TRIM(INDEX(Guests!$E$1:$E$505,R327)&amp;""))</f>
        <v/>
      </c>
      <c r="T327" s="32">
        <f>IF(R327="","",IF(S327="",1,COUNTIF(Guests!$E$6:$E$505,S327)))</f>
        <v/>
      </c>
      <c r="U327" s="32">
        <f>IF(R327="","",IF(S327="",1,IF(COUNTIF(S$1:S326,S327)=0,1,0)))</f>
        <v/>
      </c>
      <c r="V327" s="32">
        <f>IF(AND(R327&lt;&gt;"",G327="Attending",U327=1),MAX(0,H327+I327-T327),0)</f>
        <v/>
      </c>
      <c r="W327" s="32">
        <f>IF(AND(O327=1,R327=""),1,0)</f>
        <v/>
      </c>
      <c r="X327" s="32">
        <f>IF(B327="",0,H327+I327)</f>
        <v/>
      </c>
      <c r="Y327" s="32">
        <f>N(Y326)+O327</f>
        <v/>
      </c>
      <c r="Z327" s="32">
        <f>IF(O327=1,Y327,"")</f>
        <v/>
      </c>
      <c r="AA327" s="32">
        <f>IF(AND(W327=1,G327="Not sure yet"),1,0)</f>
        <v/>
      </c>
      <c r="AB327" s="32">
        <f>N(AB326)+AA327</f>
        <v/>
      </c>
      <c r="AC327" s="32">
        <f>IF(AA327=1,AB327,"")</f>
        <v/>
      </c>
      <c r="AD327" s="32">
        <f>IF(D327="","",IF(LEN(D327)=10,"+1"&amp;D327,IF(AND(LEN(D327)=11,LEFT(D327,1)="1"),"+"&amp;D327,IF(LEFT(C327,1)="+","+"&amp;D327,D327))))</f>
        <v/>
      </c>
      <c r="AE327" s="32">
        <f>IF(B327="","",PROPER(IFERROR(LEFT(B327,FIND(" ",B327)-1),B327)))</f>
        <v/>
      </c>
      <c r="AF327" s="32">
        <f>SUBSTITUTE(SUBSTITUTE(SUBSTITUTE(SUBSTITUTE(SUBSTITUTE(SUBSTITUTE(SUBSTITUTE(SUBSTITUTE(SUBSTITUTE(SUBSTITUTE(AE327,"%","%25"),"&amp;","%26"),"#","%23"),"+","%2B"),"=","%3D"),"?","%3F"),CHAR(34),"%22"),CHAR(10),"%0A"),CHAR(13),"")," ","+")</f>
        <v/>
      </c>
      <c r="AG327" s="32">
        <f>IF(OR(AD327="",AE327=""),"",'Start Here'!$B$20&amp;"#p="&amp;SUBSTITUTE(AD327,"+","%2B")&amp;"&amp;n="&amp;AF327&amp;"&amp;m="&amp;SUBSTITUTE('Start Here'!$B$24,"{name}",AF327))</f>
        <v/>
      </c>
      <c r="AH327" s="32">
        <f>N(AH326)+W327</f>
        <v/>
      </c>
      <c r="AI327" s="32">
        <f>IF(W327=1,AH327,"")</f>
        <v/>
      </c>
    </row>
    <row r="328">
      <c r="A328" s="32">
        <f>IF(INDEX('Form Responses'!$A:$A,ROW())="","",INDEX('Form Responses'!$A:$A,ROW()))</f>
        <v/>
      </c>
      <c r="B328" s="32">
        <f>TRIM(INDEX('Form Responses'!$B:$B,ROW())&amp;"")</f>
        <v/>
      </c>
      <c r="C328" s="32">
        <f>IF(B328="","",TRIM(INDEX('Form Responses'!$C:$C,ROW())&amp;""))</f>
        <v/>
      </c>
      <c r="D328" s="32">
        <f>SUBSTITUTE(SUBSTITUTE(SUBSTITUTE(SUBSTITUTE(SUBSTITUTE(SUBSTITUTE(SUBSTITUTE(SUBSTITUTE(C328," ",""),"-",""),"(",""),")",""),".",""),"+",""),"/",""),CHAR(160),"")</f>
        <v/>
      </c>
      <c r="E328" s="32">
        <f>IF(LEN(D328)&gt;=10,RIGHT(D328,10),D328)</f>
        <v/>
      </c>
      <c r="F328" s="32">
        <f>IF(B328="","",TRIM(INDEX('Form Responses'!$D:$D,ROW())&amp;""))</f>
        <v/>
      </c>
      <c r="G328" s="32">
        <f>IF(B328="","",IF(LEFT(TRIM(INDEX('Form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8" s="32">
        <f>IF(B328="","",MAX(0,IFERROR(INT(--(INDEX('Form Responses'!$F:$F,ROW())&amp;"")),1)))</f>
        <v/>
      </c>
      <c r="I328" s="32">
        <f>IF(B328="","",MAX(0,IFERROR(INT(--(INDEX('Form Responses'!$G:$G,ROW())&amp;"")),0)))</f>
        <v/>
      </c>
      <c r="J328" s="32">
        <f>IF(B328="","",TRIM(INDEX('Form Responses'!$H:$H,ROW())&amp;""))</f>
        <v/>
      </c>
      <c r="K328" s="32">
        <f>IF(B328="","",TRIM(INDEX('Form Responses'!$I:$I,ROW())&amp;""))</f>
        <v/>
      </c>
      <c r="L328" s="32">
        <f>IF(B328="","",TRIM(INDEX('Form Responses'!$J:$J,ROW())&amp;""))</f>
        <v/>
      </c>
      <c r="M328" s="32">
        <f>IF(B328="","",TRIM(INDEX('Form Responses'!$K:$K,ROW())&amp;""))</f>
        <v/>
      </c>
      <c r="N328" s="32">
        <f>IF(B328="","",IF(E328&lt;&gt;"","P"&amp;E328,"N"&amp;B328))</f>
        <v/>
      </c>
      <c r="O328" s="32">
        <f>IF(N328="",0,IF(COUNTIF(N329:N$602,N328)=0,1,0))</f>
        <v/>
      </c>
      <c r="P328" s="32">
        <f>IF(AND(O328=1,E328&lt;&gt;""),E328,"")</f>
        <v/>
      </c>
      <c r="Q328" s="32">
        <f>IF(O328=1,B328,"")</f>
        <v/>
      </c>
      <c r="R328" s="32">
        <f>IF(O328&lt;&gt;1,"",IF(E328&lt;&gt;"",IFERROR(MATCH(E328,Guests!$S$6:$S$505,0)+5,IFERROR(MATCH(B328,Guests!$A$6:$A$505,0)+5,"")),IFERROR(MATCH(B328,Guests!$A$6:$A$505,0)+5,"")))</f>
        <v/>
      </c>
      <c r="S328" s="32">
        <f>IF(R328="","",TRIM(INDEX(Guests!$E$1:$E$505,R328)&amp;""))</f>
        <v/>
      </c>
      <c r="T328" s="32">
        <f>IF(R328="","",IF(S328="",1,COUNTIF(Guests!$E$6:$E$505,S328)))</f>
        <v/>
      </c>
      <c r="U328" s="32">
        <f>IF(R328="","",IF(S328="",1,IF(COUNTIF(S$1:S327,S328)=0,1,0)))</f>
        <v/>
      </c>
      <c r="V328" s="32">
        <f>IF(AND(R328&lt;&gt;"",G328="Attending",U328=1),MAX(0,H328+I328-T328),0)</f>
        <v/>
      </c>
      <c r="W328" s="32">
        <f>IF(AND(O328=1,R328=""),1,0)</f>
        <v/>
      </c>
      <c r="X328" s="32">
        <f>IF(B328="",0,H328+I328)</f>
        <v/>
      </c>
      <c r="Y328" s="32">
        <f>N(Y327)+O328</f>
        <v/>
      </c>
      <c r="Z328" s="32">
        <f>IF(O328=1,Y328,"")</f>
        <v/>
      </c>
      <c r="AA328" s="32">
        <f>IF(AND(W328=1,G328="Not sure yet"),1,0)</f>
        <v/>
      </c>
      <c r="AB328" s="32">
        <f>N(AB327)+AA328</f>
        <v/>
      </c>
      <c r="AC328" s="32">
        <f>IF(AA328=1,AB328,"")</f>
        <v/>
      </c>
      <c r="AD328" s="32">
        <f>IF(D328="","",IF(LEN(D328)=10,"+1"&amp;D328,IF(AND(LEN(D328)=11,LEFT(D328,1)="1"),"+"&amp;D328,IF(LEFT(C328,1)="+","+"&amp;D328,D328))))</f>
        <v/>
      </c>
      <c r="AE328" s="32">
        <f>IF(B328="","",PROPER(IFERROR(LEFT(B328,FIND(" ",B328)-1),B328)))</f>
        <v/>
      </c>
      <c r="AF328" s="32">
        <f>SUBSTITUTE(SUBSTITUTE(SUBSTITUTE(SUBSTITUTE(SUBSTITUTE(SUBSTITUTE(SUBSTITUTE(SUBSTITUTE(SUBSTITUTE(SUBSTITUTE(AE328,"%","%25"),"&amp;","%26"),"#","%23"),"+","%2B"),"=","%3D"),"?","%3F"),CHAR(34),"%22"),CHAR(10),"%0A"),CHAR(13),"")," ","+")</f>
        <v/>
      </c>
      <c r="AG328" s="32">
        <f>IF(OR(AD328="",AE328=""),"",'Start Here'!$B$20&amp;"#p="&amp;SUBSTITUTE(AD328,"+","%2B")&amp;"&amp;n="&amp;AF328&amp;"&amp;m="&amp;SUBSTITUTE('Start Here'!$B$24,"{name}",AF328))</f>
        <v/>
      </c>
      <c r="AH328" s="32">
        <f>N(AH327)+W328</f>
        <v/>
      </c>
      <c r="AI328" s="32">
        <f>IF(W328=1,AH328,"")</f>
        <v/>
      </c>
    </row>
    <row r="329">
      <c r="A329" s="32">
        <f>IF(INDEX('Form Responses'!$A:$A,ROW())="","",INDEX('Form Responses'!$A:$A,ROW()))</f>
        <v/>
      </c>
      <c r="B329" s="32">
        <f>TRIM(INDEX('Form Responses'!$B:$B,ROW())&amp;"")</f>
        <v/>
      </c>
      <c r="C329" s="32">
        <f>IF(B329="","",TRIM(INDEX('Form Responses'!$C:$C,ROW())&amp;""))</f>
        <v/>
      </c>
      <c r="D329" s="32">
        <f>SUBSTITUTE(SUBSTITUTE(SUBSTITUTE(SUBSTITUTE(SUBSTITUTE(SUBSTITUTE(SUBSTITUTE(SUBSTITUTE(C329," ",""),"-",""),"(",""),")",""),".",""),"+",""),"/",""),CHAR(160),"")</f>
        <v/>
      </c>
      <c r="E329" s="32">
        <f>IF(LEN(D329)&gt;=10,RIGHT(D329,10),D329)</f>
        <v/>
      </c>
      <c r="F329" s="32">
        <f>IF(B329="","",TRIM(INDEX('Form Responses'!$D:$D,ROW())&amp;""))</f>
        <v/>
      </c>
      <c r="G329" s="32">
        <f>IF(B329="","",IF(LEFT(TRIM(INDEX('Form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29" s="32">
        <f>IF(B329="","",MAX(0,IFERROR(INT(--(INDEX('Form Responses'!$F:$F,ROW())&amp;"")),1)))</f>
        <v/>
      </c>
      <c r="I329" s="32">
        <f>IF(B329="","",MAX(0,IFERROR(INT(--(INDEX('Form Responses'!$G:$G,ROW())&amp;"")),0)))</f>
        <v/>
      </c>
      <c r="J329" s="32">
        <f>IF(B329="","",TRIM(INDEX('Form Responses'!$H:$H,ROW())&amp;""))</f>
        <v/>
      </c>
      <c r="K329" s="32">
        <f>IF(B329="","",TRIM(INDEX('Form Responses'!$I:$I,ROW())&amp;""))</f>
        <v/>
      </c>
      <c r="L329" s="32">
        <f>IF(B329="","",TRIM(INDEX('Form Responses'!$J:$J,ROW())&amp;""))</f>
        <v/>
      </c>
      <c r="M329" s="32">
        <f>IF(B329="","",TRIM(INDEX('Form Responses'!$K:$K,ROW())&amp;""))</f>
        <v/>
      </c>
      <c r="N329" s="32">
        <f>IF(B329="","",IF(E329&lt;&gt;"","P"&amp;E329,"N"&amp;B329))</f>
        <v/>
      </c>
      <c r="O329" s="32">
        <f>IF(N329="",0,IF(COUNTIF(N330:N$602,N329)=0,1,0))</f>
        <v/>
      </c>
      <c r="P329" s="32">
        <f>IF(AND(O329=1,E329&lt;&gt;""),E329,"")</f>
        <v/>
      </c>
      <c r="Q329" s="32">
        <f>IF(O329=1,B329,"")</f>
        <v/>
      </c>
      <c r="R329" s="32">
        <f>IF(O329&lt;&gt;1,"",IF(E329&lt;&gt;"",IFERROR(MATCH(E329,Guests!$S$6:$S$505,0)+5,IFERROR(MATCH(B329,Guests!$A$6:$A$505,0)+5,"")),IFERROR(MATCH(B329,Guests!$A$6:$A$505,0)+5,"")))</f>
        <v/>
      </c>
      <c r="S329" s="32">
        <f>IF(R329="","",TRIM(INDEX(Guests!$E$1:$E$505,R329)&amp;""))</f>
        <v/>
      </c>
      <c r="T329" s="32">
        <f>IF(R329="","",IF(S329="",1,COUNTIF(Guests!$E$6:$E$505,S329)))</f>
        <v/>
      </c>
      <c r="U329" s="32">
        <f>IF(R329="","",IF(S329="",1,IF(COUNTIF(S$1:S328,S329)=0,1,0)))</f>
        <v/>
      </c>
      <c r="V329" s="32">
        <f>IF(AND(R329&lt;&gt;"",G329="Attending",U329=1),MAX(0,H329+I329-T329),0)</f>
        <v/>
      </c>
      <c r="W329" s="32">
        <f>IF(AND(O329=1,R329=""),1,0)</f>
        <v/>
      </c>
      <c r="X329" s="32">
        <f>IF(B329="",0,H329+I329)</f>
        <v/>
      </c>
      <c r="Y329" s="32">
        <f>N(Y328)+O329</f>
        <v/>
      </c>
      <c r="Z329" s="32">
        <f>IF(O329=1,Y329,"")</f>
        <v/>
      </c>
      <c r="AA329" s="32">
        <f>IF(AND(W329=1,G329="Not sure yet"),1,0)</f>
        <v/>
      </c>
      <c r="AB329" s="32">
        <f>N(AB328)+AA329</f>
        <v/>
      </c>
      <c r="AC329" s="32">
        <f>IF(AA329=1,AB329,"")</f>
        <v/>
      </c>
      <c r="AD329" s="32">
        <f>IF(D329="","",IF(LEN(D329)=10,"+1"&amp;D329,IF(AND(LEN(D329)=11,LEFT(D329,1)="1"),"+"&amp;D329,IF(LEFT(C329,1)="+","+"&amp;D329,D329))))</f>
        <v/>
      </c>
      <c r="AE329" s="32">
        <f>IF(B329="","",PROPER(IFERROR(LEFT(B329,FIND(" ",B329)-1),B329)))</f>
        <v/>
      </c>
      <c r="AF329" s="32">
        <f>SUBSTITUTE(SUBSTITUTE(SUBSTITUTE(SUBSTITUTE(SUBSTITUTE(SUBSTITUTE(SUBSTITUTE(SUBSTITUTE(SUBSTITUTE(SUBSTITUTE(AE329,"%","%25"),"&amp;","%26"),"#","%23"),"+","%2B"),"=","%3D"),"?","%3F"),CHAR(34),"%22"),CHAR(10),"%0A"),CHAR(13),"")," ","+")</f>
        <v/>
      </c>
      <c r="AG329" s="32">
        <f>IF(OR(AD329="",AE329=""),"",'Start Here'!$B$20&amp;"#p="&amp;SUBSTITUTE(AD329,"+","%2B")&amp;"&amp;n="&amp;AF329&amp;"&amp;m="&amp;SUBSTITUTE('Start Here'!$B$24,"{name}",AF329))</f>
        <v/>
      </c>
      <c r="AH329" s="32">
        <f>N(AH328)+W329</f>
        <v/>
      </c>
      <c r="AI329" s="32">
        <f>IF(W329=1,AH329,"")</f>
        <v/>
      </c>
    </row>
    <row r="330">
      <c r="A330" s="32">
        <f>IF(INDEX('Form Responses'!$A:$A,ROW())="","",INDEX('Form Responses'!$A:$A,ROW()))</f>
        <v/>
      </c>
      <c r="B330" s="32">
        <f>TRIM(INDEX('Form Responses'!$B:$B,ROW())&amp;"")</f>
        <v/>
      </c>
      <c r="C330" s="32">
        <f>IF(B330="","",TRIM(INDEX('Form Responses'!$C:$C,ROW())&amp;""))</f>
        <v/>
      </c>
      <c r="D330" s="32">
        <f>SUBSTITUTE(SUBSTITUTE(SUBSTITUTE(SUBSTITUTE(SUBSTITUTE(SUBSTITUTE(SUBSTITUTE(SUBSTITUTE(C330," ",""),"-",""),"(",""),")",""),".",""),"+",""),"/",""),CHAR(160),"")</f>
        <v/>
      </c>
      <c r="E330" s="32">
        <f>IF(LEN(D330)&gt;=10,RIGHT(D330,10),D330)</f>
        <v/>
      </c>
      <c r="F330" s="32">
        <f>IF(B330="","",TRIM(INDEX('Form Responses'!$D:$D,ROW())&amp;""))</f>
        <v/>
      </c>
      <c r="G330" s="32">
        <f>IF(B330="","",IF(LEFT(TRIM(INDEX('Form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0" s="32">
        <f>IF(B330="","",MAX(0,IFERROR(INT(--(INDEX('Form Responses'!$F:$F,ROW())&amp;"")),1)))</f>
        <v/>
      </c>
      <c r="I330" s="32">
        <f>IF(B330="","",MAX(0,IFERROR(INT(--(INDEX('Form Responses'!$G:$G,ROW())&amp;"")),0)))</f>
        <v/>
      </c>
      <c r="J330" s="32">
        <f>IF(B330="","",TRIM(INDEX('Form Responses'!$H:$H,ROW())&amp;""))</f>
        <v/>
      </c>
      <c r="K330" s="32">
        <f>IF(B330="","",TRIM(INDEX('Form Responses'!$I:$I,ROW())&amp;""))</f>
        <v/>
      </c>
      <c r="L330" s="32">
        <f>IF(B330="","",TRIM(INDEX('Form Responses'!$J:$J,ROW())&amp;""))</f>
        <v/>
      </c>
      <c r="M330" s="32">
        <f>IF(B330="","",TRIM(INDEX('Form Responses'!$K:$K,ROW())&amp;""))</f>
        <v/>
      </c>
      <c r="N330" s="32">
        <f>IF(B330="","",IF(E330&lt;&gt;"","P"&amp;E330,"N"&amp;B330))</f>
        <v/>
      </c>
      <c r="O330" s="32">
        <f>IF(N330="",0,IF(COUNTIF(N331:N$602,N330)=0,1,0))</f>
        <v/>
      </c>
      <c r="P330" s="32">
        <f>IF(AND(O330=1,E330&lt;&gt;""),E330,"")</f>
        <v/>
      </c>
      <c r="Q330" s="32">
        <f>IF(O330=1,B330,"")</f>
        <v/>
      </c>
      <c r="R330" s="32">
        <f>IF(O330&lt;&gt;1,"",IF(E330&lt;&gt;"",IFERROR(MATCH(E330,Guests!$S$6:$S$505,0)+5,IFERROR(MATCH(B330,Guests!$A$6:$A$505,0)+5,"")),IFERROR(MATCH(B330,Guests!$A$6:$A$505,0)+5,"")))</f>
        <v/>
      </c>
      <c r="S330" s="32">
        <f>IF(R330="","",TRIM(INDEX(Guests!$E$1:$E$505,R330)&amp;""))</f>
        <v/>
      </c>
      <c r="T330" s="32">
        <f>IF(R330="","",IF(S330="",1,COUNTIF(Guests!$E$6:$E$505,S330)))</f>
        <v/>
      </c>
      <c r="U330" s="32">
        <f>IF(R330="","",IF(S330="",1,IF(COUNTIF(S$1:S329,S330)=0,1,0)))</f>
        <v/>
      </c>
      <c r="V330" s="32">
        <f>IF(AND(R330&lt;&gt;"",G330="Attending",U330=1),MAX(0,H330+I330-T330),0)</f>
        <v/>
      </c>
      <c r="W330" s="32">
        <f>IF(AND(O330=1,R330=""),1,0)</f>
        <v/>
      </c>
      <c r="X330" s="32">
        <f>IF(B330="",0,H330+I330)</f>
        <v/>
      </c>
      <c r="Y330" s="32">
        <f>N(Y329)+O330</f>
        <v/>
      </c>
      <c r="Z330" s="32">
        <f>IF(O330=1,Y330,"")</f>
        <v/>
      </c>
      <c r="AA330" s="32">
        <f>IF(AND(W330=1,G330="Not sure yet"),1,0)</f>
        <v/>
      </c>
      <c r="AB330" s="32">
        <f>N(AB329)+AA330</f>
        <v/>
      </c>
      <c r="AC330" s="32">
        <f>IF(AA330=1,AB330,"")</f>
        <v/>
      </c>
      <c r="AD330" s="32">
        <f>IF(D330="","",IF(LEN(D330)=10,"+1"&amp;D330,IF(AND(LEN(D330)=11,LEFT(D330,1)="1"),"+"&amp;D330,IF(LEFT(C330,1)="+","+"&amp;D330,D330))))</f>
        <v/>
      </c>
      <c r="AE330" s="32">
        <f>IF(B330="","",PROPER(IFERROR(LEFT(B330,FIND(" ",B330)-1),B330)))</f>
        <v/>
      </c>
      <c r="AF330" s="32">
        <f>SUBSTITUTE(SUBSTITUTE(SUBSTITUTE(SUBSTITUTE(SUBSTITUTE(SUBSTITUTE(SUBSTITUTE(SUBSTITUTE(SUBSTITUTE(SUBSTITUTE(AE330,"%","%25"),"&amp;","%26"),"#","%23"),"+","%2B"),"=","%3D"),"?","%3F"),CHAR(34),"%22"),CHAR(10),"%0A"),CHAR(13),"")," ","+")</f>
        <v/>
      </c>
      <c r="AG330" s="32">
        <f>IF(OR(AD330="",AE330=""),"",'Start Here'!$B$20&amp;"#p="&amp;SUBSTITUTE(AD330,"+","%2B")&amp;"&amp;n="&amp;AF330&amp;"&amp;m="&amp;SUBSTITUTE('Start Here'!$B$24,"{name}",AF330))</f>
        <v/>
      </c>
      <c r="AH330" s="32">
        <f>N(AH329)+W330</f>
        <v/>
      </c>
      <c r="AI330" s="32">
        <f>IF(W330=1,AH330,"")</f>
        <v/>
      </c>
    </row>
    <row r="331">
      <c r="A331" s="32">
        <f>IF(INDEX('Form Responses'!$A:$A,ROW())="","",INDEX('Form Responses'!$A:$A,ROW()))</f>
        <v/>
      </c>
      <c r="B331" s="32">
        <f>TRIM(INDEX('Form Responses'!$B:$B,ROW())&amp;"")</f>
        <v/>
      </c>
      <c r="C331" s="32">
        <f>IF(B331="","",TRIM(INDEX('Form Responses'!$C:$C,ROW())&amp;""))</f>
        <v/>
      </c>
      <c r="D331" s="32">
        <f>SUBSTITUTE(SUBSTITUTE(SUBSTITUTE(SUBSTITUTE(SUBSTITUTE(SUBSTITUTE(SUBSTITUTE(SUBSTITUTE(C331," ",""),"-",""),"(",""),")",""),".",""),"+",""),"/",""),CHAR(160),"")</f>
        <v/>
      </c>
      <c r="E331" s="32">
        <f>IF(LEN(D331)&gt;=10,RIGHT(D331,10),D331)</f>
        <v/>
      </c>
      <c r="F331" s="32">
        <f>IF(B331="","",TRIM(INDEX('Form Responses'!$D:$D,ROW())&amp;""))</f>
        <v/>
      </c>
      <c r="G331" s="32">
        <f>IF(B331="","",IF(LEFT(TRIM(INDEX('Form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1" s="32">
        <f>IF(B331="","",MAX(0,IFERROR(INT(--(INDEX('Form Responses'!$F:$F,ROW())&amp;"")),1)))</f>
        <v/>
      </c>
      <c r="I331" s="32">
        <f>IF(B331="","",MAX(0,IFERROR(INT(--(INDEX('Form Responses'!$G:$G,ROW())&amp;"")),0)))</f>
        <v/>
      </c>
      <c r="J331" s="32">
        <f>IF(B331="","",TRIM(INDEX('Form Responses'!$H:$H,ROW())&amp;""))</f>
        <v/>
      </c>
      <c r="K331" s="32">
        <f>IF(B331="","",TRIM(INDEX('Form Responses'!$I:$I,ROW())&amp;""))</f>
        <v/>
      </c>
      <c r="L331" s="32">
        <f>IF(B331="","",TRIM(INDEX('Form Responses'!$J:$J,ROW())&amp;""))</f>
        <v/>
      </c>
      <c r="M331" s="32">
        <f>IF(B331="","",TRIM(INDEX('Form Responses'!$K:$K,ROW())&amp;""))</f>
        <v/>
      </c>
      <c r="N331" s="32">
        <f>IF(B331="","",IF(E331&lt;&gt;"","P"&amp;E331,"N"&amp;B331))</f>
        <v/>
      </c>
      <c r="O331" s="32">
        <f>IF(N331="",0,IF(COUNTIF(N332:N$602,N331)=0,1,0))</f>
        <v/>
      </c>
      <c r="P331" s="32">
        <f>IF(AND(O331=1,E331&lt;&gt;""),E331,"")</f>
        <v/>
      </c>
      <c r="Q331" s="32">
        <f>IF(O331=1,B331,"")</f>
        <v/>
      </c>
      <c r="R331" s="32">
        <f>IF(O331&lt;&gt;1,"",IF(E331&lt;&gt;"",IFERROR(MATCH(E331,Guests!$S$6:$S$505,0)+5,IFERROR(MATCH(B331,Guests!$A$6:$A$505,0)+5,"")),IFERROR(MATCH(B331,Guests!$A$6:$A$505,0)+5,"")))</f>
        <v/>
      </c>
      <c r="S331" s="32">
        <f>IF(R331="","",TRIM(INDEX(Guests!$E$1:$E$505,R331)&amp;""))</f>
        <v/>
      </c>
      <c r="T331" s="32">
        <f>IF(R331="","",IF(S331="",1,COUNTIF(Guests!$E$6:$E$505,S331)))</f>
        <v/>
      </c>
      <c r="U331" s="32">
        <f>IF(R331="","",IF(S331="",1,IF(COUNTIF(S$1:S330,S331)=0,1,0)))</f>
        <v/>
      </c>
      <c r="V331" s="32">
        <f>IF(AND(R331&lt;&gt;"",G331="Attending",U331=1),MAX(0,H331+I331-T331),0)</f>
        <v/>
      </c>
      <c r="W331" s="32">
        <f>IF(AND(O331=1,R331=""),1,0)</f>
        <v/>
      </c>
      <c r="X331" s="32">
        <f>IF(B331="",0,H331+I331)</f>
        <v/>
      </c>
      <c r="Y331" s="32">
        <f>N(Y330)+O331</f>
        <v/>
      </c>
      <c r="Z331" s="32">
        <f>IF(O331=1,Y331,"")</f>
        <v/>
      </c>
      <c r="AA331" s="32">
        <f>IF(AND(W331=1,G331="Not sure yet"),1,0)</f>
        <v/>
      </c>
      <c r="AB331" s="32">
        <f>N(AB330)+AA331</f>
        <v/>
      </c>
      <c r="AC331" s="32">
        <f>IF(AA331=1,AB331,"")</f>
        <v/>
      </c>
      <c r="AD331" s="32">
        <f>IF(D331="","",IF(LEN(D331)=10,"+1"&amp;D331,IF(AND(LEN(D331)=11,LEFT(D331,1)="1"),"+"&amp;D331,IF(LEFT(C331,1)="+","+"&amp;D331,D331))))</f>
        <v/>
      </c>
      <c r="AE331" s="32">
        <f>IF(B331="","",PROPER(IFERROR(LEFT(B331,FIND(" ",B331)-1),B331)))</f>
        <v/>
      </c>
      <c r="AF331" s="32">
        <f>SUBSTITUTE(SUBSTITUTE(SUBSTITUTE(SUBSTITUTE(SUBSTITUTE(SUBSTITUTE(SUBSTITUTE(SUBSTITUTE(SUBSTITUTE(SUBSTITUTE(AE331,"%","%25"),"&amp;","%26"),"#","%23"),"+","%2B"),"=","%3D"),"?","%3F"),CHAR(34),"%22"),CHAR(10),"%0A"),CHAR(13),"")," ","+")</f>
        <v/>
      </c>
      <c r="AG331" s="32">
        <f>IF(OR(AD331="",AE331=""),"",'Start Here'!$B$20&amp;"#p="&amp;SUBSTITUTE(AD331,"+","%2B")&amp;"&amp;n="&amp;AF331&amp;"&amp;m="&amp;SUBSTITUTE('Start Here'!$B$24,"{name}",AF331))</f>
        <v/>
      </c>
      <c r="AH331" s="32">
        <f>N(AH330)+W331</f>
        <v/>
      </c>
      <c r="AI331" s="32">
        <f>IF(W331=1,AH331,"")</f>
        <v/>
      </c>
    </row>
    <row r="332">
      <c r="A332" s="32">
        <f>IF(INDEX('Form Responses'!$A:$A,ROW())="","",INDEX('Form Responses'!$A:$A,ROW()))</f>
        <v/>
      </c>
      <c r="B332" s="32">
        <f>TRIM(INDEX('Form Responses'!$B:$B,ROW())&amp;"")</f>
        <v/>
      </c>
      <c r="C332" s="32">
        <f>IF(B332="","",TRIM(INDEX('Form Responses'!$C:$C,ROW())&amp;""))</f>
        <v/>
      </c>
      <c r="D332" s="32">
        <f>SUBSTITUTE(SUBSTITUTE(SUBSTITUTE(SUBSTITUTE(SUBSTITUTE(SUBSTITUTE(SUBSTITUTE(SUBSTITUTE(C332," ",""),"-",""),"(",""),")",""),".",""),"+",""),"/",""),CHAR(160),"")</f>
        <v/>
      </c>
      <c r="E332" s="32">
        <f>IF(LEN(D332)&gt;=10,RIGHT(D332,10),D332)</f>
        <v/>
      </c>
      <c r="F332" s="32">
        <f>IF(B332="","",TRIM(INDEX('Form Responses'!$D:$D,ROW())&amp;""))</f>
        <v/>
      </c>
      <c r="G332" s="32">
        <f>IF(B332="","",IF(LEFT(TRIM(INDEX('Form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2" s="32">
        <f>IF(B332="","",MAX(0,IFERROR(INT(--(INDEX('Form Responses'!$F:$F,ROW())&amp;"")),1)))</f>
        <v/>
      </c>
      <c r="I332" s="32">
        <f>IF(B332="","",MAX(0,IFERROR(INT(--(INDEX('Form Responses'!$G:$G,ROW())&amp;"")),0)))</f>
        <v/>
      </c>
      <c r="J332" s="32">
        <f>IF(B332="","",TRIM(INDEX('Form Responses'!$H:$H,ROW())&amp;""))</f>
        <v/>
      </c>
      <c r="K332" s="32">
        <f>IF(B332="","",TRIM(INDEX('Form Responses'!$I:$I,ROW())&amp;""))</f>
        <v/>
      </c>
      <c r="L332" s="32">
        <f>IF(B332="","",TRIM(INDEX('Form Responses'!$J:$J,ROW())&amp;""))</f>
        <v/>
      </c>
      <c r="M332" s="32">
        <f>IF(B332="","",TRIM(INDEX('Form Responses'!$K:$K,ROW())&amp;""))</f>
        <v/>
      </c>
      <c r="N332" s="32">
        <f>IF(B332="","",IF(E332&lt;&gt;"","P"&amp;E332,"N"&amp;B332))</f>
        <v/>
      </c>
      <c r="O332" s="32">
        <f>IF(N332="",0,IF(COUNTIF(N333:N$602,N332)=0,1,0))</f>
        <v/>
      </c>
      <c r="P332" s="32">
        <f>IF(AND(O332=1,E332&lt;&gt;""),E332,"")</f>
        <v/>
      </c>
      <c r="Q332" s="32">
        <f>IF(O332=1,B332,"")</f>
        <v/>
      </c>
      <c r="R332" s="32">
        <f>IF(O332&lt;&gt;1,"",IF(E332&lt;&gt;"",IFERROR(MATCH(E332,Guests!$S$6:$S$505,0)+5,IFERROR(MATCH(B332,Guests!$A$6:$A$505,0)+5,"")),IFERROR(MATCH(B332,Guests!$A$6:$A$505,0)+5,"")))</f>
        <v/>
      </c>
      <c r="S332" s="32">
        <f>IF(R332="","",TRIM(INDEX(Guests!$E$1:$E$505,R332)&amp;""))</f>
        <v/>
      </c>
      <c r="T332" s="32">
        <f>IF(R332="","",IF(S332="",1,COUNTIF(Guests!$E$6:$E$505,S332)))</f>
        <v/>
      </c>
      <c r="U332" s="32">
        <f>IF(R332="","",IF(S332="",1,IF(COUNTIF(S$1:S331,S332)=0,1,0)))</f>
        <v/>
      </c>
      <c r="V332" s="32">
        <f>IF(AND(R332&lt;&gt;"",G332="Attending",U332=1),MAX(0,H332+I332-T332),0)</f>
        <v/>
      </c>
      <c r="W332" s="32">
        <f>IF(AND(O332=1,R332=""),1,0)</f>
        <v/>
      </c>
      <c r="X332" s="32">
        <f>IF(B332="",0,H332+I332)</f>
        <v/>
      </c>
      <c r="Y332" s="32">
        <f>N(Y331)+O332</f>
        <v/>
      </c>
      <c r="Z332" s="32">
        <f>IF(O332=1,Y332,"")</f>
        <v/>
      </c>
      <c r="AA332" s="32">
        <f>IF(AND(W332=1,G332="Not sure yet"),1,0)</f>
        <v/>
      </c>
      <c r="AB332" s="32">
        <f>N(AB331)+AA332</f>
        <v/>
      </c>
      <c r="AC332" s="32">
        <f>IF(AA332=1,AB332,"")</f>
        <v/>
      </c>
      <c r="AD332" s="32">
        <f>IF(D332="","",IF(LEN(D332)=10,"+1"&amp;D332,IF(AND(LEN(D332)=11,LEFT(D332,1)="1"),"+"&amp;D332,IF(LEFT(C332,1)="+","+"&amp;D332,D332))))</f>
        <v/>
      </c>
      <c r="AE332" s="32">
        <f>IF(B332="","",PROPER(IFERROR(LEFT(B332,FIND(" ",B332)-1),B332)))</f>
        <v/>
      </c>
      <c r="AF332" s="32">
        <f>SUBSTITUTE(SUBSTITUTE(SUBSTITUTE(SUBSTITUTE(SUBSTITUTE(SUBSTITUTE(SUBSTITUTE(SUBSTITUTE(SUBSTITUTE(SUBSTITUTE(AE332,"%","%25"),"&amp;","%26"),"#","%23"),"+","%2B"),"=","%3D"),"?","%3F"),CHAR(34),"%22"),CHAR(10),"%0A"),CHAR(13),"")," ","+")</f>
        <v/>
      </c>
      <c r="AG332" s="32">
        <f>IF(OR(AD332="",AE332=""),"",'Start Here'!$B$20&amp;"#p="&amp;SUBSTITUTE(AD332,"+","%2B")&amp;"&amp;n="&amp;AF332&amp;"&amp;m="&amp;SUBSTITUTE('Start Here'!$B$24,"{name}",AF332))</f>
        <v/>
      </c>
      <c r="AH332" s="32">
        <f>N(AH331)+W332</f>
        <v/>
      </c>
      <c r="AI332" s="32">
        <f>IF(W332=1,AH332,"")</f>
        <v/>
      </c>
    </row>
    <row r="333">
      <c r="A333" s="32">
        <f>IF(INDEX('Form Responses'!$A:$A,ROW())="","",INDEX('Form Responses'!$A:$A,ROW()))</f>
        <v/>
      </c>
      <c r="B333" s="32">
        <f>TRIM(INDEX('Form Responses'!$B:$B,ROW())&amp;"")</f>
        <v/>
      </c>
      <c r="C333" s="32">
        <f>IF(B333="","",TRIM(INDEX('Form Responses'!$C:$C,ROW())&amp;""))</f>
        <v/>
      </c>
      <c r="D333" s="32">
        <f>SUBSTITUTE(SUBSTITUTE(SUBSTITUTE(SUBSTITUTE(SUBSTITUTE(SUBSTITUTE(SUBSTITUTE(SUBSTITUTE(C333," ",""),"-",""),"(",""),")",""),".",""),"+",""),"/",""),CHAR(160),"")</f>
        <v/>
      </c>
      <c r="E333" s="32">
        <f>IF(LEN(D333)&gt;=10,RIGHT(D333,10),D333)</f>
        <v/>
      </c>
      <c r="F333" s="32">
        <f>IF(B333="","",TRIM(INDEX('Form Responses'!$D:$D,ROW())&amp;""))</f>
        <v/>
      </c>
      <c r="G333" s="32">
        <f>IF(B333="","",IF(LEFT(TRIM(INDEX('Form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3" s="32">
        <f>IF(B333="","",MAX(0,IFERROR(INT(--(INDEX('Form Responses'!$F:$F,ROW())&amp;"")),1)))</f>
        <v/>
      </c>
      <c r="I333" s="32">
        <f>IF(B333="","",MAX(0,IFERROR(INT(--(INDEX('Form Responses'!$G:$G,ROW())&amp;"")),0)))</f>
        <v/>
      </c>
      <c r="J333" s="32">
        <f>IF(B333="","",TRIM(INDEX('Form Responses'!$H:$H,ROW())&amp;""))</f>
        <v/>
      </c>
      <c r="K333" s="32">
        <f>IF(B333="","",TRIM(INDEX('Form Responses'!$I:$I,ROW())&amp;""))</f>
        <v/>
      </c>
      <c r="L333" s="32">
        <f>IF(B333="","",TRIM(INDEX('Form Responses'!$J:$J,ROW())&amp;""))</f>
        <v/>
      </c>
      <c r="M333" s="32">
        <f>IF(B333="","",TRIM(INDEX('Form Responses'!$K:$K,ROW())&amp;""))</f>
        <v/>
      </c>
      <c r="N333" s="32">
        <f>IF(B333="","",IF(E333&lt;&gt;"","P"&amp;E333,"N"&amp;B333))</f>
        <v/>
      </c>
      <c r="O333" s="32">
        <f>IF(N333="",0,IF(COUNTIF(N334:N$602,N333)=0,1,0))</f>
        <v/>
      </c>
      <c r="P333" s="32">
        <f>IF(AND(O333=1,E333&lt;&gt;""),E333,"")</f>
        <v/>
      </c>
      <c r="Q333" s="32">
        <f>IF(O333=1,B333,"")</f>
        <v/>
      </c>
      <c r="R333" s="32">
        <f>IF(O333&lt;&gt;1,"",IF(E333&lt;&gt;"",IFERROR(MATCH(E333,Guests!$S$6:$S$505,0)+5,IFERROR(MATCH(B333,Guests!$A$6:$A$505,0)+5,"")),IFERROR(MATCH(B333,Guests!$A$6:$A$505,0)+5,"")))</f>
        <v/>
      </c>
      <c r="S333" s="32">
        <f>IF(R333="","",TRIM(INDEX(Guests!$E$1:$E$505,R333)&amp;""))</f>
        <v/>
      </c>
      <c r="T333" s="32">
        <f>IF(R333="","",IF(S333="",1,COUNTIF(Guests!$E$6:$E$505,S333)))</f>
        <v/>
      </c>
      <c r="U333" s="32">
        <f>IF(R333="","",IF(S333="",1,IF(COUNTIF(S$1:S332,S333)=0,1,0)))</f>
        <v/>
      </c>
      <c r="V333" s="32">
        <f>IF(AND(R333&lt;&gt;"",G333="Attending",U333=1),MAX(0,H333+I333-T333),0)</f>
        <v/>
      </c>
      <c r="W333" s="32">
        <f>IF(AND(O333=1,R333=""),1,0)</f>
        <v/>
      </c>
      <c r="X333" s="32">
        <f>IF(B333="",0,H333+I333)</f>
        <v/>
      </c>
      <c r="Y333" s="32">
        <f>N(Y332)+O333</f>
        <v/>
      </c>
      <c r="Z333" s="32">
        <f>IF(O333=1,Y333,"")</f>
        <v/>
      </c>
      <c r="AA333" s="32">
        <f>IF(AND(W333=1,G333="Not sure yet"),1,0)</f>
        <v/>
      </c>
      <c r="AB333" s="32">
        <f>N(AB332)+AA333</f>
        <v/>
      </c>
      <c r="AC333" s="32">
        <f>IF(AA333=1,AB333,"")</f>
        <v/>
      </c>
      <c r="AD333" s="32">
        <f>IF(D333="","",IF(LEN(D333)=10,"+1"&amp;D333,IF(AND(LEN(D333)=11,LEFT(D333,1)="1"),"+"&amp;D333,IF(LEFT(C333,1)="+","+"&amp;D333,D333))))</f>
        <v/>
      </c>
      <c r="AE333" s="32">
        <f>IF(B333="","",PROPER(IFERROR(LEFT(B333,FIND(" ",B333)-1),B333)))</f>
        <v/>
      </c>
      <c r="AF333" s="32">
        <f>SUBSTITUTE(SUBSTITUTE(SUBSTITUTE(SUBSTITUTE(SUBSTITUTE(SUBSTITUTE(SUBSTITUTE(SUBSTITUTE(SUBSTITUTE(SUBSTITUTE(AE333,"%","%25"),"&amp;","%26"),"#","%23"),"+","%2B"),"=","%3D"),"?","%3F"),CHAR(34),"%22"),CHAR(10),"%0A"),CHAR(13),"")," ","+")</f>
        <v/>
      </c>
      <c r="AG333" s="32">
        <f>IF(OR(AD333="",AE333=""),"",'Start Here'!$B$20&amp;"#p="&amp;SUBSTITUTE(AD333,"+","%2B")&amp;"&amp;n="&amp;AF333&amp;"&amp;m="&amp;SUBSTITUTE('Start Here'!$B$24,"{name}",AF333))</f>
        <v/>
      </c>
      <c r="AH333" s="32">
        <f>N(AH332)+W333</f>
        <v/>
      </c>
      <c r="AI333" s="32">
        <f>IF(W333=1,AH333,"")</f>
        <v/>
      </c>
    </row>
    <row r="334">
      <c r="A334" s="32">
        <f>IF(INDEX('Form Responses'!$A:$A,ROW())="","",INDEX('Form Responses'!$A:$A,ROW()))</f>
        <v/>
      </c>
      <c r="B334" s="32">
        <f>TRIM(INDEX('Form Responses'!$B:$B,ROW())&amp;"")</f>
        <v/>
      </c>
      <c r="C334" s="32">
        <f>IF(B334="","",TRIM(INDEX('Form Responses'!$C:$C,ROW())&amp;""))</f>
        <v/>
      </c>
      <c r="D334" s="32">
        <f>SUBSTITUTE(SUBSTITUTE(SUBSTITUTE(SUBSTITUTE(SUBSTITUTE(SUBSTITUTE(SUBSTITUTE(SUBSTITUTE(C334," ",""),"-",""),"(",""),")",""),".",""),"+",""),"/",""),CHAR(160),"")</f>
        <v/>
      </c>
      <c r="E334" s="32">
        <f>IF(LEN(D334)&gt;=10,RIGHT(D334,10),D334)</f>
        <v/>
      </c>
      <c r="F334" s="32">
        <f>IF(B334="","",TRIM(INDEX('Form Responses'!$D:$D,ROW())&amp;""))</f>
        <v/>
      </c>
      <c r="G334" s="32">
        <f>IF(B334="","",IF(LEFT(TRIM(INDEX('Form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4" s="32">
        <f>IF(B334="","",MAX(0,IFERROR(INT(--(INDEX('Form Responses'!$F:$F,ROW())&amp;"")),1)))</f>
        <v/>
      </c>
      <c r="I334" s="32">
        <f>IF(B334="","",MAX(0,IFERROR(INT(--(INDEX('Form Responses'!$G:$G,ROW())&amp;"")),0)))</f>
        <v/>
      </c>
      <c r="J334" s="32">
        <f>IF(B334="","",TRIM(INDEX('Form Responses'!$H:$H,ROW())&amp;""))</f>
        <v/>
      </c>
      <c r="K334" s="32">
        <f>IF(B334="","",TRIM(INDEX('Form Responses'!$I:$I,ROW())&amp;""))</f>
        <v/>
      </c>
      <c r="L334" s="32">
        <f>IF(B334="","",TRIM(INDEX('Form Responses'!$J:$J,ROW())&amp;""))</f>
        <v/>
      </c>
      <c r="M334" s="32">
        <f>IF(B334="","",TRIM(INDEX('Form Responses'!$K:$K,ROW())&amp;""))</f>
        <v/>
      </c>
      <c r="N334" s="32">
        <f>IF(B334="","",IF(E334&lt;&gt;"","P"&amp;E334,"N"&amp;B334))</f>
        <v/>
      </c>
      <c r="O334" s="32">
        <f>IF(N334="",0,IF(COUNTIF(N335:N$602,N334)=0,1,0))</f>
        <v/>
      </c>
      <c r="P334" s="32">
        <f>IF(AND(O334=1,E334&lt;&gt;""),E334,"")</f>
        <v/>
      </c>
      <c r="Q334" s="32">
        <f>IF(O334=1,B334,"")</f>
        <v/>
      </c>
      <c r="R334" s="32">
        <f>IF(O334&lt;&gt;1,"",IF(E334&lt;&gt;"",IFERROR(MATCH(E334,Guests!$S$6:$S$505,0)+5,IFERROR(MATCH(B334,Guests!$A$6:$A$505,0)+5,"")),IFERROR(MATCH(B334,Guests!$A$6:$A$505,0)+5,"")))</f>
        <v/>
      </c>
      <c r="S334" s="32">
        <f>IF(R334="","",TRIM(INDEX(Guests!$E$1:$E$505,R334)&amp;""))</f>
        <v/>
      </c>
      <c r="T334" s="32">
        <f>IF(R334="","",IF(S334="",1,COUNTIF(Guests!$E$6:$E$505,S334)))</f>
        <v/>
      </c>
      <c r="U334" s="32">
        <f>IF(R334="","",IF(S334="",1,IF(COUNTIF(S$1:S333,S334)=0,1,0)))</f>
        <v/>
      </c>
      <c r="V334" s="32">
        <f>IF(AND(R334&lt;&gt;"",G334="Attending",U334=1),MAX(0,H334+I334-T334),0)</f>
        <v/>
      </c>
      <c r="W334" s="32">
        <f>IF(AND(O334=1,R334=""),1,0)</f>
        <v/>
      </c>
      <c r="X334" s="32">
        <f>IF(B334="",0,H334+I334)</f>
        <v/>
      </c>
      <c r="Y334" s="32">
        <f>N(Y333)+O334</f>
        <v/>
      </c>
      <c r="Z334" s="32">
        <f>IF(O334=1,Y334,"")</f>
        <v/>
      </c>
      <c r="AA334" s="32">
        <f>IF(AND(W334=1,G334="Not sure yet"),1,0)</f>
        <v/>
      </c>
      <c r="AB334" s="32">
        <f>N(AB333)+AA334</f>
        <v/>
      </c>
      <c r="AC334" s="32">
        <f>IF(AA334=1,AB334,"")</f>
        <v/>
      </c>
      <c r="AD334" s="32">
        <f>IF(D334="","",IF(LEN(D334)=10,"+1"&amp;D334,IF(AND(LEN(D334)=11,LEFT(D334,1)="1"),"+"&amp;D334,IF(LEFT(C334,1)="+","+"&amp;D334,D334))))</f>
        <v/>
      </c>
      <c r="AE334" s="32">
        <f>IF(B334="","",PROPER(IFERROR(LEFT(B334,FIND(" ",B334)-1),B334)))</f>
        <v/>
      </c>
      <c r="AF334" s="32">
        <f>SUBSTITUTE(SUBSTITUTE(SUBSTITUTE(SUBSTITUTE(SUBSTITUTE(SUBSTITUTE(SUBSTITUTE(SUBSTITUTE(SUBSTITUTE(SUBSTITUTE(AE334,"%","%25"),"&amp;","%26"),"#","%23"),"+","%2B"),"=","%3D"),"?","%3F"),CHAR(34),"%22"),CHAR(10),"%0A"),CHAR(13),"")," ","+")</f>
        <v/>
      </c>
      <c r="AG334" s="32">
        <f>IF(OR(AD334="",AE334=""),"",'Start Here'!$B$20&amp;"#p="&amp;SUBSTITUTE(AD334,"+","%2B")&amp;"&amp;n="&amp;AF334&amp;"&amp;m="&amp;SUBSTITUTE('Start Here'!$B$24,"{name}",AF334))</f>
        <v/>
      </c>
      <c r="AH334" s="32">
        <f>N(AH333)+W334</f>
        <v/>
      </c>
      <c r="AI334" s="32">
        <f>IF(W334=1,AH334,"")</f>
        <v/>
      </c>
    </row>
    <row r="335">
      <c r="A335" s="32">
        <f>IF(INDEX('Form Responses'!$A:$A,ROW())="","",INDEX('Form Responses'!$A:$A,ROW()))</f>
        <v/>
      </c>
      <c r="B335" s="32">
        <f>TRIM(INDEX('Form Responses'!$B:$B,ROW())&amp;"")</f>
        <v/>
      </c>
      <c r="C335" s="32">
        <f>IF(B335="","",TRIM(INDEX('Form Responses'!$C:$C,ROW())&amp;""))</f>
        <v/>
      </c>
      <c r="D335" s="32">
        <f>SUBSTITUTE(SUBSTITUTE(SUBSTITUTE(SUBSTITUTE(SUBSTITUTE(SUBSTITUTE(SUBSTITUTE(SUBSTITUTE(C335," ",""),"-",""),"(",""),")",""),".",""),"+",""),"/",""),CHAR(160),"")</f>
        <v/>
      </c>
      <c r="E335" s="32">
        <f>IF(LEN(D335)&gt;=10,RIGHT(D335,10),D335)</f>
        <v/>
      </c>
      <c r="F335" s="32">
        <f>IF(B335="","",TRIM(INDEX('Form Responses'!$D:$D,ROW())&amp;""))</f>
        <v/>
      </c>
      <c r="G335" s="32">
        <f>IF(B335="","",IF(LEFT(TRIM(INDEX('Form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5" s="32">
        <f>IF(B335="","",MAX(0,IFERROR(INT(--(INDEX('Form Responses'!$F:$F,ROW())&amp;"")),1)))</f>
        <v/>
      </c>
      <c r="I335" s="32">
        <f>IF(B335="","",MAX(0,IFERROR(INT(--(INDEX('Form Responses'!$G:$G,ROW())&amp;"")),0)))</f>
        <v/>
      </c>
      <c r="J335" s="32">
        <f>IF(B335="","",TRIM(INDEX('Form Responses'!$H:$H,ROW())&amp;""))</f>
        <v/>
      </c>
      <c r="K335" s="32">
        <f>IF(B335="","",TRIM(INDEX('Form Responses'!$I:$I,ROW())&amp;""))</f>
        <v/>
      </c>
      <c r="L335" s="32">
        <f>IF(B335="","",TRIM(INDEX('Form Responses'!$J:$J,ROW())&amp;""))</f>
        <v/>
      </c>
      <c r="M335" s="32">
        <f>IF(B335="","",TRIM(INDEX('Form Responses'!$K:$K,ROW())&amp;""))</f>
        <v/>
      </c>
      <c r="N335" s="32">
        <f>IF(B335="","",IF(E335&lt;&gt;"","P"&amp;E335,"N"&amp;B335))</f>
        <v/>
      </c>
      <c r="O335" s="32">
        <f>IF(N335="",0,IF(COUNTIF(N336:N$602,N335)=0,1,0))</f>
        <v/>
      </c>
      <c r="P335" s="32">
        <f>IF(AND(O335=1,E335&lt;&gt;""),E335,"")</f>
        <v/>
      </c>
      <c r="Q335" s="32">
        <f>IF(O335=1,B335,"")</f>
        <v/>
      </c>
      <c r="R335" s="32">
        <f>IF(O335&lt;&gt;1,"",IF(E335&lt;&gt;"",IFERROR(MATCH(E335,Guests!$S$6:$S$505,0)+5,IFERROR(MATCH(B335,Guests!$A$6:$A$505,0)+5,"")),IFERROR(MATCH(B335,Guests!$A$6:$A$505,0)+5,"")))</f>
        <v/>
      </c>
      <c r="S335" s="32">
        <f>IF(R335="","",TRIM(INDEX(Guests!$E$1:$E$505,R335)&amp;""))</f>
        <v/>
      </c>
      <c r="T335" s="32">
        <f>IF(R335="","",IF(S335="",1,COUNTIF(Guests!$E$6:$E$505,S335)))</f>
        <v/>
      </c>
      <c r="U335" s="32">
        <f>IF(R335="","",IF(S335="",1,IF(COUNTIF(S$1:S334,S335)=0,1,0)))</f>
        <v/>
      </c>
      <c r="V335" s="32">
        <f>IF(AND(R335&lt;&gt;"",G335="Attending",U335=1),MAX(0,H335+I335-T335),0)</f>
        <v/>
      </c>
      <c r="W335" s="32">
        <f>IF(AND(O335=1,R335=""),1,0)</f>
        <v/>
      </c>
      <c r="X335" s="32">
        <f>IF(B335="",0,H335+I335)</f>
        <v/>
      </c>
      <c r="Y335" s="32">
        <f>N(Y334)+O335</f>
        <v/>
      </c>
      <c r="Z335" s="32">
        <f>IF(O335=1,Y335,"")</f>
        <v/>
      </c>
      <c r="AA335" s="32">
        <f>IF(AND(W335=1,G335="Not sure yet"),1,0)</f>
        <v/>
      </c>
      <c r="AB335" s="32">
        <f>N(AB334)+AA335</f>
        <v/>
      </c>
      <c r="AC335" s="32">
        <f>IF(AA335=1,AB335,"")</f>
        <v/>
      </c>
      <c r="AD335" s="32">
        <f>IF(D335="","",IF(LEN(D335)=10,"+1"&amp;D335,IF(AND(LEN(D335)=11,LEFT(D335,1)="1"),"+"&amp;D335,IF(LEFT(C335,1)="+","+"&amp;D335,D335))))</f>
        <v/>
      </c>
      <c r="AE335" s="32">
        <f>IF(B335="","",PROPER(IFERROR(LEFT(B335,FIND(" ",B335)-1),B335)))</f>
        <v/>
      </c>
      <c r="AF335" s="32">
        <f>SUBSTITUTE(SUBSTITUTE(SUBSTITUTE(SUBSTITUTE(SUBSTITUTE(SUBSTITUTE(SUBSTITUTE(SUBSTITUTE(SUBSTITUTE(SUBSTITUTE(AE335,"%","%25"),"&amp;","%26"),"#","%23"),"+","%2B"),"=","%3D"),"?","%3F"),CHAR(34),"%22"),CHAR(10),"%0A"),CHAR(13),"")," ","+")</f>
        <v/>
      </c>
      <c r="AG335" s="32">
        <f>IF(OR(AD335="",AE335=""),"",'Start Here'!$B$20&amp;"#p="&amp;SUBSTITUTE(AD335,"+","%2B")&amp;"&amp;n="&amp;AF335&amp;"&amp;m="&amp;SUBSTITUTE('Start Here'!$B$24,"{name}",AF335))</f>
        <v/>
      </c>
      <c r="AH335" s="32">
        <f>N(AH334)+W335</f>
        <v/>
      </c>
      <c r="AI335" s="32">
        <f>IF(W335=1,AH335,"")</f>
        <v/>
      </c>
    </row>
    <row r="336">
      <c r="A336" s="32">
        <f>IF(INDEX('Form Responses'!$A:$A,ROW())="","",INDEX('Form Responses'!$A:$A,ROW()))</f>
        <v/>
      </c>
      <c r="B336" s="32">
        <f>TRIM(INDEX('Form Responses'!$B:$B,ROW())&amp;"")</f>
        <v/>
      </c>
      <c r="C336" s="32">
        <f>IF(B336="","",TRIM(INDEX('Form Responses'!$C:$C,ROW())&amp;""))</f>
        <v/>
      </c>
      <c r="D336" s="32">
        <f>SUBSTITUTE(SUBSTITUTE(SUBSTITUTE(SUBSTITUTE(SUBSTITUTE(SUBSTITUTE(SUBSTITUTE(SUBSTITUTE(C336," ",""),"-",""),"(",""),")",""),".",""),"+",""),"/",""),CHAR(160),"")</f>
        <v/>
      </c>
      <c r="E336" s="32">
        <f>IF(LEN(D336)&gt;=10,RIGHT(D336,10),D336)</f>
        <v/>
      </c>
      <c r="F336" s="32">
        <f>IF(B336="","",TRIM(INDEX('Form Responses'!$D:$D,ROW())&amp;""))</f>
        <v/>
      </c>
      <c r="G336" s="32">
        <f>IF(B336="","",IF(LEFT(TRIM(INDEX('Form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6" s="32">
        <f>IF(B336="","",MAX(0,IFERROR(INT(--(INDEX('Form Responses'!$F:$F,ROW())&amp;"")),1)))</f>
        <v/>
      </c>
      <c r="I336" s="32">
        <f>IF(B336="","",MAX(0,IFERROR(INT(--(INDEX('Form Responses'!$G:$G,ROW())&amp;"")),0)))</f>
        <v/>
      </c>
      <c r="J336" s="32">
        <f>IF(B336="","",TRIM(INDEX('Form Responses'!$H:$H,ROW())&amp;""))</f>
        <v/>
      </c>
      <c r="K336" s="32">
        <f>IF(B336="","",TRIM(INDEX('Form Responses'!$I:$I,ROW())&amp;""))</f>
        <v/>
      </c>
      <c r="L336" s="32">
        <f>IF(B336="","",TRIM(INDEX('Form Responses'!$J:$J,ROW())&amp;""))</f>
        <v/>
      </c>
      <c r="M336" s="32">
        <f>IF(B336="","",TRIM(INDEX('Form Responses'!$K:$K,ROW())&amp;""))</f>
        <v/>
      </c>
      <c r="N336" s="32">
        <f>IF(B336="","",IF(E336&lt;&gt;"","P"&amp;E336,"N"&amp;B336))</f>
        <v/>
      </c>
      <c r="O336" s="32">
        <f>IF(N336="",0,IF(COUNTIF(N337:N$602,N336)=0,1,0))</f>
        <v/>
      </c>
      <c r="P336" s="32">
        <f>IF(AND(O336=1,E336&lt;&gt;""),E336,"")</f>
        <v/>
      </c>
      <c r="Q336" s="32">
        <f>IF(O336=1,B336,"")</f>
        <v/>
      </c>
      <c r="R336" s="32">
        <f>IF(O336&lt;&gt;1,"",IF(E336&lt;&gt;"",IFERROR(MATCH(E336,Guests!$S$6:$S$505,0)+5,IFERROR(MATCH(B336,Guests!$A$6:$A$505,0)+5,"")),IFERROR(MATCH(B336,Guests!$A$6:$A$505,0)+5,"")))</f>
        <v/>
      </c>
      <c r="S336" s="32">
        <f>IF(R336="","",TRIM(INDEX(Guests!$E$1:$E$505,R336)&amp;""))</f>
        <v/>
      </c>
      <c r="T336" s="32">
        <f>IF(R336="","",IF(S336="",1,COUNTIF(Guests!$E$6:$E$505,S336)))</f>
        <v/>
      </c>
      <c r="U336" s="32">
        <f>IF(R336="","",IF(S336="",1,IF(COUNTIF(S$1:S335,S336)=0,1,0)))</f>
        <v/>
      </c>
      <c r="V336" s="32">
        <f>IF(AND(R336&lt;&gt;"",G336="Attending",U336=1),MAX(0,H336+I336-T336),0)</f>
        <v/>
      </c>
      <c r="W336" s="32">
        <f>IF(AND(O336=1,R336=""),1,0)</f>
        <v/>
      </c>
      <c r="X336" s="32">
        <f>IF(B336="",0,H336+I336)</f>
        <v/>
      </c>
      <c r="Y336" s="32">
        <f>N(Y335)+O336</f>
        <v/>
      </c>
      <c r="Z336" s="32">
        <f>IF(O336=1,Y336,"")</f>
        <v/>
      </c>
      <c r="AA336" s="32">
        <f>IF(AND(W336=1,G336="Not sure yet"),1,0)</f>
        <v/>
      </c>
      <c r="AB336" s="32">
        <f>N(AB335)+AA336</f>
        <v/>
      </c>
      <c r="AC336" s="32">
        <f>IF(AA336=1,AB336,"")</f>
        <v/>
      </c>
      <c r="AD336" s="32">
        <f>IF(D336="","",IF(LEN(D336)=10,"+1"&amp;D336,IF(AND(LEN(D336)=11,LEFT(D336,1)="1"),"+"&amp;D336,IF(LEFT(C336,1)="+","+"&amp;D336,D336))))</f>
        <v/>
      </c>
      <c r="AE336" s="32">
        <f>IF(B336="","",PROPER(IFERROR(LEFT(B336,FIND(" ",B336)-1),B336)))</f>
        <v/>
      </c>
      <c r="AF336" s="32">
        <f>SUBSTITUTE(SUBSTITUTE(SUBSTITUTE(SUBSTITUTE(SUBSTITUTE(SUBSTITUTE(SUBSTITUTE(SUBSTITUTE(SUBSTITUTE(SUBSTITUTE(AE336,"%","%25"),"&amp;","%26"),"#","%23"),"+","%2B"),"=","%3D"),"?","%3F"),CHAR(34),"%22"),CHAR(10),"%0A"),CHAR(13),"")," ","+")</f>
        <v/>
      </c>
      <c r="AG336" s="32">
        <f>IF(OR(AD336="",AE336=""),"",'Start Here'!$B$20&amp;"#p="&amp;SUBSTITUTE(AD336,"+","%2B")&amp;"&amp;n="&amp;AF336&amp;"&amp;m="&amp;SUBSTITUTE('Start Here'!$B$24,"{name}",AF336))</f>
        <v/>
      </c>
      <c r="AH336" s="32">
        <f>N(AH335)+W336</f>
        <v/>
      </c>
      <c r="AI336" s="32">
        <f>IF(W336=1,AH336,"")</f>
        <v/>
      </c>
    </row>
    <row r="337">
      <c r="A337" s="32">
        <f>IF(INDEX('Form Responses'!$A:$A,ROW())="","",INDEX('Form Responses'!$A:$A,ROW()))</f>
        <v/>
      </c>
      <c r="B337" s="32">
        <f>TRIM(INDEX('Form Responses'!$B:$B,ROW())&amp;"")</f>
        <v/>
      </c>
      <c r="C337" s="32">
        <f>IF(B337="","",TRIM(INDEX('Form Responses'!$C:$C,ROW())&amp;""))</f>
        <v/>
      </c>
      <c r="D337" s="32">
        <f>SUBSTITUTE(SUBSTITUTE(SUBSTITUTE(SUBSTITUTE(SUBSTITUTE(SUBSTITUTE(SUBSTITUTE(SUBSTITUTE(C337," ",""),"-",""),"(",""),")",""),".",""),"+",""),"/",""),CHAR(160),"")</f>
        <v/>
      </c>
      <c r="E337" s="32">
        <f>IF(LEN(D337)&gt;=10,RIGHT(D337,10),D337)</f>
        <v/>
      </c>
      <c r="F337" s="32">
        <f>IF(B337="","",TRIM(INDEX('Form Responses'!$D:$D,ROW())&amp;""))</f>
        <v/>
      </c>
      <c r="G337" s="32">
        <f>IF(B337="","",IF(LEFT(TRIM(INDEX('Form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7" s="32">
        <f>IF(B337="","",MAX(0,IFERROR(INT(--(INDEX('Form Responses'!$F:$F,ROW())&amp;"")),1)))</f>
        <v/>
      </c>
      <c r="I337" s="32">
        <f>IF(B337="","",MAX(0,IFERROR(INT(--(INDEX('Form Responses'!$G:$G,ROW())&amp;"")),0)))</f>
        <v/>
      </c>
      <c r="J337" s="32">
        <f>IF(B337="","",TRIM(INDEX('Form Responses'!$H:$H,ROW())&amp;""))</f>
        <v/>
      </c>
      <c r="K337" s="32">
        <f>IF(B337="","",TRIM(INDEX('Form Responses'!$I:$I,ROW())&amp;""))</f>
        <v/>
      </c>
      <c r="L337" s="32">
        <f>IF(B337="","",TRIM(INDEX('Form Responses'!$J:$J,ROW())&amp;""))</f>
        <v/>
      </c>
      <c r="M337" s="32">
        <f>IF(B337="","",TRIM(INDEX('Form Responses'!$K:$K,ROW())&amp;""))</f>
        <v/>
      </c>
      <c r="N337" s="32">
        <f>IF(B337="","",IF(E337&lt;&gt;"","P"&amp;E337,"N"&amp;B337))</f>
        <v/>
      </c>
      <c r="O337" s="32">
        <f>IF(N337="",0,IF(COUNTIF(N338:N$602,N337)=0,1,0))</f>
        <v/>
      </c>
      <c r="P337" s="32">
        <f>IF(AND(O337=1,E337&lt;&gt;""),E337,"")</f>
        <v/>
      </c>
      <c r="Q337" s="32">
        <f>IF(O337=1,B337,"")</f>
        <v/>
      </c>
      <c r="R337" s="32">
        <f>IF(O337&lt;&gt;1,"",IF(E337&lt;&gt;"",IFERROR(MATCH(E337,Guests!$S$6:$S$505,0)+5,IFERROR(MATCH(B337,Guests!$A$6:$A$505,0)+5,"")),IFERROR(MATCH(B337,Guests!$A$6:$A$505,0)+5,"")))</f>
        <v/>
      </c>
      <c r="S337" s="32">
        <f>IF(R337="","",TRIM(INDEX(Guests!$E$1:$E$505,R337)&amp;""))</f>
        <v/>
      </c>
      <c r="T337" s="32">
        <f>IF(R337="","",IF(S337="",1,COUNTIF(Guests!$E$6:$E$505,S337)))</f>
        <v/>
      </c>
      <c r="U337" s="32">
        <f>IF(R337="","",IF(S337="",1,IF(COUNTIF(S$1:S336,S337)=0,1,0)))</f>
        <v/>
      </c>
      <c r="V337" s="32">
        <f>IF(AND(R337&lt;&gt;"",G337="Attending",U337=1),MAX(0,H337+I337-T337),0)</f>
        <v/>
      </c>
      <c r="W337" s="32">
        <f>IF(AND(O337=1,R337=""),1,0)</f>
        <v/>
      </c>
      <c r="X337" s="32">
        <f>IF(B337="",0,H337+I337)</f>
        <v/>
      </c>
      <c r="Y337" s="32">
        <f>N(Y336)+O337</f>
        <v/>
      </c>
      <c r="Z337" s="32">
        <f>IF(O337=1,Y337,"")</f>
        <v/>
      </c>
      <c r="AA337" s="32">
        <f>IF(AND(W337=1,G337="Not sure yet"),1,0)</f>
        <v/>
      </c>
      <c r="AB337" s="32">
        <f>N(AB336)+AA337</f>
        <v/>
      </c>
      <c r="AC337" s="32">
        <f>IF(AA337=1,AB337,"")</f>
        <v/>
      </c>
      <c r="AD337" s="32">
        <f>IF(D337="","",IF(LEN(D337)=10,"+1"&amp;D337,IF(AND(LEN(D337)=11,LEFT(D337,1)="1"),"+"&amp;D337,IF(LEFT(C337,1)="+","+"&amp;D337,D337))))</f>
        <v/>
      </c>
      <c r="AE337" s="32">
        <f>IF(B337="","",PROPER(IFERROR(LEFT(B337,FIND(" ",B337)-1),B337)))</f>
        <v/>
      </c>
      <c r="AF337" s="32">
        <f>SUBSTITUTE(SUBSTITUTE(SUBSTITUTE(SUBSTITUTE(SUBSTITUTE(SUBSTITUTE(SUBSTITUTE(SUBSTITUTE(SUBSTITUTE(SUBSTITUTE(AE337,"%","%25"),"&amp;","%26"),"#","%23"),"+","%2B"),"=","%3D"),"?","%3F"),CHAR(34),"%22"),CHAR(10),"%0A"),CHAR(13),"")," ","+")</f>
        <v/>
      </c>
      <c r="AG337" s="32">
        <f>IF(OR(AD337="",AE337=""),"",'Start Here'!$B$20&amp;"#p="&amp;SUBSTITUTE(AD337,"+","%2B")&amp;"&amp;n="&amp;AF337&amp;"&amp;m="&amp;SUBSTITUTE('Start Here'!$B$24,"{name}",AF337))</f>
        <v/>
      </c>
      <c r="AH337" s="32">
        <f>N(AH336)+W337</f>
        <v/>
      </c>
      <c r="AI337" s="32">
        <f>IF(W337=1,AH337,"")</f>
        <v/>
      </c>
    </row>
    <row r="338">
      <c r="A338" s="32">
        <f>IF(INDEX('Form Responses'!$A:$A,ROW())="","",INDEX('Form Responses'!$A:$A,ROW()))</f>
        <v/>
      </c>
      <c r="B338" s="32">
        <f>TRIM(INDEX('Form Responses'!$B:$B,ROW())&amp;"")</f>
        <v/>
      </c>
      <c r="C338" s="32">
        <f>IF(B338="","",TRIM(INDEX('Form Responses'!$C:$C,ROW())&amp;""))</f>
        <v/>
      </c>
      <c r="D338" s="32">
        <f>SUBSTITUTE(SUBSTITUTE(SUBSTITUTE(SUBSTITUTE(SUBSTITUTE(SUBSTITUTE(SUBSTITUTE(SUBSTITUTE(C338," ",""),"-",""),"(",""),")",""),".",""),"+",""),"/",""),CHAR(160),"")</f>
        <v/>
      </c>
      <c r="E338" s="32">
        <f>IF(LEN(D338)&gt;=10,RIGHT(D338,10),D338)</f>
        <v/>
      </c>
      <c r="F338" s="32">
        <f>IF(B338="","",TRIM(INDEX('Form Responses'!$D:$D,ROW())&amp;""))</f>
        <v/>
      </c>
      <c r="G338" s="32">
        <f>IF(B338="","",IF(LEFT(TRIM(INDEX('Form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8" s="32">
        <f>IF(B338="","",MAX(0,IFERROR(INT(--(INDEX('Form Responses'!$F:$F,ROW())&amp;"")),1)))</f>
        <v/>
      </c>
      <c r="I338" s="32">
        <f>IF(B338="","",MAX(0,IFERROR(INT(--(INDEX('Form Responses'!$G:$G,ROW())&amp;"")),0)))</f>
        <v/>
      </c>
      <c r="J338" s="32">
        <f>IF(B338="","",TRIM(INDEX('Form Responses'!$H:$H,ROW())&amp;""))</f>
        <v/>
      </c>
      <c r="K338" s="32">
        <f>IF(B338="","",TRIM(INDEX('Form Responses'!$I:$I,ROW())&amp;""))</f>
        <v/>
      </c>
      <c r="L338" s="32">
        <f>IF(B338="","",TRIM(INDEX('Form Responses'!$J:$J,ROW())&amp;""))</f>
        <v/>
      </c>
      <c r="M338" s="32">
        <f>IF(B338="","",TRIM(INDEX('Form Responses'!$K:$K,ROW())&amp;""))</f>
        <v/>
      </c>
      <c r="N338" s="32">
        <f>IF(B338="","",IF(E338&lt;&gt;"","P"&amp;E338,"N"&amp;B338))</f>
        <v/>
      </c>
      <c r="O338" s="32">
        <f>IF(N338="",0,IF(COUNTIF(N339:N$602,N338)=0,1,0))</f>
        <v/>
      </c>
      <c r="P338" s="32">
        <f>IF(AND(O338=1,E338&lt;&gt;""),E338,"")</f>
        <v/>
      </c>
      <c r="Q338" s="32">
        <f>IF(O338=1,B338,"")</f>
        <v/>
      </c>
      <c r="R338" s="32">
        <f>IF(O338&lt;&gt;1,"",IF(E338&lt;&gt;"",IFERROR(MATCH(E338,Guests!$S$6:$S$505,0)+5,IFERROR(MATCH(B338,Guests!$A$6:$A$505,0)+5,"")),IFERROR(MATCH(B338,Guests!$A$6:$A$505,0)+5,"")))</f>
        <v/>
      </c>
      <c r="S338" s="32">
        <f>IF(R338="","",TRIM(INDEX(Guests!$E$1:$E$505,R338)&amp;""))</f>
        <v/>
      </c>
      <c r="T338" s="32">
        <f>IF(R338="","",IF(S338="",1,COUNTIF(Guests!$E$6:$E$505,S338)))</f>
        <v/>
      </c>
      <c r="U338" s="32">
        <f>IF(R338="","",IF(S338="",1,IF(COUNTIF(S$1:S337,S338)=0,1,0)))</f>
        <v/>
      </c>
      <c r="V338" s="32">
        <f>IF(AND(R338&lt;&gt;"",G338="Attending",U338=1),MAX(0,H338+I338-T338),0)</f>
        <v/>
      </c>
      <c r="W338" s="32">
        <f>IF(AND(O338=1,R338=""),1,0)</f>
        <v/>
      </c>
      <c r="X338" s="32">
        <f>IF(B338="",0,H338+I338)</f>
        <v/>
      </c>
      <c r="Y338" s="32">
        <f>N(Y337)+O338</f>
        <v/>
      </c>
      <c r="Z338" s="32">
        <f>IF(O338=1,Y338,"")</f>
        <v/>
      </c>
      <c r="AA338" s="32">
        <f>IF(AND(W338=1,G338="Not sure yet"),1,0)</f>
        <v/>
      </c>
      <c r="AB338" s="32">
        <f>N(AB337)+AA338</f>
        <v/>
      </c>
      <c r="AC338" s="32">
        <f>IF(AA338=1,AB338,"")</f>
        <v/>
      </c>
      <c r="AD338" s="32">
        <f>IF(D338="","",IF(LEN(D338)=10,"+1"&amp;D338,IF(AND(LEN(D338)=11,LEFT(D338,1)="1"),"+"&amp;D338,IF(LEFT(C338,1)="+","+"&amp;D338,D338))))</f>
        <v/>
      </c>
      <c r="AE338" s="32">
        <f>IF(B338="","",PROPER(IFERROR(LEFT(B338,FIND(" ",B338)-1),B338)))</f>
        <v/>
      </c>
      <c r="AF338" s="32">
        <f>SUBSTITUTE(SUBSTITUTE(SUBSTITUTE(SUBSTITUTE(SUBSTITUTE(SUBSTITUTE(SUBSTITUTE(SUBSTITUTE(SUBSTITUTE(SUBSTITUTE(AE338,"%","%25"),"&amp;","%26"),"#","%23"),"+","%2B"),"=","%3D"),"?","%3F"),CHAR(34),"%22"),CHAR(10),"%0A"),CHAR(13),"")," ","+")</f>
        <v/>
      </c>
      <c r="AG338" s="32">
        <f>IF(OR(AD338="",AE338=""),"",'Start Here'!$B$20&amp;"#p="&amp;SUBSTITUTE(AD338,"+","%2B")&amp;"&amp;n="&amp;AF338&amp;"&amp;m="&amp;SUBSTITUTE('Start Here'!$B$24,"{name}",AF338))</f>
        <v/>
      </c>
      <c r="AH338" s="32">
        <f>N(AH337)+W338</f>
        <v/>
      </c>
      <c r="AI338" s="32">
        <f>IF(W338=1,AH338,"")</f>
        <v/>
      </c>
    </row>
    <row r="339">
      <c r="A339" s="32">
        <f>IF(INDEX('Form Responses'!$A:$A,ROW())="","",INDEX('Form Responses'!$A:$A,ROW()))</f>
        <v/>
      </c>
      <c r="B339" s="32">
        <f>TRIM(INDEX('Form Responses'!$B:$B,ROW())&amp;"")</f>
        <v/>
      </c>
      <c r="C339" s="32">
        <f>IF(B339="","",TRIM(INDEX('Form Responses'!$C:$C,ROW())&amp;""))</f>
        <v/>
      </c>
      <c r="D339" s="32">
        <f>SUBSTITUTE(SUBSTITUTE(SUBSTITUTE(SUBSTITUTE(SUBSTITUTE(SUBSTITUTE(SUBSTITUTE(SUBSTITUTE(C339," ",""),"-",""),"(",""),")",""),".",""),"+",""),"/",""),CHAR(160),"")</f>
        <v/>
      </c>
      <c r="E339" s="32">
        <f>IF(LEN(D339)&gt;=10,RIGHT(D339,10),D339)</f>
        <v/>
      </c>
      <c r="F339" s="32">
        <f>IF(B339="","",TRIM(INDEX('Form Responses'!$D:$D,ROW())&amp;""))</f>
        <v/>
      </c>
      <c r="G339" s="32">
        <f>IF(B339="","",IF(LEFT(TRIM(INDEX('Form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39" s="32">
        <f>IF(B339="","",MAX(0,IFERROR(INT(--(INDEX('Form Responses'!$F:$F,ROW())&amp;"")),1)))</f>
        <v/>
      </c>
      <c r="I339" s="32">
        <f>IF(B339="","",MAX(0,IFERROR(INT(--(INDEX('Form Responses'!$G:$G,ROW())&amp;"")),0)))</f>
        <v/>
      </c>
      <c r="J339" s="32">
        <f>IF(B339="","",TRIM(INDEX('Form Responses'!$H:$H,ROW())&amp;""))</f>
        <v/>
      </c>
      <c r="K339" s="32">
        <f>IF(B339="","",TRIM(INDEX('Form Responses'!$I:$I,ROW())&amp;""))</f>
        <v/>
      </c>
      <c r="L339" s="32">
        <f>IF(B339="","",TRIM(INDEX('Form Responses'!$J:$J,ROW())&amp;""))</f>
        <v/>
      </c>
      <c r="M339" s="32">
        <f>IF(B339="","",TRIM(INDEX('Form Responses'!$K:$K,ROW())&amp;""))</f>
        <v/>
      </c>
      <c r="N339" s="32">
        <f>IF(B339="","",IF(E339&lt;&gt;"","P"&amp;E339,"N"&amp;B339))</f>
        <v/>
      </c>
      <c r="O339" s="32">
        <f>IF(N339="",0,IF(COUNTIF(N340:N$602,N339)=0,1,0))</f>
        <v/>
      </c>
      <c r="P339" s="32">
        <f>IF(AND(O339=1,E339&lt;&gt;""),E339,"")</f>
        <v/>
      </c>
      <c r="Q339" s="32">
        <f>IF(O339=1,B339,"")</f>
        <v/>
      </c>
      <c r="R339" s="32">
        <f>IF(O339&lt;&gt;1,"",IF(E339&lt;&gt;"",IFERROR(MATCH(E339,Guests!$S$6:$S$505,0)+5,IFERROR(MATCH(B339,Guests!$A$6:$A$505,0)+5,"")),IFERROR(MATCH(B339,Guests!$A$6:$A$505,0)+5,"")))</f>
        <v/>
      </c>
      <c r="S339" s="32">
        <f>IF(R339="","",TRIM(INDEX(Guests!$E$1:$E$505,R339)&amp;""))</f>
        <v/>
      </c>
      <c r="T339" s="32">
        <f>IF(R339="","",IF(S339="",1,COUNTIF(Guests!$E$6:$E$505,S339)))</f>
        <v/>
      </c>
      <c r="U339" s="32">
        <f>IF(R339="","",IF(S339="",1,IF(COUNTIF(S$1:S338,S339)=0,1,0)))</f>
        <v/>
      </c>
      <c r="V339" s="32">
        <f>IF(AND(R339&lt;&gt;"",G339="Attending",U339=1),MAX(0,H339+I339-T339),0)</f>
        <v/>
      </c>
      <c r="W339" s="32">
        <f>IF(AND(O339=1,R339=""),1,0)</f>
        <v/>
      </c>
      <c r="X339" s="32">
        <f>IF(B339="",0,H339+I339)</f>
        <v/>
      </c>
      <c r="Y339" s="32">
        <f>N(Y338)+O339</f>
        <v/>
      </c>
      <c r="Z339" s="32">
        <f>IF(O339=1,Y339,"")</f>
        <v/>
      </c>
      <c r="AA339" s="32">
        <f>IF(AND(W339=1,G339="Not sure yet"),1,0)</f>
        <v/>
      </c>
      <c r="AB339" s="32">
        <f>N(AB338)+AA339</f>
        <v/>
      </c>
      <c r="AC339" s="32">
        <f>IF(AA339=1,AB339,"")</f>
        <v/>
      </c>
      <c r="AD339" s="32">
        <f>IF(D339="","",IF(LEN(D339)=10,"+1"&amp;D339,IF(AND(LEN(D339)=11,LEFT(D339,1)="1"),"+"&amp;D339,IF(LEFT(C339,1)="+","+"&amp;D339,D339))))</f>
        <v/>
      </c>
      <c r="AE339" s="32">
        <f>IF(B339="","",PROPER(IFERROR(LEFT(B339,FIND(" ",B339)-1),B339)))</f>
        <v/>
      </c>
      <c r="AF339" s="32">
        <f>SUBSTITUTE(SUBSTITUTE(SUBSTITUTE(SUBSTITUTE(SUBSTITUTE(SUBSTITUTE(SUBSTITUTE(SUBSTITUTE(SUBSTITUTE(SUBSTITUTE(AE339,"%","%25"),"&amp;","%26"),"#","%23"),"+","%2B"),"=","%3D"),"?","%3F"),CHAR(34),"%22"),CHAR(10),"%0A"),CHAR(13),"")," ","+")</f>
        <v/>
      </c>
      <c r="AG339" s="32">
        <f>IF(OR(AD339="",AE339=""),"",'Start Here'!$B$20&amp;"#p="&amp;SUBSTITUTE(AD339,"+","%2B")&amp;"&amp;n="&amp;AF339&amp;"&amp;m="&amp;SUBSTITUTE('Start Here'!$B$24,"{name}",AF339))</f>
        <v/>
      </c>
      <c r="AH339" s="32">
        <f>N(AH338)+W339</f>
        <v/>
      </c>
      <c r="AI339" s="32">
        <f>IF(W339=1,AH339,"")</f>
        <v/>
      </c>
    </row>
    <row r="340">
      <c r="A340" s="32">
        <f>IF(INDEX('Form Responses'!$A:$A,ROW())="","",INDEX('Form Responses'!$A:$A,ROW()))</f>
        <v/>
      </c>
      <c r="B340" s="32">
        <f>TRIM(INDEX('Form Responses'!$B:$B,ROW())&amp;"")</f>
        <v/>
      </c>
      <c r="C340" s="32">
        <f>IF(B340="","",TRIM(INDEX('Form Responses'!$C:$C,ROW())&amp;""))</f>
        <v/>
      </c>
      <c r="D340" s="32">
        <f>SUBSTITUTE(SUBSTITUTE(SUBSTITUTE(SUBSTITUTE(SUBSTITUTE(SUBSTITUTE(SUBSTITUTE(SUBSTITUTE(C340," ",""),"-",""),"(",""),")",""),".",""),"+",""),"/",""),CHAR(160),"")</f>
        <v/>
      </c>
      <c r="E340" s="32">
        <f>IF(LEN(D340)&gt;=10,RIGHT(D340,10),D340)</f>
        <v/>
      </c>
      <c r="F340" s="32">
        <f>IF(B340="","",TRIM(INDEX('Form Responses'!$D:$D,ROW())&amp;""))</f>
        <v/>
      </c>
      <c r="G340" s="32">
        <f>IF(B340="","",IF(LEFT(TRIM(INDEX('Form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0" s="32">
        <f>IF(B340="","",MAX(0,IFERROR(INT(--(INDEX('Form Responses'!$F:$F,ROW())&amp;"")),1)))</f>
        <v/>
      </c>
      <c r="I340" s="32">
        <f>IF(B340="","",MAX(0,IFERROR(INT(--(INDEX('Form Responses'!$G:$G,ROW())&amp;"")),0)))</f>
        <v/>
      </c>
      <c r="J340" s="32">
        <f>IF(B340="","",TRIM(INDEX('Form Responses'!$H:$H,ROW())&amp;""))</f>
        <v/>
      </c>
      <c r="K340" s="32">
        <f>IF(B340="","",TRIM(INDEX('Form Responses'!$I:$I,ROW())&amp;""))</f>
        <v/>
      </c>
      <c r="L340" s="32">
        <f>IF(B340="","",TRIM(INDEX('Form Responses'!$J:$J,ROW())&amp;""))</f>
        <v/>
      </c>
      <c r="M340" s="32">
        <f>IF(B340="","",TRIM(INDEX('Form Responses'!$K:$K,ROW())&amp;""))</f>
        <v/>
      </c>
      <c r="N340" s="32">
        <f>IF(B340="","",IF(E340&lt;&gt;"","P"&amp;E340,"N"&amp;B340))</f>
        <v/>
      </c>
      <c r="O340" s="32">
        <f>IF(N340="",0,IF(COUNTIF(N341:N$602,N340)=0,1,0))</f>
        <v/>
      </c>
      <c r="P340" s="32">
        <f>IF(AND(O340=1,E340&lt;&gt;""),E340,"")</f>
        <v/>
      </c>
      <c r="Q340" s="32">
        <f>IF(O340=1,B340,"")</f>
        <v/>
      </c>
      <c r="R340" s="32">
        <f>IF(O340&lt;&gt;1,"",IF(E340&lt;&gt;"",IFERROR(MATCH(E340,Guests!$S$6:$S$505,0)+5,IFERROR(MATCH(B340,Guests!$A$6:$A$505,0)+5,"")),IFERROR(MATCH(B340,Guests!$A$6:$A$505,0)+5,"")))</f>
        <v/>
      </c>
      <c r="S340" s="32">
        <f>IF(R340="","",TRIM(INDEX(Guests!$E$1:$E$505,R340)&amp;""))</f>
        <v/>
      </c>
      <c r="T340" s="32">
        <f>IF(R340="","",IF(S340="",1,COUNTIF(Guests!$E$6:$E$505,S340)))</f>
        <v/>
      </c>
      <c r="U340" s="32">
        <f>IF(R340="","",IF(S340="",1,IF(COUNTIF(S$1:S339,S340)=0,1,0)))</f>
        <v/>
      </c>
      <c r="V340" s="32">
        <f>IF(AND(R340&lt;&gt;"",G340="Attending",U340=1),MAX(0,H340+I340-T340),0)</f>
        <v/>
      </c>
      <c r="W340" s="32">
        <f>IF(AND(O340=1,R340=""),1,0)</f>
        <v/>
      </c>
      <c r="X340" s="32">
        <f>IF(B340="",0,H340+I340)</f>
        <v/>
      </c>
      <c r="Y340" s="32">
        <f>N(Y339)+O340</f>
        <v/>
      </c>
      <c r="Z340" s="32">
        <f>IF(O340=1,Y340,"")</f>
        <v/>
      </c>
      <c r="AA340" s="32">
        <f>IF(AND(W340=1,G340="Not sure yet"),1,0)</f>
        <v/>
      </c>
      <c r="AB340" s="32">
        <f>N(AB339)+AA340</f>
        <v/>
      </c>
      <c r="AC340" s="32">
        <f>IF(AA340=1,AB340,"")</f>
        <v/>
      </c>
      <c r="AD340" s="32">
        <f>IF(D340="","",IF(LEN(D340)=10,"+1"&amp;D340,IF(AND(LEN(D340)=11,LEFT(D340,1)="1"),"+"&amp;D340,IF(LEFT(C340,1)="+","+"&amp;D340,D340))))</f>
        <v/>
      </c>
      <c r="AE340" s="32">
        <f>IF(B340="","",PROPER(IFERROR(LEFT(B340,FIND(" ",B340)-1),B340)))</f>
        <v/>
      </c>
      <c r="AF340" s="32">
        <f>SUBSTITUTE(SUBSTITUTE(SUBSTITUTE(SUBSTITUTE(SUBSTITUTE(SUBSTITUTE(SUBSTITUTE(SUBSTITUTE(SUBSTITUTE(SUBSTITUTE(AE340,"%","%25"),"&amp;","%26"),"#","%23"),"+","%2B"),"=","%3D"),"?","%3F"),CHAR(34),"%22"),CHAR(10),"%0A"),CHAR(13),"")," ","+")</f>
        <v/>
      </c>
      <c r="AG340" s="32">
        <f>IF(OR(AD340="",AE340=""),"",'Start Here'!$B$20&amp;"#p="&amp;SUBSTITUTE(AD340,"+","%2B")&amp;"&amp;n="&amp;AF340&amp;"&amp;m="&amp;SUBSTITUTE('Start Here'!$B$24,"{name}",AF340))</f>
        <v/>
      </c>
      <c r="AH340" s="32">
        <f>N(AH339)+W340</f>
        <v/>
      </c>
      <c r="AI340" s="32">
        <f>IF(W340=1,AH340,"")</f>
        <v/>
      </c>
    </row>
    <row r="341">
      <c r="A341" s="32">
        <f>IF(INDEX('Form Responses'!$A:$A,ROW())="","",INDEX('Form Responses'!$A:$A,ROW()))</f>
        <v/>
      </c>
      <c r="B341" s="32">
        <f>TRIM(INDEX('Form Responses'!$B:$B,ROW())&amp;"")</f>
        <v/>
      </c>
      <c r="C341" s="32">
        <f>IF(B341="","",TRIM(INDEX('Form Responses'!$C:$C,ROW())&amp;""))</f>
        <v/>
      </c>
      <c r="D341" s="32">
        <f>SUBSTITUTE(SUBSTITUTE(SUBSTITUTE(SUBSTITUTE(SUBSTITUTE(SUBSTITUTE(SUBSTITUTE(SUBSTITUTE(C341," ",""),"-",""),"(",""),")",""),".",""),"+",""),"/",""),CHAR(160),"")</f>
        <v/>
      </c>
      <c r="E341" s="32">
        <f>IF(LEN(D341)&gt;=10,RIGHT(D341,10),D341)</f>
        <v/>
      </c>
      <c r="F341" s="32">
        <f>IF(B341="","",TRIM(INDEX('Form Responses'!$D:$D,ROW())&amp;""))</f>
        <v/>
      </c>
      <c r="G341" s="32">
        <f>IF(B341="","",IF(LEFT(TRIM(INDEX('Form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1" s="32">
        <f>IF(B341="","",MAX(0,IFERROR(INT(--(INDEX('Form Responses'!$F:$F,ROW())&amp;"")),1)))</f>
        <v/>
      </c>
      <c r="I341" s="32">
        <f>IF(B341="","",MAX(0,IFERROR(INT(--(INDEX('Form Responses'!$G:$G,ROW())&amp;"")),0)))</f>
        <v/>
      </c>
      <c r="J341" s="32">
        <f>IF(B341="","",TRIM(INDEX('Form Responses'!$H:$H,ROW())&amp;""))</f>
        <v/>
      </c>
      <c r="K341" s="32">
        <f>IF(B341="","",TRIM(INDEX('Form Responses'!$I:$I,ROW())&amp;""))</f>
        <v/>
      </c>
      <c r="L341" s="32">
        <f>IF(B341="","",TRIM(INDEX('Form Responses'!$J:$J,ROW())&amp;""))</f>
        <v/>
      </c>
      <c r="M341" s="32">
        <f>IF(B341="","",TRIM(INDEX('Form Responses'!$K:$K,ROW())&amp;""))</f>
        <v/>
      </c>
      <c r="N341" s="32">
        <f>IF(B341="","",IF(E341&lt;&gt;"","P"&amp;E341,"N"&amp;B341))</f>
        <v/>
      </c>
      <c r="O341" s="32">
        <f>IF(N341="",0,IF(COUNTIF(N342:N$602,N341)=0,1,0))</f>
        <v/>
      </c>
      <c r="P341" s="32">
        <f>IF(AND(O341=1,E341&lt;&gt;""),E341,"")</f>
        <v/>
      </c>
      <c r="Q341" s="32">
        <f>IF(O341=1,B341,"")</f>
        <v/>
      </c>
      <c r="R341" s="32">
        <f>IF(O341&lt;&gt;1,"",IF(E341&lt;&gt;"",IFERROR(MATCH(E341,Guests!$S$6:$S$505,0)+5,IFERROR(MATCH(B341,Guests!$A$6:$A$505,0)+5,"")),IFERROR(MATCH(B341,Guests!$A$6:$A$505,0)+5,"")))</f>
        <v/>
      </c>
      <c r="S341" s="32">
        <f>IF(R341="","",TRIM(INDEX(Guests!$E$1:$E$505,R341)&amp;""))</f>
        <v/>
      </c>
      <c r="T341" s="32">
        <f>IF(R341="","",IF(S341="",1,COUNTIF(Guests!$E$6:$E$505,S341)))</f>
        <v/>
      </c>
      <c r="U341" s="32">
        <f>IF(R341="","",IF(S341="",1,IF(COUNTIF(S$1:S340,S341)=0,1,0)))</f>
        <v/>
      </c>
      <c r="V341" s="32">
        <f>IF(AND(R341&lt;&gt;"",G341="Attending",U341=1),MAX(0,H341+I341-T341),0)</f>
        <v/>
      </c>
      <c r="W341" s="32">
        <f>IF(AND(O341=1,R341=""),1,0)</f>
        <v/>
      </c>
      <c r="X341" s="32">
        <f>IF(B341="",0,H341+I341)</f>
        <v/>
      </c>
      <c r="Y341" s="32">
        <f>N(Y340)+O341</f>
        <v/>
      </c>
      <c r="Z341" s="32">
        <f>IF(O341=1,Y341,"")</f>
        <v/>
      </c>
      <c r="AA341" s="32">
        <f>IF(AND(W341=1,G341="Not sure yet"),1,0)</f>
        <v/>
      </c>
      <c r="AB341" s="32">
        <f>N(AB340)+AA341</f>
        <v/>
      </c>
      <c r="AC341" s="32">
        <f>IF(AA341=1,AB341,"")</f>
        <v/>
      </c>
      <c r="AD341" s="32">
        <f>IF(D341="","",IF(LEN(D341)=10,"+1"&amp;D341,IF(AND(LEN(D341)=11,LEFT(D341,1)="1"),"+"&amp;D341,IF(LEFT(C341,1)="+","+"&amp;D341,D341))))</f>
        <v/>
      </c>
      <c r="AE341" s="32">
        <f>IF(B341="","",PROPER(IFERROR(LEFT(B341,FIND(" ",B341)-1),B341)))</f>
        <v/>
      </c>
      <c r="AF341" s="32">
        <f>SUBSTITUTE(SUBSTITUTE(SUBSTITUTE(SUBSTITUTE(SUBSTITUTE(SUBSTITUTE(SUBSTITUTE(SUBSTITUTE(SUBSTITUTE(SUBSTITUTE(AE341,"%","%25"),"&amp;","%26"),"#","%23"),"+","%2B"),"=","%3D"),"?","%3F"),CHAR(34),"%22"),CHAR(10),"%0A"),CHAR(13),"")," ","+")</f>
        <v/>
      </c>
      <c r="AG341" s="32">
        <f>IF(OR(AD341="",AE341=""),"",'Start Here'!$B$20&amp;"#p="&amp;SUBSTITUTE(AD341,"+","%2B")&amp;"&amp;n="&amp;AF341&amp;"&amp;m="&amp;SUBSTITUTE('Start Here'!$B$24,"{name}",AF341))</f>
        <v/>
      </c>
      <c r="AH341" s="32">
        <f>N(AH340)+W341</f>
        <v/>
      </c>
      <c r="AI341" s="32">
        <f>IF(W341=1,AH341,"")</f>
        <v/>
      </c>
    </row>
    <row r="342">
      <c r="A342" s="32">
        <f>IF(INDEX('Form Responses'!$A:$A,ROW())="","",INDEX('Form Responses'!$A:$A,ROW()))</f>
        <v/>
      </c>
      <c r="B342" s="32">
        <f>TRIM(INDEX('Form Responses'!$B:$B,ROW())&amp;"")</f>
        <v/>
      </c>
      <c r="C342" s="32">
        <f>IF(B342="","",TRIM(INDEX('Form Responses'!$C:$C,ROW())&amp;""))</f>
        <v/>
      </c>
      <c r="D342" s="32">
        <f>SUBSTITUTE(SUBSTITUTE(SUBSTITUTE(SUBSTITUTE(SUBSTITUTE(SUBSTITUTE(SUBSTITUTE(SUBSTITUTE(C342," ",""),"-",""),"(",""),")",""),".",""),"+",""),"/",""),CHAR(160),"")</f>
        <v/>
      </c>
      <c r="E342" s="32">
        <f>IF(LEN(D342)&gt;=10,RIGHT(D342,10),D342)</f>
        <v/>
      </c>
      <c r="F342" s="32">
        <f>IF(B342="","",TRIM(INDEX('Form Responses'!$D:$D,ROW())&amp;""))</f>
        <v/>
      </c>
      <c r="G342" s="32">
        <f>IF(B342="","",IF(LEFT(TRIM(INDEX('Form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2" s="32">
        <f>IF(B342="","",MAX(0,IFERROR(INT(--(INDEX('Form Responses'!$F:$F,ROW())&amp;"")),1)))</f>
        <v/>
      </c>
      <c r="I342" s="32">
        <f>IF(B342="","",MAX(0,IFERROR(INT(--(INDEX('Form Responses'!$G:$G,ROW())&amp;"")),0)))</f>
        <v/>
      </c>
      <c r="J342" s="32">
        <f>IF(B342="","",TRIM(INDEX('Form Responses'!$H:$H,ROW())&amp;""))</f>
        <v/>
      </c>
      <c r="K342" s="32">
        <f>IF(B342="","",TRIM(INDEX('Form Responses'!$I:$I,ROW())&amp;""))</f>
        <v/>
      </c>
      <c r="L342" s="32">
        <f>IF(B342="","",TRIM(INDEX('Form Responses'!$J:$J,ROW())&amp;""))</f>
        <v/>
      </c>
      <c r="M342" s="32">
        <f>IF(B342="","",TRIM(INDEX('Form Responses'!$K:$K,ROW())&amp;""))</f>
        <v/>
      </c>
      <c r="N342" s="32">
        <f>IF(B342="","",IF(E342&lt;&gt;"","P"&amp;E342,"N"&amp;B342))</f>
        <v/>
      </c>
      <c r="O342" s="32">
        <f>IF(N342="",0,IF(COUNTIF(N343:N$602,N342)=0,1,0))</f>
        <v/>
      </c>
      <c r="P342" s="32">
        <f>IF(AND(O342=1,E342&lt;&gt;""),E342,"")</f>
        <v/>
      </c>
      <c r="Q342" s="32">
        <f>IF(O342=1,B342,"")</f>
        <v/>
      </c>
      <c r="R342" s="32">
        <f>IF(O342&lt;&gt;1,"",IF(E342&lt;&gt;"",IFERROR(MATCH(E342,Guests!$S$6:$S$505,0)+5,IFERROR(MATCH(B342,Guests!$A$6:$A$505,0)+5,"")),IFERROR(MATCH(B342,Guests!$A$6:$A$505,0)+5,"")))</f>
        <v/>
      </c>
      <c r="S342" s="32">
        <f>IF(R342="","",TRIM(INDEX(Guests!$E$1:$E$505,R342)&amp;""))</f>
        <v/>
      </c>
      <c r="T342" s="32">
        <f>IF(R342="","",IF(S342="",1,COUNTIF(Guests!$E$6:$E$505,S342)))</f>
        <v/>
      </c>
      <c r="U342" s="32">
        <f>IF(R342="","",IF(S342="",1,IF(COUNTIF(S$1:S341,S342)=0,1,0)))</f>
        <v/>
      </c>
      <c r="V342" s="32">
        <f>IF(AND(R342&lt;&gt;"",G342="Attending",U342=1),MAX(0,H342+I342-T342),0)</f>
        <v/>
      </c>
      <c r="W342" s="32">
        <f>IF(AND(O342=1,R342=""),1,0)</f>
        <v/>
      </c>
      <c r="X342" s="32">
        <f>IF(B342="",0,H342+I342)</f>
        <v/>
      </c>
      <c r="Y342" s="32">
        <f>N(Y341)+O342</f>
        <v/>
      </c>
      <c r="Z342" s="32">
        <f>IF(O342=1,Y342,"")</f>
        <v/>
      </c>
      <c r="AA342" s="32">
        <f>IF(AND(W342=1,G342="Not sure yet"),1,0)</f>
        <v/>
      </c>
      <c r="AB342" s="32">
        <f>N(AB341)+AA342</f>
        <v/>
      </c>
      <c r="AC342" s="32">
        <f>IF(AA342=1,AB342,"")</f>
        <v/>
      </c>
      <c r="AD342" s="32">
        <f>IF(D342="","",IF(LEN(D342)=10,"+1"&amp;D342,IF(AND(LEN(D342)=11,LEFT(D342,1)="1"),"+"&amp;D342,IF(LEFT(C342,1)="+","+"&amp;D342,D342))))</f>
        <v/>
      </c>
      <c r="AE342" s="32">
        <f>IF(B342="","",PROPER(IFERROR(LEFT(B342,FIND(" ",B342)-1),B342)))</f>
        <v/>
      </c>
      <c r="AF342" s="32">
        <f>SUBSTITUTE(SUBSTITUTE(SUBSTITUTE(SUBSTITUTE(SUBSTITUTE(SUBSTITUTE(SUBSTITUTE(SUBSTITUTE(SUBSTITUTE(SUBSTITUTE(AE342,"%","%25"),"&amp;","%26"),"#","%23"),"+","%2B"),"=","%3D"),"?","%3F"),CHAR(34),"%22"),CHAR(10),"%0A"),CHAR(13),"")," ","+")</f>
        <v/>
      </c>
      <c r="AG342" s="32">
        <f>IF(OR(AD342="",AE342=""),"",'Start Here'!$B$20&amp;"#p="&amp;SUBSTITUTE(AD342,"+","%2B")&amp;"&amp;n="&amp;AF342&amp;"&amp;m="&amp;SUBSTITUTE('Start Here'!$B$24,"{name}",AF342))</f>
        <v/>
      </c>
      <c r="AH342" s="32">
        <f>N(AH341)+W342</f>
        <v/>
      </c>
      <c r="AI342" s="32">
        <f>IF(W342=1,AH342,"")</f>
        <v/>
      </c>
    </row>
    <row r="343">
      <c r="A343" s="32">
        <f>IF(INDEX('Form Responses'!$A:$A,ROW())="","",INDEX('Form Responses'!$A:$A,ROW()))</f>
        <v/>
      </c>
      <c r="B343" s="32">
        <f>TRIM(INDEX('Form Responses'!$B:$B,ROW())&amp;"")</f>
        <v/>
      </c>
      <c r="C343" s="32">
        <f>IF(B343="","",TRIM(INDEX('Form Responses'!$C:$C,ROW())&amp;""))</f>
        <v/>
      </c>
      <c r="D343" s="32">
        <f>SUBSTITUTE(SUBSTITUTE(SUBSTITUTE(SUBSTITUTE(SUBSTITUTE(SUBSTITUTE(SUBSTITUTE(SUBSTITUTE(C343," ",""),"-",""),"(",""),")",""),".",""),"+",""),"/",""),CHAR(160),"")</f>
        <v/>
      </c>
      <c r="E343" s="32">
        <f>IF(LEN(D343)&gt;=10,RIGHT(D343,10),D343)</f>
        <v/>
      </c>
      <c r="F343" s="32">
        <f>IF(B343="","",TRIM(INDEX('Form Responses'!$D:$D,ROW())&amp;""))</f>
        <v/>
      </c>
      <c r="G343" s="32">
        <f>IF(B343="","",IF(LEFT(TRIM(INDEX('Form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3" s="32">
        <f>IF(B343="","",MAX(0,IFERROR(INT(--(INDEX('Form Responses'!$F:$F,ROW())&amp;"")),1)))</f>
        <v/>
      </c>
      <c r="I343" s="32">
        <f>IF(B343="","",MAX(0,IFERROR(INT(--(INDEX('Form Responses'!$G:$G,ROW())&amp;"")),0)))</f>
        <v/>
      </c>
      <c r="J343" s="32">
        <f>IF(B343="","",TRIM(INDEX('Form Responses'!$H:$H,ROW())&amp;""))</f>
        <v/>
      </c>
      <c r="K343" s="32">
        <f>IF(B343="","",TRIM(INDEX('Form Responses'!$I:$I,ROW())&amp;""))</f>
        <v/>
      </c>
      <c r="L343" s="32">
        <f>IF(B343="","",TRIM(INDEX('Form Responses'!$J:$J,ROW())&amp;""))</f>
        <v/>
      </c>
      <c r="M343" s="32">
        <f>IF(B343="","",TRIM(INDEX('Form Responses'!$K:$K,ROW())&amp;""))</f>
        <v/>
      </c>
      <c r="N343" s="32">
        <f>IF(B343="","",IF(E343&lt;&gt;"","P"&amp;E343,"N"&amp;B343))</f>
        <v/>
      </c>
      <c r="O343" s="32">
        <f>IF(N343="",0,IF(COUNTIF(N344:N$602,N343)=0,1,0))</f>
        <v/>
      </c>
      <c r="P343" s="32">
        <f>IF(AND(O343=1,E343&lt;&gt;""),E343,"")</f>
        <v/>
      </c>
      <c r="Q343" s="32">
        <f>IF(O343=1,B343,"")</f>
        <v/>
      </c>
      <c r="R343" s="32">
        <f>IF(O343&lt;&gt;1,"",IF(E343&lt;&gt;"",IFERROR(MATCH(E343,Guests!$S$6:$S$505,0)+5,IFERROR(MATCH(B343,Guests!$A$6:$A$505,0)+5,"")),IFERROR(MATCH(B343,Guests!$A$6:$A$505,0)+5,"")))</f>
        <v/>
      </c>
      <c r="S343" s="32">
        <f>IF(R343="","",TRIM(INDEX(Guests!$E$1:$E$505,R343)&amp;""))</f>
        <v/>
      </c>
      <c r="T343" s="32">
        <f>IF(R343="","",IF(S343="",1,COUNTIF(Guests!$E$6:$E$505,S343)))</f>
        <v/>
      </c>
      <c r="U343" s="32">
        <f>IF(R343="","",IF(S343="",1,IF(COUNTIF(S$1:S342,S343)=0,1,0)))</f>
        <v/>
      </c>
      <c r="V343" s="32">
        <f>IF(AND(R343&lt;&gt;"",G343="Attending",U343=1),MAX(0,H343+I343-T343),0)</f>
        <v/>
      </c>
      <c r="W343" s="32">
        <f>IF(AND(O343=1,R343=""),1,0)</f>
        <v/>
      </c>
      <c r="X343" s="32">
        <f>IF(B343="",0,H343+I343)</f>
        <v/>
      </c>
      <c r="Y343" s="32">
        <f>N(Y342)+O343</f>
        <v/>
      </c>
      <c r="Z343" s="32">
        <f>IF(O343=1,Y343,"")</f>
        <v/>
      </c>
      <c r="AA343" s="32">
        <f>IF(AND(W343=1,G343="Not sure yet"),1,0)</f>
        <v/>
      </c>
      <c r="AB343" s="32">
        <f>N(AB342)+AA343</f>
        <v/>
      </c>
      <c r="AC343" s="32">
        <f>IF(AA343=1,AB343,"")</f>
        <v/>
      </c>
      <c r="AD343" s="32">
        <f>IF(D343="","",IF(LEN(D343)=10,"+1"&amp;D343,IF(AND(LEN(D343)=11,LEFT(D343,1)="1"),"+"&amp;D343,IF(LEFT(C343,1)="+","+"&amp;D343,D343))))</f>
        <v/>
      </c>
      <c r="AE343" s="32">
        <f>IF(B343="","",PROPER(IFERROR(LEFT(B343,FIND(" ",B343)-1),B343)))</f>
        <v/>
      </c>
      <c r="AF343" s="32">
        <f>SUBSTITUTE(SUBSTITUTE(SUBSTITUTE(SUBSTITUTE(SUBSTITUTE(SUBSTITUTE(SUBSTITUTE(SUBSTITUTE(SUBSTITUTE(SUBSTITUTE(AE343,"%","%25"),"&amp;","%26"),"#","%23"),"+","%2B"),"=","%3D"),"?","%3F"),CHAR(34),"%22"),CHAR(10),"%0A"),CHAR(13),"")," ","+")</f>
        <v/>
      </c>
      <c r="AG343" s="32">
        <f>IF(OR(AD343="",AE343=""),"",'Start Here'!$B$20&amp;"#p="&amp;SUBSTITUTE(AD343,"+","%2B")&amp;"&amp;n="&amp;AF343&amp;"&amp;m="&amp;SUBSTITUTE('Start Here'!$B$24,"{name}",AF343))</f>
        <v/>
      </c>
      <c r="AH343" s="32">
        <f>N(AH342)+W343</f>
        <v/>
      </c>
      <c r="AI343" s="32">
        <f>IF(W343=1,AH343,"")</f>
        <v/>
      </c>
    </row>
    <row r="344">
      <c r="A344" s="32">
        <f>IF(INDEX('Form Responses'!$A:$A,ROW())="","",INDEX('Form Responses'!$A:$A,ROW()))</f>
        <v/>
      </c>
      <c r="B344" s="32">
        <f>TRIM(INDEX('Form Responses'!$B:$B,ROW())&amp;"")</f>
        <v/>
      </c>
      <c r="C344" s="32">
        <f>IF(B344="","",TRIM(INDEX('Form Responses'!$C:$C,ROW())&amp;""))</f>
        <v/>
      </c>
      <c r="D344" s="32">
        <f>SUBSTITUTE(SUBSTITUTE(SUBSTITUTE(SUBSTITUTE(SUBSTITUTE(SUBSTITUTE(SUBSTITUTE(SUBSTITUTE(C344," ",""),"-",""),"(",""),")",""),".",""),"+",""),"/",""),CHAR(160),"")</f>
        <v/>
      </c>
      <c r="E344" s="32">
        <f>IF(LEN(D344)&gt;=10,RIGHT(D344,10),D344)</f>
        <v/>
      </c>
      <c r="F344" s="32">
        <f>IF(B344="","",TRIM(INDEX('Form Responses'!$D:$D,ROW())&amp;""))</f>
        <v/>
      </c>
      <c r="G344" s="32">
        <f>IF(B344="","",IF(LEFT(TRIM(INDEX('Form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4" s="32">
        <f>IF(B344="","",MAX(0,IFERROR(INT(--(INDEX('Form Responses'!$F:$F,ROW())&amp;"")),1)))</f>
        <v/>
      </c>
      <c r="I344" s="32">
        <f>IF(B344="","",MAX(0,IFERROR(INT(--(INDEX('Form Responses'!$G:$G,ROW())&amp;"")),0)))</f>
        <v/>
      </c>
      <c r="J344" s="32">
        <f>IF(B344="","",TRIM(INDEX('Form Responses'!$H:$H,ROW())&amp;""))</f>
        <v/>
      </c>
      <c r="K344" s="32">
        <f>IF(B344="","",TRIM(INDEX('Form Responses'!$I:$I,ROW())&amp;""))</f>
        <v/>
      </c>
      <c r="L344" s="32">
        <f>IF(B344="","",TRIM(INDEX('Form Responses'!$J:$J,ROW())&amp;""))</f>
        <v/>
      </c>
      <c r="M344" s="32">
        <f>IF(B344="","",TRIM(INDEX('Form Responses'!$K:$K,ROW())&amp;""))</f>
        <v/>
      </c>
      <c r="N344" s="32">
        <f>IF(B344="","",IF(E344&lt;&gt;"","P"&amp;E344,"N"&amp;B344))</f>
        <v/>
      </c>
      <c r="O344" s="32">
        <f>IF(N344="",0,IF(COUNTIF(N345:N$602,N344)=0,1,0))</f>
        <v/>
      </c>
      <c r="P344" s="32">
        <f>IF(AND(O344=1,E344&lt;&gt;""),E344,"")</f>
        <v/>
      </c>
      <c r="Q344" s="32">
        <f>IF(O344=1,B344,"")</f>
        <v/>
      </c>
      <c r="R344" s="32">
        <f>IF(O344&lt;&gt;1,"",IF(E344&lt;&gt;"",IFERROR(MATCH(E344,Guests!$S$6:$S$505,0)+5,IFERROR(MATCH(B344,Guests!$A$6:$A$505,0)+5,"")),IFERROR(MATCH(B344,Guests!$A$6:$A$505,0)+5,"")))</f>
        <v/>
      </c>
      <c r="S344" s="32">
        <f>IF(R344="","",TRIM(INDEX(Guests!$E$1:$E$505,R344)&amp;""))</f>
        <v/>
      </c>
      <c r="T344" s="32">
        <f>IF(R344="","",IF(S344="",1,COUNTIF(Guests!$E$6:$E$505,S344)))</f>
        <v/>
      </c>
      <c r="U344" s="32">
        <f>IF(R344="","",IF(S344="",1,IF(COUNTIF(S$1:S343,S344)=0,1,0)))</f>
        <v/>
      </c>
      <c r="V344" s="32">
        <f>IF(AND(R344&lt;&gt;"",G344="Attending",U344=1),MAX(0,H344+I344-T344),0)</f>
        <v/>
      </c>
      <c r="W344" s="32">
        <f>IF(AND(O344=1,R344=""),1,0)</f>
        <v/>
      </c>
      <c r="X344" s="32">
        <f>IF(B344="",0,H344+I344)</f>
        <v/>
      </c>
      <c r="Y344" s="32">
        <f>N(Y343)+O344</f>
        <v/>
      </c>
      <c r="Z344" s="32">
        <f>IF(O344=1,Y344,"")</f>
        <v/>
      </c>
      <c r="AA344" s="32">
        <f>IF(AND(W344=1,G344="Not sure yet"),1,0)</f>
        <v/>
      </c>
      <c r="AB344" s="32">
        <f>N(AB343)+AA344</f>
        <v/>
      </c>
      <c r="AC344" s="32">
        <f>IF(AA344=1,AB344,"")</f>
        <v/>
      </c>
      <c r="AD344" s="32">
        <f>IF(D344="","",IF(LEN(D344)=10,"+1"&amp;D344,IF(AND(LEN(D344)=11,LEFT(D344,1)="1"),"+"&amp;D344,IF(LEFT(C344,1)="+","+"&amp;D344,D344))))</f>
        <v/>
      </c>
      <c r="AE344" s="32">
        <f>IF(B344="","",PROPER(IFERROR(LEFT(B344,FIND(" ",B344)-1),B344)))</f>
        <v/>
      </c>
      <c r="AF344" s="32">
        <f>SUBSTITUTE(SUBSTITUTE(SUBSTITUTE(SUBSTITUTE(SUBSTITUTE(SUBSTITUTE(SUBSTITUTE(SUBSTITUTE(SUBSTITUTE(SUBSTITUTE(AE344,"%","%25"),"&amp;","%26"),"#","%23"),"+","%2B"),"=","%3D"),"?","%3F"),CHAR(34),"%22"),CHAR(10),"%0A"),CHAR(13),"")," ","+")</f>
        <v/>
      </c>
      <c r="AG344" s="32">
        <f>IF(OR(AD344="",AE344=""),"",'Start Here'!$B$20&amp;"#p="&amp;SUBSTITUTE(AD344,"+","%2B")&amp;"&amp;n="&amp;AF344&amp;"&amp;m="&amp;SUBSTITUTE('Start Here'!$B$24,"{name}",AF344))</f>
        <v/>
      </c>
      <c r="AH344" s="32">
        <f>N(AH343)+W344</f>
        <v/>
      </c>
      <c r="AI344" s="32">
        <f>IF(W344=1,AH344,"")</f>
        <v/>
      </c>
    </row>
    <row r="345">
      <c r="A345" s="32">
        <f>IF(INDEX('Form Responses'!$A:$A,ROW())="","",INDEX('Form Responses'!$A:$A,ROW()))</f>
        <v/>
      </c>
      <c r="B345" s="32">
        <f>TRIM(INDEX('Form Responses'!$B:$B,ROW())&amp;"")</f>
        <v/>
      </c>
      <c r="C345" s="32">
        <f>IF(B345="","",TRIM(INDEX('Form Responses'!$C:$C,ROW())&amp;""))</f>
        <v/>
      </c>
      <c r="D345" s="32">
        <f>SUBSTITUTE(SUBSTITUTE(SUBSTITUTE(SUBSTITUTE(SUBSTITUTE(SUBSTITUTE(SUBSTITUTE(SUBSTITUTE(C345," ",""),"-",""),"(",""),")",""),".",""),"+",""),"/",""),CHAR(160),"")</f>
        <v/>
      </c>
      <c r="E345" s="32">
        <f>IF(LEN(D345)&gt;=10,RIGHT(D345,10),D345)</f>
        <v/>
      </c>
      <c r="F345" s="32">
        <f>IF(B345="","",TRIM(INDEX('Form Responses'!$D:$D,ROW())&amp;""))</f>
        <v/>
      </c>
      <c r="G345" s="32">
        <f>IF(B345="","",IF(LEFT(TRIM(INDEX('Form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5" s="32">
        <f>IF(B345="","",MAX(0,IFERROR(INT(--(INDEX('Form Responses'!$F:$F,ROW())&amp;"")),1)))</f>
        <v/>
      </c>
      <c r="I345" s="32">
        <f>IF(B345="","",MAX(0,IFERROR(INT(--(INDEX('Form Responses'!$G:$G,ROW())&amp;"")),0)))</f>
        <v/>
      </c>
      <c r="J345" s="32">
        <f>IF(B345="","",TRIM(INDEX('Form Responses'!$H:$H,ROW())&amp;""))</f>
        <v/>
      </c>
      <c r="K345" s="32">
        <f>IF(B345="","",TRIM(INDEX('Form Responses'!$I:$I,ROW())&amp;""))</f>
        <v/>
      </c>
      <c r="L345" s="32">
        <f>IF(B345="","",TRIM(INDEX('Form Responses'!$J:$J,ROW())&amp;""))</f>
        <v/>
      </c>
      <c r="M345" s="32">
        <f>IF(B345="","",TRIM(INDEX('Form Responses'!$K:$K,ROW())&amp;""))</f>
        <v/>
      </c>
      <c r="N345" s="32">
        <f>IF(B345="","",IF(E345&lt;&gt;"","P"&amp;E345,"N"&amp;B345))</f>
        <v/>
      </c>
      <c r="O345" s="32">
        <f>IF(N345="",0,IF(COUNTIF(N346:N$602,N345)=0,1,0))</f>
        <v/>
      </c>
      <c r="P345" s="32">
        <f>IF(AND(O345=1,E345&lt;&gt;""),E345,"")</f>
        <v/>
      </c>
      <c r="Q345" s="32">
        <f>IF(O345=1,B345,"")</f>
        <v/>
      </c>
      <c r="R345" s="32">
        <f>IF(O345&lt;&gt;1,"",IF(E345&lt;&gt;"",IFERROR(MATCH(E345,Guests!$S$6:$S$505,0)+5,IFERROR(MATCH(B345,Guests!$A$6:$A$505,0)+5,"")),IFERROR(MATCH(B345,Guests!$A$6:$A$505,0)+5,"")))</f>
        <v/>
      </c>
      <c r="S345" s="32">
        <f>IF(R345="","",TRIM(INDEX(Guests!$E$1:$E$505,R345)&amp;""))</f>
        <v/>
      </c>
      <c r="T345" s="32">
        <f>IF(R345="","",IF(S345="",1,COUNTIF(Guests!$E$6:$E$505,S345)))</f>
        <v/>
      </c>
      <c r="U345" s="32">
        <f>IF(R345="","",IF(S345="",1,IF(COUNTIF(S$1:S344,S345)=0,1,0)))</f>
        <v/>
      </c>
      <c r="V345" s="32">
        <f>IF(AND(R345&lt;&gt;"",G345="Attending",U345=1),MAX(0,H345+I345-T345),0)</f>
        <v/>
      </c>
      <c r="W345" s="32">
        <f>IF(AND(O345=1,R345=""),1,0)</f>
        <v/>
      </c>
      <c r="X345" s="32">
        <f>IF(B345="",0,H345+I345)</f>
        <v/>
      </c>
      <c r="Y345" s="32">
        <f>N(Y344)+O345</f>
        <v/>
      </c>
      <c r="Z345" s="32">
        <f>IF(O345=1,Y345,"")</f>
        <v/>
      </c>
      <c r="AA345" s="32">
        <f>IF(AND(W345=1,G345="Not sure yet"),1,0)</f>
        <v/>
      </c>
      <c r="AB345" s="32">
        <f>N(AB344)+AA345</f>
        <v/>
      </c>
      <c r="AC345" s="32">
        <f>IF(AA345=1,AB345,"")</f>
        <v/>
      </c>
      <c r="AD345" s="32">
        <f>IF(D345="","",IF(LEN(D345)=10,"+1"&amp;D345,IF(AND(LEN(D345)=11,LEFT(D345,1)="1"),"+"&amp;D345,IF(LEFT(C345,1)="+","+"&amp;D345,D345))))</f>
        <v/>
      </c>
      <c r="AE345" s="32">
        <f>IF(B345="","",PROPER(IFERROR(LEFT(B345,FIND(" ",B345)-1),B345)))</f>
        <v/>
      </c>
      <c r="AF345" s="32">
        <f>SUBSTITUTE(SUBSTITUTE(SUBSTITUTE(SUBSTITUTE(SUBSTITUTE(SUBSTITUTE(SUBSTITUTE(SUBSTITUTE(SUBSTITUTE(SUBSTITUTE(AE345,"%","%25"),"&amp;","%26"),"#","%23"),"+","%2B"),"=","%3D"),"?","%3F"),CHAR(34),"%22"),CHAR(10),"%0A"),CHAR(13),"")," ","+")</f>
        <v/>
      </c>
      <c r="AG345" s="32">
        <f>IF(OR(AD345="",AE345=""),"",'Start Here'!$B$20&amp;"#p="&amp;SUBSTITUTE(AD345,"+","%2B")&amp;"&amp;n="&amp;AF345&amp;"&amp;m="&amp;SUBSTITUTE('Start Here'!$B$24,"{name}",AF345))</f>
        <v/>
      </c>
      <c r="AH345" s="32">
        <f>N(AH344)+W345</f>
        <v/>
      </c>
      <c r="AI345" s="32">
        <f>IF(W345=1,AH345,"")</f>
        <v/>
      </c>
    </row>
    <row r="346">
      <c r="A346" s="32">
        <f>IF(INDEX('Form Responses'!$A:$A,ROW())="","",INDEX('Form Responses'!$A:$A,ROW()))</f>
        <v/>
      </c>
      <c r="B346" s="32">
        <f>TRIM(INDEX('Form Responses'!$B:$B,ROW())&amp;"")</f>
        <v/>
      </c>
      <c r="C346" s="32">
        <f>IF(B346="","",TRIM(INDEX('Form Responses'!$C:$C,ROW())&amp;""))</f>
        <v/>
      </c>
      <c r="D346" s="32">
        <f>SUBSTITUTE(SUBSTITUTE(SUBSTITUTE(SUBSTITUTE(SUBSTITUTE(SUBSTITUTE(SUBSTITUTE(SUBSTITUTE(C346," ",""),"-",""),"(",""),")",""),".",""),"+",""),"/",""),CHAR(160),"")</f>
        <v/>
      </c>
      <c r="E346" s="32">
        <f>IF(LEN(D346)&gt;=10,RIGHT(D346,10),D346)</f>
        <v/>
      </c>
      <c r="F346" s="32">
        <f>IF(B346="","",TRIM(INDEX('Form Responses'!$D:$D,ROW())&amp;""))</f>
        <v/>
      </c>
      <c r="G346" s="32">
        <f>IF(B346="","",IF(LEFT(TRIM(INDEX('Form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6" s="32">
        <f>IF(B346="","",MAX(0,IFERROR(INT(--(INDEX('Form Responses'!$F:$F,ROW())&amp;"")),1)))</f>
        <v/>
      </c>
      <c r="I346" s="32">
        <f>IF(B346="","",MAX(0,IFERROR(INT(--(INDEX('Form Responses'!$G:$G,ROW())&amp;"")),0)))</f>
        <v/>
      </c>
      <c r="J346" s="32">
        <f>IF(B346="","",TRIM(INDEX('Form Responses'!$H:$H,ROW())&amp;""))</f>
        <v/>
      </c>
      <c r="K346" s="32">
        <f>IF(B346="","",TRIM(INDEX('Form Responses'!$I:$I,ROW())&amp;""))</f>
        <v/>
      </c>
      <c r="L346" s="32">
        <f>IF(B346="","",TRIM(INDEX('Form Responses'!$J:$J,ROW())&amp;""))</f>
        <v/>
      </c>
      <c r="M346" s="32">
        <f>IF(B346="","",TRIM(INDEX('Form Responses'!$K:$K,ROW())&amp;""))</f>
        <v/>
      </c>
      <c r="N346" s="32">
        <f>IF(B346="","",IF(E346&lt;&gt;"","P"&amp;E346,"N"&amp;B346))</f>
        <v/>
      </c>
      <c r="O346" s="32">
        <f>IF(N346="",0,IF(COUNTIF(N347:N$602,N346)=0,1,0))</f>
        <v/>
      </c>
      <c r="P346" s="32">
        <f>IF(AND(O346=1,E346&lt;&gt;""),E346,"")</f>
        <v/>
      </c>
      <c r="Q346" s="32">
        <f>IF(O346=1,B346,"")</f>
        <v/>
      </c>
      <c r="R346" s="32">
        <f>IF(O346&lt;&gt;1,"",IF(E346&lt;&gt;"",IFERROR(MATCH(E346,Guests!$S$6:$S$505,0)+5,IFERROR(MATCH(B346,Guests!$A$6:$A$505,0)+5,"")),IFERROR(MATCH(B346,Guests!$A$6:$A$505,0)+5,"")))</f>
        <v/>
      </c>
      <c r="S346" s="32">
        <f>IF(R346="","",TRIM(INDEX(Guests!$E$1:$E$505,R346)&amp;""))</f>
        <v/>
      </c>
      <c r="T346" s="32">
        <f>IF(R346="","",IF(S346="",1,COUNTIF(Guests!$E$6:$E$505,S346)))</f>
        <v/>
      </c>
      <c r="U346" s="32">
        <f>IF(R346="","",IF(S346="",1,IF(COUNTIF(S$1:S345,S346)=0,1,0)))</f>
        <v/>
      </c>
      <c r="V346" s="32">
        <f>IF(AND(R346&lt;&gt;"",G346="Attending",U346=1),MAX(0,H346+I346-T346),0)</f>
        <v/>
      </c>
      <c r="W346" s="32">
        <f>IF(AND(O346=1,R346=""),1,0)</f>
        <v/>
      </c>
      <c r="X346" s="32">
        <f>IF(B346="",0,H346+I346)</f>
        <v/>
      </c>
      <c r="Y346" s="32">
        <f>N(Y345)+O346</f>
        <v/>
      </c>
      <c r="Z346" s="32">
        <f>IF(O346=1,Y346,"")</f>
        <v/>
      </c>
      <c r="AA346" s="32">
        <f>IF(AND(W346=1,G346="Not sure yet"),1,0)</f>
        <v/>
      </c>
      <c r="AB346" s="32">
        <f>N(AB345)+AA346</f>
        <v/>
      </c>
      <c r="AC346" s="32">
        <f>IF(AA346=1,AB346,"")</f>
        <v/>
      </c>
      <c r="AD346" s="32">
        <f>IF(D346="","",IF(LEN(D346)=10,"+1"&amp;D346,IF(AND(LEN(D346)=11,LEFT(D346,1)="1"),"+"&amp;D346,IF(LEFT(C346,1)="+","+"&amp;D346,D346))))</f>
        <v/>
      </c>
      <c r="AE346" s="32">
        <f>IF(B346="","",PROPER(IFERROR(LEFT(B346,FIND(" ",B346)-1),B346)))</f>
        <v/>
      </c>
      <c r="AF346" s="32">
        <f>SUBSTITUTE(SUBSTITUTE(SUBSTITUTE(SUBSTITUTE(SUBSTITUTE(SUBSTITUTE(SUBSTITUTE(SUBSTITUTE(SUBSTITUTE(SUBSTITUTE(AE346,"%","%25"),"&amp;","%26"),"#","%23"),"+","%2B"),"=","%3D"),"?","%3F"),CHAR(34),"%22"),CHAR(10),"%0A"),CHAR(13),"")," ","+")</f>
        <v/>
      </c>
      <c r="AG346" s="32">
        <f>IF(OR(AD346="",AE346=""),"",'Start Here'!$B$20&amp;"#p="&amp;SUBSTITUTE(AD346,"+","%2B")&amp;"&amp;n="&amp;AF346&amp;"&amp;m="&amp;SUBSTITUTE('Start Here'!$B$24,"{name}",AF346))</f>
        <v/>
      </c>
      <c r="AH346" s="32">
        <f>N(AH345)+W346</f>
        <v/>
      </c>
      <c r="AI346" s="32">
        <f>IF(W346=1,AH346,"")</f>
        <v/>
      </c>
    </row>
    <row r="347">
      <c r="A347" s="32">
        <f>IF(INDEX('Form Responses'!$A:$A,ROW())="","",INDEX('Form Responses'!$A:$A,ROW()))</f>
        <v/>
      </c>
      <c r="B347" s="32">
        <f>TRIM(INDEX('Form Responses'!$B:$B,ROW())&amp;"")</f>
        <v/>
      </c>
      <c r="C347" s="32">
        <f>IF(B347="","",TRIM(INDEX('Form Responses'!$C:$C,ROW())&amp;""))</f>
        <v/>
      </c>
      <c r="D347" s="32">
        <f>SUBSTITUTE(SUBSTITUTE(SUBSTITUTE(SUBSTITUTE(SUBSTITUTE(SUBSTITUTE(SUBSTITUTE(SUBSTITUTE(C347," ",""),"-",""),"(",""),")",""),".",""),"+",""),"/",""),CHAR(160),"")</f>
        <v/>
      </c>
      <c r="E347" s="32">
        <f>IF(LEN(D347)&gt;=10,RIGHT(D347,10),D347)</f>
        <v/>
      </c>
      <c r="F347" s="32">
        <f>IF(B347="","",TRIM(INDEX('Form Responses'!$D:$D,ROW())&amp;""))</f>
        <v/>
      </c>
      <c r="G347" s="32">
        <f>IF(B347="","",IF(LEFT(TRIM(INDEX('Form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7" s="32">
        <f>IF(B347="","",MAX(0,IFERROR(INT(--(INDEX('Form Responses'!$F:$F,ROW())&amp;"")),1)))</f>
        <v/>
      </c>
      <c r="I347" s="32">
        <f>IF(B347="","",MAX(0,IFERROR(INT(--(INDEX('Form Responses'!$G:$G,ROW())&amp;"")),0)))</f>
        <v/>
      </c>
      <c r="J347" s="32">
        <f>IF(B347="","",TRIM(INDEX('Form Responses'!$H:$H,ROW())&amp;""))</f>
        <v/>
      </c>
      <c r="K347" s="32">
        <f>IF(B347="","",TRIM(INDEX('Form Responses'!$I:$I,ROW())&amp;""))</f>
        <v/>
      </c>
      <c r="L347" s="32">
        <f>IF(B347="","",TRIM(INDEX('Form Responses'!$J:$J,ROW())&amp;""))</f>
        <v/>
      </c>
      <c r="M347" s="32">
        <f>IF(B347="","",TRIM(INDEX('Form Responses'!$K:$K,ROW())&amp;""))</f>
        <v/>
      </c>
      <c r="N347" s="32">
        <f>IF(B347="","",IF(E347&lt;&gt;"","P"&amp;E347,"N"&amp;B347))</f>
        <v/>
      </c>
      <c r="O347" s="32">
        <f>IF(N347="",0,IF(COUNTIF(N348:N$602,N347)=0,1,0))</f>
        <v/>
      </c>
      <c r="P347" s="32">
        <f>IF(AND(O347=1,E347&lt;&gt;""),E347,"")</f>
        <v/>
      </c>
      <c r="Q347" s="32">
        <f>IF(O347=1,B347,"")</f>
        <v/>
      </c>
      <c r="R347" s="32">
        <f>IF(O347&lt;&gt;1,"",IF(E347&lt;&gt;"",IFERROR(MATCH(E347,Guests!$S$6:$S$505,0)+5,IFERROR(MATCH(B347,Guests!$A$6:$A$505,0)+5,"")),IFERROR(MATCH(B347,Guests!$A$6:$A$505,0)+5,"")))</f>
        <v/>
      </c>
      <c r="S347" s="32">
        <f>IF(R347="","",TRIM(INDEX(Guests!$E$1:$E$505,R347)&amp;""))</f>
        <v/>
      </c>
      <c r="T347" s="32">
        <f>IF(R347="","",IF(S347="",1,COUNTIF(Guests!$E$6:$E$505,S347)))</f>
        <v/>
      </c>
      <c r="U347" s="32">
        <f>IF(R347="","",IF(S347="",1,IF(COUNTIF(S$1:S346,S347)=0,1,0)))</f>
        <v/>
      </c>
      <c r="V347" s="32">
        <f>IF(AND(R347&lt;&gt;"",G347="Attending",U347=1),MAX(0,H347+I347-T347),0)</f>
        <v/>
      </c>
      <c r="W347" s="32">
        <f>IF(AND(O347=1,R347=""),1,0)</f>
        <v/>
      </c>
      <c r="X347" s="32">
        <f>IF(B347="",0,H347+I347)</f>
        <v/>
      </c>
      <c r="Y347" s="32">
        <f>N(Y346)+O347</f>
        <v/>
      </c>
      <c r="Z347" s="32">
        <f>IF(O347=1,Y347,"")</f>
        <v/>
      </c>
      <c r="AA347" s="32">
        <f>IF(AND(W347=1,G347="Not sure yet"),1,0)</f>
        <v/>
      </c>
      <c r="AB347" s="32">
        <f>N(AB346)+AA347</f>
        <v/>
      </c>
      <c r="AC347" s="32">
        <f>IF(AA347=1,AB347,"")</f>
        <v/>
      </c>
      <c r="AD347" s="32">
        <f>IF(D347="","",IF(LEN(D347)=10,"+1"&amp;D347,IF(AND(LEN(D347)=11,LEFT(D347,1)="1"),"+"&amp;D347,IF(LEFT(C347,1)="+","+"&amp;D347,D347))))</f>
        <v/>
      </c>
      <c r="AE347" s="32">
        <f>IF(B347="","",PROPER(IFERROR(LEFT(B347,FIND(" ",B347)-1),B347)))</f>
        <v/>
      </c>
      <c r="AF347" s="32">
        <f>SUBSTITUTE(SUBSTITUTE(SUBSTITUTE(SUBSTITUTE(SUBSTITUTE(SUBSTITUTE(SUBSTITUTE(SUBSTITUTE(SUBSTITUTE(SUBSTITUTE(AE347,"%","%25"),"&amp;","%26"),"#","%23"),"+","%2B"),"=","%3D"),"?","%3F"),CHAR(34),"%22"),CHAR(10),"%0A"),CHAR(13),"")," ","+")</f>
        <v/>
      </c>
      <c r="AG347" s="32">
        <f>IF(OR(AD347="",AE347=""),"",'Start Here'!$B$20&amp;"#p="&amp;SUBSTITUTE(AD347,"+","%2B")&amp;"&amp;n="&amp;AF347&amp;"&amp;m="&amp;SUBSTITUTE('Start Here'!$B$24,"{name}",AF347))</f>
        <v/>
      </c>
      <c r="AH347" s="32">
        <f>N(AH346)+W347</f>
        <v/>
      </c>
      <c r="AI347" s="32">
        <f>IF(W347=1,AH347,"")</f>
        <v/>
      </c>
    </row>
    <row r="348">
      <c r="A348" s="32">
        <f>IF(INDEX('Form Responses'!$A:$A,ROW())="","",INDEX('Form Responses'!$A:$A,ROW()))</f>
        <v/>
      </c>
      <c r="B348" s="32">
        <f>TRIM(INDEX('Form Responses'!$B:$B,ROW())&amp;"")</f>
        <v/>
      </c>
      <c r="C348" s="32">
        <f>IF(B348="","",TRIM(INDEX('Form Responses'!$C:$C,ROW())&amp;""))</f>
        <v/>
      </c>
      <c r="D348" s="32">
        <f>SUBSTITUTE(SUBSTITUTE(SUBSTITUTE(SUBSTITUTE(SUBSTITUTE(SUBSTITUTE(SUBSTITUTE(SUBSTITUTE(C348," ",""),"-",""),"(",""),")",""),".",""),"+",""),"/",""),CHAR(160),"")</f>
        <v/>
      </c>
      <c r="E348" s="32">
        <f>IF(LEN(D348)&gt;=10,RIGHT(D348,10),D348)</f>
        <v/>
      </c>
      <c r="F348" s="32">
        <f>IF(B348="","",TRIM(INDEX('Form Responses'!$D:$D,ROW())&amp;""))</f>
        <v/>
      </c>
      <c r="G348" s="32">
        <f>IF(B348="","",IF(LEFT(TRIM(INDEX('Form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8" s="32">
        <f>IF(B348="","",MAX(0,IFERROR(INT(--(INDEX('Form Responses'!$F:$F,ROW())&amp;"")),1)))</f>
        <v/>
      </c>
      <c r="I348" s="32">
        <f>IF(B348="","",MAX(0,IFERROR(INT(--(INDEX('Form Responses'!$G:$G,ROW())&amp;"")),0)))</f>
        <v/>
      </c>
      <c r="J348" s="32">
        <f>IF(B348="","",TRIM(INDEX('Form Responses'!$H:$H,ROW())&amp;""))</f>
        <v/>
      </c>
      <c r="K348" s="32">
        <f>IF(B348="","",TRIM(INDEX('Form Responses'!$I:$I,ROW())&amp;""))</f>
        <v/>
      </c>
      <c r="L348" s="32">
        <f>IF(B348="","",TRIM(INDEX('Form Responses'!$J:$J,ROW())&amp;""))</f>
        <v/>
      </c>
      <c r="M348" s="32">
        <f>IF(B348="","",TRIM(INDEX('Form Responses'!$K:$K,ROW())&amp;""))</f>
        <v/>
      </c>
      <c r="N348" s="32">
        <f>IF(B348="","",IF(E348&lt;&gt;"","P"&amp;E348,"N"&amp;B348))</f>
        <v/>
      </c>
      <c r="O348" s="32">
        <f>IF(N348="",0,IF(COUNTIF(N349:N$602,N348)=0,1,0))</f>
        <v/>
      </c>
      <c r="P348" s="32">
        <f>IF(AND(O348=1,E348&lt;&gt;""),E348,"")</f>
        <v/>
      </c>
      <c r="Q348" s="32">
        <f>IF(O348=1,B348,"")</f>
        <v/>
      </c>
      <c r="R348" s="32">
        <f>IF(O348&lt;&gt;1,"",IF(E348&lt;&gt;"",IFERROR(MATCH(E348,Guests!$S$6:$S$505,0)+5,IFERROR(MATCH(B348,Guests!$A$6:$A$505,0)+5,"")),IFERROR(MATCH(B348,Guests!$A$6:$A$505,0)+5,"")))</f>
        <v/>
      </c>
      <c r="S348" s="32">
        <f>IF(R348="","",TRIM(INDEX(Guests!$E$1:$E$505,R348)&amp;""))</f>
        <v/>
      </c>
      <c r="T348" s="32">
        <f>IF(R348="","",IF(S348="",1,COUNTIF(Guests!$E$6:$E$505,S348)))</f>
        <v/>
      </c>
      <c r="U348" s="32">
        <f>IF(R348="","",IF(S348="",1,IF(COUNTIF(S$1:S347,S348)=0,1,0)))</f>
        <v/>
      </c>
      <c r="V348" s="32">
        <f>IF(AND(R348&lt;&gt;"",G348="Attending",U348=1),MAX(0,H348+I348-T348),0)</f>
        <v/>
      </c>
      <c r="W348" s="32">
        <f>IF(AND(O348=1,R348=""),1,0)</f>
        <v/>
      </c>
      <c r="X348" s="32">
        <f>IF(B348="",0,H348+I348)</f>
        <v/>
      </c>
      <c r="Y348" s="32">
        <f>N(Y347)+O348</f>
        <v/>
      </c>
      <c r="Z348" s="32">
        <f>IF(O348=1,Y348,"")</f>
        <v/>
      </c>
      <c r="AA348" s="32">
        <f>IF(AND(W348=1,G348="Not sure yet"),1,0)</f>
        <v/>
      </c>
      <c r="AB348" s="32">
        <f>N(AB347)+AA348</f>
        <v/>
      </c>
      <c r="AC348" s="32">
        <f>IF(AA348=1,AB348,"")</f>
        <v/>
      </c>
      <c r="AD348" s="32">
        <f>IF(D348="","",IF(LEN(D348)=10,"+1"&amp;D348,IF(AND(LEN(D348)=11,LEFT(D348,1)="1"),"+"&amp;D348,IF(LEFT(C348,1)="+","+"&amp;D348,D348))))</f>
        <v/>
      </c>
      <c r="AE348" s="32">
        <f>IF(B348="","",PROPER(IFERROR(LEFT(B348,FIND(" ",B348)-1),B348)))</f>
        <v/>
      </c>
      <c r="AF348" s="32">
        <f>SUBSTITUTE(SUBSTITUTE(SUBSTITUTE(SUBSTITUTE(SUBSTITUTE(SUBSTITUTE(SUBSTITUTE(SUBSTITUTE(SUBSTITUTE(SUBSTITUTE(AE348,"%","%25"),"&amp;","%26"),"#","%23"),"+","%2B"),"=","%3D"),"?","%3F"),CHAR(34),"%22"),CHAR(10),"%0A"),CHAR(13),"")," ","+")</f>
        <v/>
      </c>
      <c r="AG348" s="32">
        <f>IF(OR(AD348="",AE348=""),"",'Start Here'!$B$20&amp;"#p="&amp;SUBSTITUTE(AD348,"+","%2B")&amp;"&amp;n="&amp;AF348&amp;"&amp;m="&amp;SUBSTITUTE('Start Here'!$B$24,"{name}",AF348))</f>
        <v/>
      </c>
      <c r="AH348" s="32">
        <f>N(AH347)+W348</f>
        <v/>
      </c>
      <c r="AI348" s="32">
        <f>IF(W348=1,AH348,"")</f>
        <v/>
      </c>
    </row>
    <row r="349">
      <c r="A349" s="32">
        <f>IF(INDEX('Form Responses'!$A:$A,ROW())="","",INDEX('Form Responses'!$A:$A,ROW()))</f>
        <v/>
      </c>
      <c r="B349" s="32">
        <f>TRIM(INDEX('Form Responses'!$B:$B,ROW())&amp;"")</f>
        <v/>
      </c>
      <c r="C349" s="32">
        <f>IF(B349="","",TRIM(INDEX('Form Responses'!$C:$C,ROW())&amp;""))</f>
        <v/>
      </c>
      <c r="D349" s="32">
        <f>SUBSTITUTE(SUBSTITUTE(SUBSTITUTE(SUBSTITUTE(SUBSTITUTE(SUBSTITUTE(SUBSTITUTE(SUBSTITUTE(C349," ",""),"-",""),"(",""),")",""),".",""),"+",""),"/",""),CHAR(160),"")</f>
        <v/>
      </c>
      <c r="E349" s="32">
        <f>IF(LEN(D349)&gt;=10,RIGHT(D349,10),D349)</f>
        <v/>
      </c>
      <c r="F349" s="32">
        <f>IF(B349="","",TRIM(INDEX('Form Responses'!$D:$D,ROW())&amp;""))</f>
        <v/>
      </c>
      <c r="G349" s="32">
        <f>IF(B349="","",IF(LEFT(TRIM(INDEX('Form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49" s="32">
        <f>IF(B349="","",MAX(0,IFERROR(INT(--(INDEX('Form Responses'!$F:$F,ROW())&amp;"")),1)))</f>
        <v/>
      </c>
      <c r="I349" s="32">
        <f>IF(B349="","",MAX(0,IFERROR(INT(--(INDEX('Form Responses'!$G:$G,ROW())&amp;"")),0)))</f>
        <v/>
      </c>
      <c r="J349" s="32">
        <f>IF(B349="","",TRIM(INDEX('Form Responses'!$H:$H,ROW())&amp;""))</f>
        <v/>
      </c>
      <c r="K349" s="32">
        <f>IF(B349="","",TRIM(INDEX('Form Responses'!$I:$I,ROW())&amp;""))</f>
        <v/>
      </c>
      <c r="L349" s="32">
        <f>IF(B349="","",TRIM(INDEX('Form Responses'!$J:$J,ROW())&amp;""))</f>
        <v/>
      </c>
      <c r="M349" s="32">
        <f>IF(B349="","",TRIM(INDEX('Form Responses'!$K:$K,ROW())&amp;""))</f>
        <v/>
      </c>
      <c r="N349" s="32">
        <f>IF(B349="","",IF(E349&lt;&gt;"","P"&amp;E349,"N"&amp;B349))</f>
        <v/>
      </c>
      <c r="O349" s="32">
        <f>IF(N349="",0,IF(COUNTIF(N350:N$602,N349)=0,1,0))</f>
        <v/>
      </c>
      <c r="P349" s="32">
        <f>IF(AND(O349=1,E349&lt;&gt;""),E349,"")</f>
        <v/>
      </c>
      <c r="Q349" s="32">
        <f>IF(O349=1,B349,"")</f>
        <v/>
      </c>
      <c r="R349" s="32">
        <f>IF(O349&lt;&gt;1,"",IF(E349&lt;&gt;"",IFERROR(MATCH(E349,Guests!$S$6:$S$505,0)+5,IFERROR(MATCH(B349,Guests!$A$6:$A$505,0)+5,"")),IFERROR(MATCH(B349,Guests!$A$6:$A$505,0)+5,"")))</f>
        <v/>
      </c>
      <c r="S349" s="32">
        <f>IF(R349="","",TRIM(INDEX(Guests!$E$1:$E$505,R349)&amp;""))</f>
        <v/>
      </c>
      <c r="T349" s="32">
        <f>IF(R349="","",IF(S349="",1,COUNTIF(Guests!$E$6:$E$505,S349)))</f>
        <v/>
      </c>
      <c r="U349" s="32">
        <f>IF(R349="","",IF(S349="",1,IF(COUNTIF(S$1:S348,S349)=0,1,0)))</f>
        <v/>
      </c>
      <c r="V349" s="32">
        <f>IF(AND(R349&lt;&gt;"",G349="Attending",U349=1),MAX(0,H349+I349-T349),0)</f>
        <v/>
      </c>
      <c r="W349" s="32">
        <f>IF(AND(O349=1,R349=""),1,0)</f>
        <v/>
      </c>
      <c r="X349" s="32">
        <f>IF(B349="",0,H349+I349)</f>
        <v/>
      </c>
      <c r="Y349" s="32">
        <f>N(Y348)+O349</f>
        <v/>
      </c>
      <c r="Z349" s="32">
        <f>IF(O349=1,Y349,"")</f>
        <v/>
      </c>
      <c r="AA349" s="32">
        <f>IF(AND(W349=1,G349="Not sure yet"),1,0)</f>
        <v/>
      </c>
      <c r="AB349" s="32">
        <f>N(AB348)+AA349</f>
        <v/>
      </c>
      <c r="AC349" s="32">
        <f>IF(AA349=1,AB349,"")</f>
        <v/>
      </c>
      <c r="AD349" s="32">
        <f>IF(D349="","",IF(LEN(D349)=10,"+1"&amp;D349,IF(AND(LEN(D349)=11,LEFT(D349,1)="1"),"+"&amp;D349,IF(LEFT(C349,1)="+","+"&amp;D349,D349))))</f>
        <v/>
      </c>
      <c r="AE349" s="32">
        <f>IF(B349="","",PROPER(IFERROR(LEFT(B349,FIND(" ",B349)-1),B349)))</f>
        <v/>
      </c>
      <c r="AF349" s="32">
        <f>SUBSTITUTE(SUBSTITUTE(SUBSTITUTE(SUBSTITUTE(SUBSTITUTE(SUBSTITUTE(SUBSTITUTE(SUBSTITUTE(SUBSTITUTE(SUBSTITUTE(AE349,"%","%25"),"&amp;","%26"),"#","%23"),"+","%2B"),"=","%3D"),"?","%3F"),CHAR(34),"%22"),CHAR(10),"%0A"),CHAR(13),"")," ","+")</f>
        <v/>
      </c>
      <c r="AG349" s="32">
        <f>IF(OR(AD349="",AE349=""),"",'Start Here'!$B$20&amp;"#p="&amp;SUBSTITUTE(AD349,"+","%2B")&amp;"&amp;n="&amp;AF349&amp;"&amp;m="&amp;SUBSTITUTE('Start Here'!$B$24,"{name}",AF349))</f>
        <v/>
      </c>
      <c r="AH349" s="32">
        <f>N(AH348)+W349</f>
        <v/>
      </c>
      <c r="AI349" s="32">
        <f>IF(W349=1,AH349,"")</f>
        <v/>
      </c>
    </row>
    <row r="350">
      <c r="A350" s="32">
        <f>IF(INDEX('Form Responses'!$A:$A,ROW())="","",INDEX('Form Responses'!$A:$A,ROW()))</f>
        <v/>
      </c>
      <c r="B350" s="32">
        <f>TRIM(INDEX('Form Responses'!$B:$B,ROW())&amp;"")</f>
        <v/>
      </c>
      <c r="C350" s="32">
        <f>IF(B350="","",TRIM(INDEX('Form Responses'!$C:$C,ROW())&amp;""))</f>
        <v/>
      </c>
      <c r="D350" s="32">
        <f>SUBSTITUTE(SUBSTITUTE(SUBSTITUTE(SUBSTITUTE(SUBSTITUTE(SUBSTITUTE(SUBSTITUTE(SUBSTITUTE(C350," ",""),"-",""),"(",""),")",""),".",""),"+",""),"/",""),CHAR(160),"")</f>
        <v/>
      </c>
      <c r="E350" s="32">
        <f>IF(LEN(D350)&gt;=10,RIGHT(D350,10),D350)</f>
        <v/>
      </c>
      <c r="F350" s="32">
        <f>IF(B350="","",TRIM(INDEX('Form Responses'!$D:$D,ROW())&amp;""))</f>
        <v/>
      </c>
      <c r="G350" s="32">
        <f>IF(B350="","",IF(LEFT(TRIM(INDEX('Form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0" s="32">
        <f>IF(B350="","",MAX(0,IFERROR(INT(--(INDEX('Form Responses'!$F:$F,ROW())&amp;"")),1)))</f>
        <v/>
      </c>
      <c r="I350" s="32">
        <f>IF(B350="","",MAX(0,IFERROR(INT(--(INDEX('Form Responses'!$G:$G,ROW())&amp;"")),0)))</f>
        <v/>
      </c>
      <c r="J350" s="32">
        <f>IF(B350="","",TRIM(INDEX('Form Responses'!$H:$H,ROW())&amp;""))</f>
        <v/>
      </c>
      <c r="K350" s="32">
        <f>IF(B350="","",TRIM(INDEX('Form Responses'!$I:$I,ROW())&amp;""))</f>
        <v/>
      </c>
      <c r="L350" s="32">
        <f>IF(B350="","",TRIM(INDEX('Form Responses'!$J:$J,ROW())&amp;""))</f>
        <v/>
      </c>
      <c r="M350" s="32">
        <f>IF(B350="","",TRIM(INDEX('Form Responses'!$K:$K,ROW())&amp;""))</f>
        <v/>
      </c>
      <c r="N350" s="32">
        <f>IF(B350="","",IF(E350&lt;&gt;"","P"&amp;E350,"N"&amp;B350))</f>
        <v/>
      </c>
      <c r="O350" s="32">
        <f>IF(N350="",0,IF(COUNTIF(N351:N$602,N350)=0,1,0))</f>
        <v/>
      </c>
      <c r="P350" s="32">
        <f>IF(AND(O350=1,E350&lt;&gt;""),E350,"")</f>
        <v/>
      </c>
      <c r="Q350" s="32">
        <f>IF(O350=1,B350,"")</f>
        <v/>
      </c>
      <c r="R350" s="32">
        <f>IF(O350&lt;&gt;1,"",IF(E350&lt;&gt;"",IFERROR(MATCH(E350,Guests!$S$6:$S$505,0)+5,IFERROR(MATCH(B350,Guests!$A$6:$A$505,0)+5,"")),IFERROR(MATCH(B350,Guests!$A$6:$A$505,0)+5,"")))</f>
        <v/>
      </c>
      <c r="S350" s="32">
        <f>IF(R350="","",TRIM(INDEX(Guests!$E$1:$E$505,R350)&amp;""))</f>
        <v/>
      </c>
      <c r="T350" s="32">
        <f>IF(R350="","",IF(S350="",1,COUNTIF(Guests!$E$6:$E$505,S350)))</f>
        <v/>
      </c>
      <c r="U350" s="32">
        <f>IF(R350="","",IF(S350="",1,IF(COUNTIF(S$1:S349,S350)=0,1,0)))</f>
        <v/>
      </c>
      <c r="V350" s="32">
        <f>IF(AND(R350&lt;&gt;"",G350="Attending",U350=1),MAX(0,H350+I350-T350),0)</f>
        <v/>
      </c>
      <c r="W350" s="32">
        <f>IF(AND(O350=1,R350=""),1,0)</f>
        <v/>
      </c>
      <c r="X350" s="32">
        <f>IF(B350="",0,H350+I350)</f>
        <v/>
      </c>
      <c r="Y350" s="32">
        <f>N(Y349)+O350</f>
        <v/>
      </c>
      <c r="Z350" s="32">
        <f>IF(O350=1,Y350,"")</f>
        <v/>
      </c>
      <c r="AA350" s="32">
        <f>IF(AND(W350=1,G350="Not sure yet"),1,0)</f>
        <v/>
      </c>
      <c r="AB350" s="32">
        <f>N(AB349)+AA350</f>
        <v/>
      </c>
      <c r="AC350" s="32">
        <f>IF(AA350=1,AB350,"")</f>
        <v/>
      </c>
      <c r="AD350" s="32">
        <f>IF(D350="","",IF(LEN(D350)=10,"+1"&amp;D350,IF(AND(LEN(D350)=11,LEFT(D350,1)="1"),"+"&amp;D350,IF(LEFT(C350,1)="+","+"&amp;D350,D350))))</f>
        <v/>
      </c>
      <c r="AE350" s="32">
        <f>IF(B350="","",PROPER(IFERROR(LEFT(B350,FIND(" ",B350)-1),B350)))</f>
        <v/>
      </c>
      <c r="AF350" s="32">
        <f>SUBSTITUTE(SUBSTITUTE(SUBSTITUTE(SUBSTITUTE(SUBSTITUTE(SUBSTITUTE(SUBSTITUTE(SUBSTITUTE(SUBSTITUTE(SUBSTITUTE(AE350,"%","%25"),"&amp;","%26"),"#","%23"),"+","%2B"),"=","%3D"),"?","%3F"),CHAR(34),"%22"),CHAR(10),"%0A"),CHAR(13),"")," ","+")</f>
        <v/>
      </c>
      <c r="AG350" s="32">
        <f>IF(OR(AD350="",AE350=""),"",'Start Here'!$B$20&amp;"#p="&amp;SUBSTITUTE(AD350,"+","%2B")&amp;"&amp;n="&amp;AF350&amp;"&amp;m="&amp;SUBSTITUTE('Start Here'!$B$24,"{name}",AF350))</f>
        <v/>
      </c>
      <c r="AH350" s="32">
        <f>N(AH349)+W350</f>
        <v/>
      </c>
      <c r="AI350" s="32">
        <f>IF(W350=1,AH350,"")</f>
        <v/>
      </c>
    </row>
    <row r="351">
      <c r="A351" s="32">
        <f>IF(INDEX('Form Responses'!$A:$A,ROW())="","",INDEX('Form Responses'!$A:$A,ROW()))</f>
        <v/>
      </c>
      <c r="B351" s="32">
        <f>TRIM(INDEX('Form Responses'!$B:$B,ROW())&amp;"")</f>
        <v/>
      </c>
      <c r="C351" s="32">
        <f>IF(B351="","",TRIM(INDEX('Form Responses'!$C:$C,ROW())&amp;""))</f>
        <v/>
      </c>
      <c r="D351" s="32">
        <f>SUBSTITUTE(SUBSTITUTE(SUBSTITUTE(SUBSTITUTE(SUBSTITUTE(SUBSTITUTE(SUBSTITUTE(SUBSTITUTE(C351," ",""),"-",""),"(",""),")",""),".",""),"+",""),"/",""),CHAR(160),"")</f>
        <v/>
      </c>
      <c r="E351" s="32">
        <f>IF(LEN(D351)&gt;=10,RIGHT(D351,10),D351)</f>
        <v/>
      </c>
      <c r="F351" s="32">
        <f>IF(B351="","",TRIM(INDEX('Form Responses'!$D:$D,ROW())&amp;""))</f>
        <v/>
      </c>
      <c r="G351" s="32">
        <f>IF(B351="","",IF(LEFT(TRIM(INDEX('Form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1" s="32">
        <f>IF(B351="","",MAX(0,IFERROR(INT(--(INDEX('Form Responses'!$F:$F,ROW())&amp;"")),1)))</f>
        <v/>
      </c>
      <c r="I351" s="32">
        <f>IF(B351="","",MAX(0,IFERROR(INT(--(INDEX('Form Responses'!$G:$G,ROW())&amp;"")),0)))</f>
        <v/>
      </c>
      <c r="J351" s="32">
        <f>IF(B351="","",TRIM(INDEX('Form Responses'!$H:$H,ROW())&amp;""))</f>
        <v/>
      </c>
      <c r="K351" s="32">
        <f>IF(B351="","",TRIM(INDEX('Form Responses'!$I:$I,ROW())&amp;""))</f>
        <v/>
      </c>
      <c r="L351" s="32">
        <f>IF(B351="","",TRIM(INDEX('Form Responses'!$J:$J,ROW())&amp;""))</f>
        <v/>
      </c>
      <c r="M351" s="32">
        <f>IF(B351="","",TRIM(INDEX('Form Responses'!$K:$K,ROW())&amp;""))</f>
        <v/>
      </c>
      <c r="N351" s="32">
        <f>IF(B351="","",IF(E351&lt;&gt;"","P"&amp;E351,"N"&amp;B351))</f>
        <v/>
      </c>
      <c r="O351" s="32">
        <f>IF(N351="",0,IF(COUNTIF(N352:N$602,N351)=0,1,0))</f>
        <v/>
      </c>
      <c r="P351" s="32">
        <f>IF(AND(O351=1,E351&lt;&gt;""),E351,"")</f>
        <v/>
      </c>
      <c r="Q351" s="32">
        <f>IF(O351=1,B351,"")</f>
        <v/>
      </c>
      <c r="R351" s="32">
        <f>IF(O351&lt;&gt;1,"",IF(E351&lt;&gt;"",IFERROR(MATCH(E351,Guests!$S$6:$S$505,0)+5,IFERROR(MATCH(B351,Guests!$A$6:$A$505,0)+5,"")),IFERROR(MATCH(B351,Guests!$A$6:$A$505,0)+5,"")))</f>
        <v/>
      </c>
      <c r="S351" s="32">
        <f>IF(R351="","",TRIM(INDEX(Guests!$E$1:$E$505,R351)&amp;""))</f>
        <v/>
      </c>
      <c r="T351" s="32">
        <f>IF(R351="","",IF(S351="",1,COUNTIF(Guests!$E$6:$E$505,S351)))</f>
        <v/>
      </c>
      <c r="U351" s="32">
        <f>IF(R351="","",IF(S351="",1,IF(COUNTIF(S$1:S350,S351)=0,1,0)))</f>
        <v/>
      </c>
      <c r="V351" s="32">
        <f>IF(AND(R351&lt;&gt;"",G351="Attending",U351=1),MAX(0,H351+I351-T351),0)</f>
        <v/>
      </c>
      <c r="W351" s="32">
        <f>IF(AND(O351=1,R351=""),1,0)</f>
        <v/>
      </c>
      <c r="X351" s="32">
        <f>IF(B351="",0,H351+I351)</f>
        <v/>
      </c>
      <c r="Y351" s="32">
        <f>N(Y350)+O351</f>
        <v/>
      </c>
      <c r="Z351" s="32">
        <f>IF(O351=1,Y351,"")</f>
        <v/>
      </c>
      <c r="AA351" s="32">
        <f>IF(AND(W351=1,G351="Not sure yet"),1,0)</f>
        <v/>
      </c>
      <c r="AB351" s="32">
        <f>N(AB350)+AA351</f>
        <v/>
      </c>
      <c r="AC351" s="32">
        <f>IF(AA351=1,AB351,"")</f>
        <v/>
      </c>
      <c r="AD351" s="32">
        <f>IF(D351="","",IF(LEN(D351)=10,"+1"&amp;D351,IF(AND(LEN(D351)=11,LEFT(D351,1)="1"),"+"&amp;D351,IF(LEFT(C351,1)="+","+"&amp;D351,D351))))</f>
        <v/>
      </c>
      <c r="AE351" s="32">
        <f>IF(B351="","",PROPER(IFERROR(LEFT(B351,FIND(" ",B351)-1),B351)))</f>
        <v/>
      </c>
      <c r="AF351" s="32">
        <f>SUBSTITUTE(SUBSTITUTE(SUBSTITUTE(SUBSTITUTE(SUBSTITUTE(SUBSTITUTE(SUBSTITUTE(SUBSTITUTE(SUBSTITUTE(SUBSTITUTE(AE351,"%","%25"),"&amp;","%26"),"#","%23"),"+","%2B"),"=","%3D"),"?","%3F"),CHAR(34),"%22"),CHAR(10),"%0A"),CHAR(13),"")," ","+")</f>
        <v/>
      </c>
      <c r="AG351" s="32">
        <f>IF(OR(AD351="",AE351=""),"",'Start Here'!$B$20&amp;"#p="&amp;SUBSTITUTE(AD351,"+","%2B")&amp;"&amp;n="&amp;AF351&amp;"&amp;m="&amp;SUBSTITUTE('Start Here'!$B$24,"{name}",AF351))</f>
        <v/>
      </c>
      <c r="AH351" s="32">
        <f>N(AH350)+W351</f>
        <v/>
      </c>
      <c r="AI351" s="32">
        <f>IF(W351=1,AH351,"")</f>
        <v/>
      </c>
    </row>
    <row r="352">
      <c r="A352" s="32">
        <f>IF(INDEX('Form Responses'!$A:$A,ROW())="","",INDEX('Form Responses'!$A:$A,ROW()))</f>
        <v/>
      </c>
      <c r="B352" s="32">
        <f>TRIM(INDEX('Form Responses'!$B:$B,ROW())&amp;"")</f>
        <v/>
      </c>
      <c r="C352" s="32">
        <f>IF(B352="","",TRIM(INDEX('Form Responses'!$C:$C,ROW())&amp;""))</f>
        <v/>
      </c>
      <c r="D352" s="32">
        <f>SUBSTITUTE(SUBSTITUTE(SUBSTITUTE(SUBSTITUTE(SUBSTITUTE(SUBSTITUTE(SUBSTITUTE(SUBSTITUTE(C352," ",""),"-",""),"(",""),")",""),".",""),"+",""),"/",""),CHAR(160),"")</f>
        <v/>
      </c>
      <c r="E352" s="32">
        <f>IF(LEN(D352)&gt;=10,RIGHT(D352,10),D352)</f>
        <v/>
      </c>
      <c r="F352" s="32">
        <f>IF(B352="","",TRIM(INDEX('Form Responses'!$D:$D,ROW())&amp;""))</f>
        <v/>
      </c>
      <c r="G352" s="32">
        <f>IF(B352="","",IF(LEFT(TRIM(INDEX('Form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2" s="32">
        <f>IF(B352="","",MAX(0,IFERROR(INT(--(INDEX('Form Responses'!$F:$F,ROW())&amp;"")),1)))</f>
        <v/>
      </c>
      <c r="I352" s="32">
        <f>IF(B352="","",MAX(0,IFERROR(INT(--(INDEX('Form Responses'!$G:$G,ROW())&amp;"")),0)))</f>
        <v/>
      </c>
      <c r="J352" s="32">
        <f>IF(B352="","",TRIM(INDEX('Form Responses'!$H:$H,ROW())&amp;""))</f>
        <v/>
      </c>
      <c r="K352" s="32">
        <f>IF(B352="","",TRIM(INDEX('Form Responses'!$I:$I,ROW())&amp;""))</f>
        <v/>
      </c>
      <c r="L352" s="32">
        <f>IF(B352="","",TRIM(INDEX('Form Responses'!$J:$J,ROW())&amp;""))</f>
        <v/>
      </c>
      <c r="M352" s="32">
        <f>IF(B352="","",TRIM(INDEX('Form Responses'!$K:$K,ROW())&amp;""))</f>
        <v/>
      </c>
      <c r="N352" s="32">
        <f>IF(B352="","",IF(E352&lt;&gt;"","P"&amp;E352,"N"&amp;B352))</f>
        <v/>
      </c>
      <c r="O352" s="32">
        <f>IF(N352="",0,IF(COUNTIF(N353:N$602,N352)=0,1,0))</f>
        <v/>
      </c>
      <c r="P352" s="32">
        <f>IF(AND(O352=1,E352&lt;&gt;""),E352,"")</f>
        <v/>
      </c>
      <c r="Q352" s="32">
        <f>IF(O352=1,B352,"")</f>
        <v/>
      </c>
      <c r="R352" s="32">
        <f>IF(O352&lt;&gt;1,"",IF(E352&lt;&gt;"",IFERROR(MATCH(E352,Guests!$S$6:$S$505,0)+5,IFERROR(MATCH(B352,Guests!$A$6:$A$505,0)+5,"")),IFERROR(MATCH(B352,Guests!$A$6:$A$505,0)+5,"")))</f>
        <v/>
      </c>
      <c r="S352" s="32">
        <f>IF(R352="","",TRIM(INDEX(Guests!$E$1:$E$505,R352)&amp;""))</f>
        <v/>
      </c>
      <c r="T352" s="32">
        <f>IF(R352="","",IF(S352="",1,COUNTIF(Guests!$E$6:$E$505,S352)))</f>
        <v/>
      </c>
      <c r="U352" s="32">
        <f>IF(R352="","",IF(S352="",1,IF(COUNTIF(S$1:S351,S352)=0,1,0)))</f>
        <v/>
      </c>
      <c r="V352" s="32">
        <f>IF(AND(R352&lt;&gt;"",G352="Attending",U352=1),MAX(0,H352+I352-T352),0)</f>
        <v/>
      </c>
      <c r="W352" s="32">
        <f>IF(AND(O352=1,R352=""),1,0)</f>
        <v/>
      </c>
      <c r="X352" s="32">
        <f>IF(B352="",0,H352+I352)</f>
        <v/>
      </c>
      <c r="Y352" s="32">
        <f>N(Y351)+O352</f>
        <v/>
      </c>
      <c r="Z352" s="32">
        <f>IF(O352=1,Y352,"")</f>
        <v/>
      </c>
      <c r="AA352" s="32">
        <f>IF(AND(W352=1,G352="Not sure yet"),1,0)</f>
        <v/>
      </c>
      <c r="AB352" s="32">
        <f>N(AB351)+AA352</f>
        <v/>
      </c>
      <c r="AC352" s="32">
        <f>IF(AA352=1,AB352,"")</f>
        <v/>
      </c>
      <c r="AD352" s="32">
        <f>IF(D352="","",IF(LEN(D352)=10,"+1"&amp;D352,IF(AND(LEN(D352)=11,LEFT(D352,1)="1"),"+"&amp;D352,IF(LEFT(C352,1)="+","+"&amp;D352,D352))))</f>
        <v/>
      </c>
      <c r="AE352" s="32">
        <f>IF(B352="","",PROPER(IFERROR(LEFT(B352,FIND(" ",B352)-1),B352)))</f>
        <v/>
      </c>
      <c r="AF352" s="32">
        <f>SUBSTITUTE(SUBSTITUTE(SUBSTITUTE(SUBSTITUTE(SUBSTITUTE(SUBSTITUTE(SUBSTITUTE(SUBSTITUTE(SUBSTITUTE(SUBSTITUTE(AE352,"%","%25"),"&amp;","%26"),"#","%23"),"+","%2B"),"=","%3D"),"?","%3F"),CHAR(34),"%22"),CHAR(10),"%0A"),CHAR(13),"")," ","+")</f>
        <v/>
      </c>
      <c r="AG352" s="32">
        <f>IF(OR(AD352="",AE352=""),"",'Start Here'!$B$20&amp;"#p="&amp;SUBSTITUTE(AD352,"+","%2B")&amp;"&amp;n="&amp;AF352&amp;"&amp;m="&amp;SUBSTITUTE('Start Here'!$B$24,"{name}",AF352))</f>
        <v/>
      </c>
      <c r="AH352" s="32">
        <f>N(AH351)+W352</f>
        <v/>
      </c>
      <c r="AI352" s="32">
        <f>IF(W352=1,AH352,"")</f>
        <v/>
      </c>
    </row>
    <row r="353">
      <c r="A353" s="32">
        <f>IF(INDEX('Form Responses'!$A:$A,ROW())="","",INDEX('Form Responses'!$A:$A,ROW()))</f>
        <v/>
      </c>
      <c r="B353" s="32">
        <f>TRIM(INDEX('Form Responses'!$B:$B,ROW())&amp;"")</f>
        <v/>
      </c>
      <c r="C353" s="32">
        <f>IF(B353="","",TRIM(INDEX('Form Responses'!$C:$C,ROW())&amp;""))</f>
        <v/>
      </c>
      <c r="D353" s="32">
        <f>SUBSTITUTE(SUBSTITUTE(SUBSTITUTE(SUBSTITUTE(SUBSTITUTE(SUBSTITUTE(SUBSTITUTE(SUBSTITUTE(C353," ",""),"-",""),"(",""),")",""),".",""),"+",""),"/",""),CHAR(160),"")</f>
        <v/>
      </c>
      <c r="E353" s="32">
        <f>IF(LEN(D353)&gt;=10,RIGHT(D353,10),D353)</f>
        <v/>
      </c>
      <c r="F353" s="32">
        <f>IF(B353="","",TRIM(INDEX('Form Responses'!$D:$D,ROW())&amp;""))</f>
        <v/>
      </c>
      <c r="G353" s="32">
        <f>IF(B353="","",IF(LEFT(TRIM(INDEX('Form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3" s="32">
        <f>IF(B353="","",MAX(0,IFERROR(INT(--(INDEX('Form Responses'!$F:$F,ROW())&amp;"")),1)))</f>
        <v/>
      </c>
      <c r="I353" s="32">
        <f>IF(B353="","",MAX(0,IFERROR(INT(--(INDEX('Form Responses'!$G:$G,ROW())&amp;"")),0)))</f>
        <v/>
      </c>
      <c r="J353" s="32">
        <f>IF(B353="","",TRIM(INDEX('Form Responses'!$H:$H,ROW())&amp;""))</f>
        <v/>
      </c>
      <c r="K353" s="32">
        <f>IF(B353="","",TRIM(INDEX('Form Responses'!$I:$I,ROW())&amp;""))</f>
        <v/>
      </c>
      <c r="L353" s="32">
        <f>IF(B353="","",TRIM(INDEX('Form Responses'!$J:$J,ROW())&amp;""))</f>
        <v/>
      </c>
      <c r="M353" s="32">
        <f>IF(B353="","",TRIM(INDEX('Form Responses'!$K:$K,ROW())&amp;""))</f>
        <v/>
      </c>
      <c r="N353" s="32">
        <f>IF(B353="","",IF(E353&lt;&gt;"","P"&amp;E353,"N"&amp;B353))</f>
        <v/>
      </c>
      <c r="O353" s="32">
        <f>IF(N353="",0,IF(COUNTIF(N354:N$602,N353)=0,1,0))</f>
        <v/>
      </c>
      <c r="P353" s="32">
        <f>IF(AND(O353=1,E353&lt;&gt;""),E353,"")</f>
        <v/>
      </c>
      <c r="Q353" s="32">
        <f>IF(O353=1,B353,"")</f>
        <v/>
      </c>
      <c r="R353" s="32">
        <f>IF(O353&lt;&gt;1,"",IF(E353&lt;&gt;"",IFERROR(MATCH(E353,Guests!$S$6:$S$505,0)+5,IFERROR(MATCH(B353,Guests!$A$6:$A$505,0)+5,"")),IFERROR(MATCH(B353,Guests!$A$6:$A$505,0)+5,"")))</f>
        <v/>
      </c>
      <c r="S353" s="32">
        <f>IF(R353="","",TRIM(INDEX(Guests!$E$1:$E$505,R353)&amp;""))</f>
        <v/>
      </c>
      <c r="T353" s="32">
        <f>IF(R353="","",IF(S353="",1,COUNTIF(Guests!$E$6:$E$505,S353)))</f>
        <v/>
      </c>
      <c r="U353" s="32">
        <f>IF(R353="","",IF(S353="",1,IF(COUNTIF(S$1:S352,S353)=0,1,0)))</f>
        <v/>
      </c>
      <c r="V353" s="32">
        <f>IF(AND(R353&lt;&gt;"",G353="Attending",U353=1),MAX(0,H353+I353-T353),0)</f>
        <v/>
      </c>
      <c r="W353" s="32">
        <f>IF(AND(O353=1,R353=""),1,0)</f>
        <v/>
      </c>
      <c r="X353" s="32">
        <f>IF(B353="",0,H353+I353)</f>
        <v/>
      </c>
      <c r="Y353" s="32">
        <f>N(Y352)+O353</f>
        <v/>
      </c>
      <c r="Z353" s="32">
        <f>IF(O353=1,Y353,"")</f>
        <v/>
      </c>
      <c r="AA353" s="32">
        <f>IF(AND(W353=1,G353="Not sure yet"),1,0)</f>
        <v/>
      </c>
      <c r="AB353" s="32">
        <f>N(AB352)+AA353</f>
        <v/>
      </c>
      <c r="AC353" s="32">
        <f>IF(AA353=1,AB353,"")</f>
        <v/>
      </c>
      <c r="AD353" s="32">
        <f>IF(D353="","",IF(LEN(D353)=10,"+1"&amp;D353,IF(AND(LEN(D353)=11,LEFT(D353,1)="1"),"+"&amp;D353,IF(LEFT(C353,1)="+","+"&amp;D353,D353))))</f>
        <v/>
      </c>
      <c r="AE353" s="32">
        <f>IF(B353="","",PROPER(IFERROR(LEFT(B353,FIND(" ",B353)-1),B353)))</f>
        <v/>
      </c>
      <c r="AF353" s="32">
        <f>SUBSTITUTE(SUBSTITUTE(SUBSTITUTE(SUBSTITUTE(SUBSTITUTE(SUBSTITUTE(SUBSTITUTE(SUBSTITUTE(SUBSTITUTE(SUBSTITUTE(AE353,"%","%25"),"&amp;","%26"),"#","%23"),"+","%2B"),"=","%3D"),"?","%3F"),CHAR(34),"%22"),CHAR(10),"%0A"),CHAR(13),"")," ","+")</f>
        <v/>
      </c>
      <c r="AG353" s="32">
        <f>IF(OR(AD353="",AE353=""),"",'Start Here'!$B$20&amp;"#p="&amp;SUBSTITUTE(AD353,"+","%2B")&amp;"&amp;n="&amp;AF353&amp;"&amp;m="&amp;SUBSTITUTE('Start Here'!$B$24,"{name}",AF353))</f>
        <v/>
      </c>
      <c r="AH353" s="32">
        <f>N(AH352)+W353</f>
        <v/>
      </c>
      <c r="AI353" s="32">
        <f>IF(W353=1,AH353,"")</f>
        <v/>
      </c>
    </row>
    <row r="354">
      <c r="A354" s="32">
        <f>IF(INDEX('Form Responses'!$A:$A,ROW())="","",INDEX('Form Responses'!$A:$A,ROW()))</f>
        <v/>
      </c>
      <c r="B354" s="32">
        <f>TRIM(INDEX('Form Responses'!$B:$B,ROW())&amp;"")</f>
        <v/>
      </c>
      <c r="C354" s="32">
        <f>IF(B354="","",TRIM(INDEX('Form Responses'!$C:$C,ROW())&amp;""))</f>
        <v/>
      </c>
      <c r="D354" s="32">
        <f>SUBSTITUTE(SUBSTITUTE(SUBSTITUTE(SUBSTITUTE(SUBSTITUTE(SUBSTITUTE(SUBSTITUTE(SUBSTITUTE(C354," ",""),"-",""),"(",""),")",""),".",""),"+",""),"/",""),CHAR(160),"")</f>
        <v/>
      </c>
      <c r="E354" s="32">
        <f>IF(LEN(D354)&gt;=10,RIGHT(D354,10),D354)</f>
        <v/>
      </c>
      <c r="F354" s="32">
        <f>IF(B354="","",TRIM(INDEX('Form Responses'!$D:$D,ROW())&amp;""))</f>
        <v/>
      </c>
      <c r="G354" s="32">
        <f>IF(B354="","",IF(LEFT(TRIM(INDEX('Form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4" s="32">
        <f>IF(B354="","",MAX(0,IFERROR(INT(--(INDEX('Form Responses'!$F:$F,ROW())&amp;"")),1)))</f>
        <v/>
      </c>
      <c r="I354" s="32">
        <f>IF(B354="","",MAX(0,IFERROR(INT(--(INDEX('Form Responses'!$G:$G,ROW())&amp;"")),0)))</f>
        <v/>
      </c>
      <c r="J354" s="32">
        <f>IF(B354="","",TRIM(INDEX('Form Responses'!$H:$H,ROW())&amp;""))</f>
        <v/>
      </c>
      <c r="K354" s="32">
        <f>IF(B354="","",TRIM(INDEX('Form Responses'!$I:$I,ROW())&amp;""))</f>
        <v/>
      </c>
      <c r="L354" s="32">
        <f>IF(B354="","",TRIM(INDEX('Form Responses'!$J:$J,ROW())&amp;""))</f>
        <v/>
      </c>
      <c r="M354" s="32">
        <f>IF(B354="","",TRIM(INDEX('Form Responses'!$K:$K,ROW())&amp;""))</f>
        <v/>
      </c>
      <c r="N354" s="32">
        <f>IF(B354="","",IF(E354&lt;&gt;"","P"&amp;E354,"N"&amp;B354))</f>
        <v/>
      </c>
      <c r="O354" s="32">
        <f>IF(N354="",0,IF(COUNTIF(N355:N$602,N354)=0,1,0))</f>
        <v/>
      </c>
      <c r="P354" s="32">
        <f>IF(AND(O354=1,E354&lt;&gt;""),E354,"")</f>
        <v/>
      </c>
      <c r="Q354" s="32">
        <f>IF(O354=1,B354,"")</f>
        <v/>
      </c>
      <c r="R354" s="32">
        <f>IF(O354&lt;&gt;1,"",IF(E354&lt;&gt;"",IFERROR(MATCH(E354,Guests!$S$6:$S$505,0)+5,IFERROR(MATCH(B354,Guests!$A$6:$A$505,0)+5,"")),IFERROR(MATCH(B354,Guests!$A$6:$A$505,0)+5,"")))</f>
        <v/>
      </c>
      <c r="S354" s="32">
        <f>IF(R354="","",TRIM(INDEX(Guests!$E$1:$E$505,R354)&amp;""))</f>
        <v/>
      </c>
      <c r="T354" s="32">
        <f>IF(R354="","",IF(S354="",1,COUNTIF(Guests!$E$6:$E$505,S354)))</f>
        <v/>
      </c>
      <c r="U354" s="32">
        <f>IF(R354="","",IF(S354="",1,IF(COUNTIF(S$1:S353,S354)=0,1,0)))</f>
        <v/>
      </c>
      <c r="V354" s="32">
        <f>IF(AND(R354&lt;&gt;"",G354="Attending",U354=1),MAX(0,H354+I354-T354),0)</f>
        <v/>
      </c>
      <c r="W354" s="32">
        <f>IF(AND(O354=1,R354=""),1,0)</f>
        <v/>
      </c>
      <c r="X354" s="32">
        <f>IF(B354="",0,H354+I354)</f>
        <v/>
      </c>
      <c r="Y354" s="32">
        <f>N(Y353)+O354</f>
        <v/>
      </c>
      <c r="Z354" s="32">
        <f>IF(O354=1,Y354,"")</f>
        <v/>
      </c>
      <c r="AA354" s="32">
        <f>IF(AND(W354=1,G354="Not sure yet"),1,0)</f>
        <v/>
      </c>
      <c r="AB354" s="32">
        <f>N(AB353)+AA354</f>
        <v/>
      </c>
      <c r="AC354" s="32">
        <f>IF(AA354=1,AB354,"")</f>
        <v/>
      </c>
      <c r="AD354" s="32">
        <f>IF(D354="","",IF(LEN(D354)=10,"+1"&amp;D354,IF(AND(LEN(D354)=11,LEFT(D354,1)="1"),"+"&amp;D354,IF(LEFT(C354,1)="+","+"&amp;D354,D354))))</f>
        <v/>
      </c>
      <c r="AE354" s="32">
        <f>IF(B354="","",PROPER(IFERROR(LEFT(B354,FIND(" ",B354)-1),B354)))</f>
        <v/>
      </c>
      <c r="AF354" s="32">
        <f>SUBSTITUTE(SUBSTITUTE(SUBSTITUTE(SUBSTITUTE(SUBSTITUTE(SUBSTITUTE(SUBSTITUTE(SUBSTITUTE(SUBSTITUTE(SUBSTITUTE(AE354,"%","%25"),"&amp;","%26"),"#","%23"),"+","%2B"),"=","%3D"),"?","%3F"),CHAR(34),"%22"),CHAR(10),"%0A"),CHAR(13),"")," ","+")</f>
        <v/>
      </c>
      <c r="AG354" s="32">
        <f>IF(OR(AD354="",AE354=""),"",'Start Here'!$B$20&amp;"#p="&amp;SUBSTITUTE(AD354,"+","%2B")&amp;"&amp;n="&amp;AF354&amp;"&amp;m="&amp;SUBSTITUTE('Start Here'!$B$24,"{name}",AF354))</f>
        <v/>
      </c>
      <c r="AH354" s="32">
        <f>N(AH353)+W354</f>
        <v/>
      </c>
      <c r="AI354" s="32">
        <f>IF(W354=1,AH354,"")</f>
        <v/>
      </c>
    </row>
    <row r="355">
      <c r="A355" s="32">
        <f>IF(INDEX('Form Responses'!$A:$A,ROW())="","",INDEX('Form Responses'!$A:$A,ROW()))</f>
        <v/>
      </c>
      <c r="B355" s="32">
        <f>TRIM(INDEX('Form Responses'!$B:$B,ROW())&amp;"")</f>
        <v/>
      </c>
      <c r="C355" s="32">
        <f>IF(B355="","",TRIM(INDEX('Form Responses'!$C:$C,ROW())&amp;""))</f>
        <v/>
      </c>
      <c r="D355" s="32">
        <f>SUBSTITUTE(SUBSTITUTE(SUBSTITUTE(SUBSTITUTE(SUBSTITUTE(SUBSTITUTE(SUBSTITUTE(SUBSTITUTE(C355," ",""),"-",""),"(",""),")",""),".",""),"+",""),"/",""),CHAR(160),"")</f>
        <v/>
      </c>
      <c r="E355" s="32">
        <f>IF(LEN(D355)&gt;=10,RIGHT(D355,10),D355)</f>
        <v/>
      </c>
      <c r="F355" s="32">
        <f>IF(B355="","",TRIM(INDEX('Form Responses'!$D:$D,ROW())&amp;""))</f>
        <v/>
      </c>
      <c r="G355" s="32">
        <f>IF(B355="","",IF(LEFT(TRIM(INDEX('Form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5" s="32">
        <f>IF(B355="","",MAX(0,IFERROR(INT(--(INDEX('Form Responses'!$F:$F,ROW())&amp;"")),1)))</f>
        <v/>
      </c>
      <c r="I355" s="32">
        <f>IF(B355="","",MAX(0,IFERROR(INT(--(INDEX('Form Responses'!$G:$G,ROW())&amp;"")),0)))</f>
        <v/>
      </c>
      <c r="J355" s="32">
        <f>IF(B355="","",TRIM(INDEX('Form Responses'!$H:$H,ROW())&amp;""))</f>
        <v/>
      </c>
      <c r="K355" s="32">
        <f>IF(B355="","",TRIM(INDEX('Form Responses'!$I:$I,ROW())&amp;""))</f>
        <v/>
      </c>
      <c r="L355" s="32">
        <f>IF(B355="","",TRIM(INDEX('Form Responses'!$J:$J,ROW())&amp;""))</f>
        <v/>
      </c>
      <c r="M355" s="32">
        <f>IF(B355="","",TRIM(INDEX('Form Responses'!$K:$K,ROW())&amp;""))</f>
        <v/>
      </c>
      <c r="N355" s="32">
        <f>IF(B355="","",IF(E355&lt;&gt;"","P"&amp;E355,"N"&amp;B355))</f>
        <v/>
      </c>
      <c r="O355" s="32">
        <f>IF(N355="",0,IF(COUNTIF(N356:N$602,N355)=0,1,0))</f>
        <v/>
      </c>
      <c r="P355" s="32">
        <f>IF(AND(O355=1,E355&lt;&gt;""),E355,"")</f>
        <v/>
      </c>
      <c r="Q355" s="32">
        <f>IF(O355=1,B355,"")</f>
        <v/>
      </c>
      <c r="R355" s="32">
        <f>IF(O355&lt;&gt;1,"",IF(E355&lt;&gt;"",IFERROR(MATCH(E355,Guests!$S$6:$S$505,0)+5,IFERROR(MATCH(B355,Guests!$A$6:$A$505,0)+5,"")),IFERROR(MATCH(B355,Guests!$A$6:$A$505,0)+5,"")))</f>
        <v/>
      </c>
      <c r="S355" s="32">
        <f>IF(R355="","",TRIM(INDEX(Guests!$E$1:$E$505,R355)&amp;""))</f>
        <v/>
      </c>
      <c r="T355" s="32">
        <f>IF(R355="","",IF(S355="",1,COUNTIF(Guests!$E$6:$E$505,S355)))</f>
        <v/>
      </c>
      <c r="U355" s="32">
        <f>IF(R355="","",IF(S355="",1,IF(COUNTIF(S$1:S354,S355)=0,1,0)))</f>
        <v/>
      </c>
      <c r="V355" s="32">
        <f>IF(AND(R355&lt;&gt;"",G355="Attending",U355=1),MAX(0,H355+I355-T355),0)</f>
        <v/>
      </c>
      <c r="W355" s="32">
        <f>IF(AND(O355=1,R355=""),1,0)</f>
        <v/>
      </c>
      <c r="X355" s="32">
        <f>IF(B355="",0,H355+I355)</f>
        <v/>
      </c>
      <c r="Y355" s="32">
        <f>N(Y354)+O355</f>
        <v/>
      </c>
      <c r="Z355" s="32">
        <f>IF(O355=1,Y355,"")</f>
        <v/>
      </c>
      <c r="AA355" s="32">
        <f>IF(AND(W355=1,G355="Not sure yet"),1,0)</f>
        <v/>
      </c>
      <c r="AB355" s="32">
        <f>N(AB354)+AA355</f>
        <v/>
      </c>
      <c r="AC355" s="32">
        <f>IF(AA355=1,AB355,"")</f>
        <v/>
      </c>
      <c r="AD355" s="32">
        <f>IF(D355="","",IF(LEN(D355)=10,"+1"&amp;D355,IF(AND(LEN(D355)=11,LEFT(D355,1)="1"),"+"&amp;D355,IF(LEFT(C355,1)="+","+"&amp;D355,D355))))</f>
        <v/>
      </c>
      <c r="AE355" s="32">
        <f>IF(B355="","",PROPER(IFERROR(LEFT(B355,FIND(" ",B355)-1),B355)))</f>
        <v/>
      </c>
      <c r="AF355" s="32">
        <f>SUBSTITUTE(SUBSTITUTE(SUBSTITUTE(SUBSTITUTE(SUBSTITUTE(SUBSTITUTE(SUBSTITUTE(SUBSTITUTE(SUBSTITUTE(SUBSTITUTE(AE355,"%","%25"),"&amp;","%26"),"#","%23"),"+","%2B"),"=","%3D"),"?","%3F"),CHAR(34),"%22"),CHAR(10),"%0A"),CHAR(13),"")," ","+")</f>
        <v/>
      </c>
      <c r="AG355" s="32">
        <f>IF(OR(AD355="",AE355=""),"",'Start Here'!$B$20&amp;"#p="&amp;SUBSTITUTE(AD355,"+","%2B")&amp;"&amp;n="&amp;AF355&amp;"&amp;m="&amp;SUBSTITUTE('Start Here'!$B$24,"{name}",AF355))</f>
        <v/>
      </c>
      <c r="AH355" s="32">
        <f>N(AH354)+W355</f>
        <v/>
      </c>
      <c r="AI355" s="32">
        <f>IF(W355=1,AH355,"")</f>
        <v/>
      </c>
    </row>
    <row r="356">
      <c r="A356" s="32">
        <f>IF(INDEX('Form Responses'!$A:$A,ROW())="","",INDEX('Form Responses'!$A:$A,ROW()))</f>
        <v/>
      </c>
      <c r="B356" s="32">
        <f>TRIM(INDEX('Form Responses'!$B:$B,ROW())&amp;"")</f>
        <v/>
      </c>
      <c r="C356" s="32">
        <f>IF(B356="","",TRIM(INDEX('Form Responses'!$C:$C,ROW())&amp;""))</f>
        <v/>
      </c>
      <c r="D356" s="32">
        <f>SUBSTITUTE(SUBSTITUTE(SUBSTITUTE(SUBSTITUTE(SUBSTITUTE(SUBSTITUTE(SUBSTITUTE(SUBSTITUTE(C356," ",""),"-",""),"(",""),")",""),".",""),"+",""),"/",""),CHAR(160),"")</f>
        <v/>
      </c>
      <c r="E356" s="32">
        <f>IF(LEN(D356)&gt;=10,RIGHT(D356,10),D356)</f>
        <v/>
      </c>
      <c r="F356" s="32">
        <f>IF(B356="","",TRIM(INDEX('Form Responses'!$D:$D,ROW())&amp;""))</f>
        <v/>
      </c>
      <c r="G356" s="32">
        <f>IF(B356="","",IF(LEFT(TRIM(INDEX('Form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6" s="32">
        <f>IF(B356="","",MAX(0,IFERROR(INT(--(INDEX('Form Responses'!$F:$F,ROW())&amp;"")),1)))</f>
        <v/>
      </c>
      <c r="I356" s="32">
        <f>IF(B356="","",MAX(0,IFERROR(INT(--(INDEX('Form Responses'!$G:$G,ROW())&amp;"")),0)))</f>
        <v/>
      </c>
      <c r="J356" s="32">
        <f>IF(B356="","",TRIM(INDEX('Form Responses'!$H:$H,ROW())&amp;""))</f>
        <v/>
      </c>
      <c r="K356" s="32">
        <f>IF(B356="","",TRIM(INDEX('Form Responses'!$I:$I,ROW())&amp;""))</f>
        <v/>
      </c>
      <c r="L356" s="32">
        <f>IF(B356="","",TRIM(INDEX('Form Responses'!$J:$J,ROW())&amp;""))</f>
        <v/>
      </c>
      <c r="M356" s="32">
        <f>IF(B356="","",TRIM(INDEX('Form Responses'!$K:$K,ROW())&amp;""))</f>
        <v/>
      </c>
      <c r="N356" s="32">
        <f>IF(B356="","",IF(E356&lt;&gt;"","P"&amp;E356,"N"&amp;B356))</f>
        <v/>
      </c>
      <c r="O356" s="32">
        <f>IF(N356="",0,IF(COUNTIF(N357:N$602,N356)=0,1,0))</f>
        <v/>
      </c>
      <c r="P356" s="32">
        <f>IF(AND(O356=1,E356&lt;&gt;""),E356,"")</f>
        <v/>
      </c>
      <c r="Q356" s="32">
        <f>IF(O356=1,B356,"")</f>
        <v/>
      </c>
      <c r="R356" s="32">
        <f>IF(O356&lt;&gt;1,"",IF(E356&lt;&gt;"",IFERROR(MATCH(E356,Guests!$S$6:$S$505,0)+5,IFERROR(MATCH(B356,Guests!$A$6:$A$505,0)+5,"")),IFERROR(MATCH(B356,Guests!$A$6:$A$505,0)+5,"")))</f>
        <v/>
      </c>
      <c r="S356" s="32">
        <f>IF(R356="","",TRIM(INDEX(Guests!$E$1:$E$505,R356)&amp;""))</f>
        <v/>
      </c>
      <c r="T356" s="32">
        <f>IF(R356="","",IF(S356="",1,COUNTIF(Guests!$E$6:$E$505,S356)))</f>
        <v/>
      </c>
      <c r="U356" s="32">
        <f>IF(R356="","",IF(S356="",1,IF(COUNTIF(S$1:S355,S356)=0,1,0)))</f>
        <v/>
      </c>
      <c r="V356" s="32">
        <f>IF(AND(R356&lt;&gt;"",G356="Attending",U356=1),MAX(0,H356+I356-T356),0)</f>
        <v/>
      </c>
      <c r="W356" s="32">
        <f>IF(AND(O356=1,R356=""),1,0)</f>
        <v/>
      </c>
      <c r="X356" s="32">
        <f>IF(B356="",0,H356+I356)</f>
        <v/>
      </c>
      <c r="Y356" s="32">
        <f>N(Y355)+O356</f>
        <v/>
      </c>
      <c r="Z356" s="32">
        <f>IF(O356=1,Y356,"")</f>
        <v/>
      </c>
      <c r="AA356" s="32">
        <f>IF(AND(W356=1,G356="Not sure yet"),1,0)</f>
        <v/>
      </c>
      <c r="AB356" s="32">
        <f>N(AB355)+AA356</f>
        <v/>
      </c>
      <c r="AC356" s="32">
        <f>IF(AA356=1,AB356,"")</f>
        <v/>
      </c>
      <c r="AD356" s="32">
        <f>IF(D356="","",IF(LEN(D356)=10,"+1"&amp;D356,IF(AND(LEN(D356)=11,LEFT(D356,1)="1"),"+"&amp;D356,IF(LEFT(C356,1)="+","+"&amp;D356,D356))))</f>
        <v/>
      </c>
      <c r="AE356" s="32">
        <f>IF(B356="","",PROPER(IFERROR(LEFT(B356,FIND(" ",B356)-1),B356)))</f>
        <v/>
      </c>
      <c r="AF356" s="32">
        <f>SUBSTITUTE(SUBSTITUTE(SUBSTITUTE(SUBSTITUTE(SUBSTITUTE(SUBSTITUTE(SUBSTITUTE(SUBSTITUTE(SUBSTITUTE(SUBSTITUTE(AE356,"%","%25"),"&amp;","%26"),"#","%23"),"+","%2B"),"=","%3D"),"?","%3F"),CHAR(34),"%22"),CHAR(10),"%0A"),CHAR(13),"")," ","+")</f>
        <v/>
      </c>
      <c r="AG356" s="32">
        <f>IF(OR(AD356="",AE356=""),"",'Start Here'!$B$20&amp;"#p="&amp;SUBSTITUTE(AD356,"+","%2B")&amp;"&amp;n="&amp;AF356&amp;"&amp;m="&amp;SUBSTITUTE('Start Here'!$B$24,"{name}",AF356))</f>
        <v/>
      </c>
      <c r="AH356" s="32">
        <f>N(AH355)+W356</f>
        <v/>
      </c>
      <c r="AI356" s="32">
        <f>IF(W356=1,AH356,"")</f>
        <v/>
      </c>
    </row>
    <row r="357">
      <c r="A357" s="32">
        <f>IF(INDEX('Form Responses'!$A:$A,ROW())="","",INDEX('Form Responses'!$A:$A,ROW()))</f>
        <v/>
      </c>
      <c r="B357" s="32">
        <f>TRIM(INDEX('Form Responses'!$B:$B,ROW())&amp;"")</f>
        <v/>
      </c>
      <c r="C357" s="32">
        <f>IF(B357="","",TRIM(INDEX('Form Responses'!$C:$C,ROW())&amp;""))</f>
        <v/>
      </c>
      <c r="D357" s="32">
        <f>SUBSTITUTE(SUBSTITUTE(SUBSTITUTE(SUBSTITUTE(SUBSTITUTE(SUBSTITUTE(SUBSTITUTE(SUBSTITUTE(C357," ",""),"-",""),"(",""),")",""),".",""),"+",""),"/",""),CHAR(160),"")</f>
        <v/>
      </c>
      <c r="E357" s="32">
        <f>IF(LEN(D357)&gt;=10,RIGHT(D357,10),D357)</f>
        <v/>
      </c>
      <c r="F357" s="32">
        <f>IF(B357="","",TRIM(INDEX('Form Responses'!$D:$D,ROW())&amp;""))</f>
        <v/>
      </c>
      <c r="G357" s="32">
        <f>IF(B357="","",IF(LEFT(TRIM(INDEX('Form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7" s="32">
        <f>IF(B357="","",MAX(0,IFERROR(INT(--(INDEX('Form Responses'!$F:$F,ROW())&amp;"")),1)))</f>
        <v/>
      </c>
      <c r="I357" s="32">
        <f>IF(B357="","",MAX(0,IFERROR(INT(--(INDEX('Form Responses'!$G:$G,ROW())&amp;"")),0)))</f>
        <v/>
      </c>
      <c r="J357" s="32">
        <f>IF(B357="","",TRIM(INDEX('Form Responses'!$H:$H,ROW())&amp;""))</f>
        <v/>
      </c>
      <c r="K357" s="32">
        <f>IF(B357="","",TRIM(INDEX('Form Responses'!$I:$I,ROW())&amp;""))</f>
        <v/>
      </c>
      <c r="L357" s="32">
        <f>IF(B357="","",TRIM(INDEX('Form Responses'!$J:$J,ROW())&amp;""))</f>
        <v/>
      </c>
      <c r="M357" s="32">
        <f>IF(B357="","",TRIM(INDEX('Form Responses'!$K:$K,ROW())&amp;""))</f>
        <v/>
      </c>
      <c r="N357" s="32">
        <f>IF(B357="","",IF(E357&lt;&gt;"","P"&amp;E357,"N"&amp;B357))</f>
        <v/>
      </c>
      <c r="O357" s="32">
        <f>IF(N357="",0,IF(COUNTIF(N358:N$602,N357)=0,1,0))</f>
        <v/>
      </c>
      <c r="P357" s="32">
        <f>IF(AND(O357=1,E357&lt;&gt;""),E357,"")</f>
        <v/>
      </c>
      <c r="Q357" s="32">
        <f>IF(O357=1,B357,"")</f>
        <v/>
      </c>
      <c r="R357" s="32">
        <f>IF(O357&lt;&gt;1,"",IF(E357&lt;&gt;"",IFERROR(MATCH(E357,Guests!$S$6:$S$505,0)+5,IFERROR(MATCH(B357,Guests!$A$6:$A$505,0)+5,"")),IFERROR(MATCH(B357,Guests!$A$6:$A$505,0)+5,"")))</f>
        <v/>
      </c>
      <c r="S357" s="32">
        <f>IF(R357="","",TRIM(INDEX(Guests!$E$1:$E$505,R357)&amp;""))</f>
        <v/>
      </c>
      <c r="T357" s="32">
        <f>IF(R357="","",IF(S357="",1,COUNTIF(Guests!$E$6:$E$505,S357)))</f>
        <v/>
      </c>
      <c r="U357" s="32">
        <f>IF(R357="","",IF(S357="",1,IF(COUNTIF(S$1:S356,S357)=0,1,0)))</f>
        <v/>
      </c>
      <c r="V357" s="32">
        <f>IF(AND(R357&lt;&gt;"",G357="Attending",U357=1),MAX(0,H357+I357-T357),0)</f>
        <v/>
      </c>
      <c r="W357" s="32">
        <f>IF(AND(O357=1,R357=""),1,0)</f>
        <v/>
      </c>
      <c r="X357" s="32">
        <f>IF(B357="",0,H357+I357)</f>
        <v/>
      </c>
      <c r="Y357" s="32">
        <f>N(Y356)+O357</f>
        <v/>
      </c>
      <c r="Z357" s="32">
        <f>IF(O357=1,Y357,"")</f>
        <v/>
      </c>
      <c r="AA357" s="32">
        <f>IF(AND(W357=1,G357="Not sure yet"),1,0)</f>
        <v/>
      </c>
      <c r="AB357" s="32">
        <f>N(AB356)+AA357</f>
        <v/>
      </c>
      <c r="AC357" s="32">
        <f>IF(AA357=1,AB357,"")</f>
        <v/>
      </c>
      <c r="AD357" s="32">
        <f>IF(D357="","",IF(LEN(D357)=10,"+1"&amp;D357,IF(AND(LEN(D357)=11,LEFT(D357,1)="1"),"+"&amp;D357,IF(LEFT(C357,1)="+","+"&amp;D357,D357))))</f>
        <v/>
      </c>
      <c r="AE357" s="32">
        <f>IF(B357="","",PROPER(IFERROR(LEFT(B357,FIND(" ",B357)-1),B357)))</f>
        <v/>
      </c>
      <c r="AF357" s="32">
        <f>SUBSTITUTE(SUBSTITUTE(SUBSTITUTE(SUBSTITUTE(SUBSTITUTE(SUBSTITUTE(SUBSTITUTE(SUBSTITUTE(SUBSTITUTE(SUBSTITUTE(AE357,"%","%25"),"&amp;","%26"),"#","%23"),"+","%2B"),"=","%3D"),"?","%3F"),CHAR(34),"%22"),CHAR(10),"%0A"),CHAR(13),"")," ","+")</f>
        <v/>
      </c>
      <c r="AG357" s="32">
        <f>IF(OR(AD357="",AE357=""),"",'Start Here'!$B$20&amp;"#p="&amp;SUBSTITUTE(AD357,"+","%2B")&amp;"&amp;n="&amp;AF357&amp;"&amp;m="&amp;SUBSTITUTE('Start Here'!$B$24,"{name}",AF357))</f>
        <v/>
      </c>
      <c r="AH357" s="32">
        <f>N(AH356)+W357</f>
        <v/>
      </c>
      <c r="AI357" s="32">
        <f>IF(W357=1,AH357,"")</f>
        <v/>
      </c>
    </row>
    <row r="358">
      <c r="A358" s="32">
        <f>IF(INDEX('Form Responses'!$A:$A,ROW())="","",INDEX('Form Responses'!$A:$A,ROW()))</f>
        <v/>
      </c>
      <c r="B358" s="32">
        <f>TRIM(INDEX('Form Responses'!$B:$B,ROW())&amp;"")</f>
        <v/>
      </c>
      <c r="C358" s="32">
        <f>IF(B358="","",TRIM(INDEX('Form Responses'!$C:$C,ROW())&amp;""))</f>
        <v/>
      </c>
      <c r="D358" s="32">
        <f>SUBSTITUTE(SUBSTITUTE(SUBSTITUTE(SUBSTITUTE(SUBSTITUTE(SUBSTITUTE(SUBSTITUTE(SUBSTITUTE(C358," ",""),"-",""),"(",""),")",""),".",""),"+",""),"/",""),CHAR(160),"")</f>
        <v/>
      </c>
      <c r="E358" s="32">
        <f>IF(LEN(D358)&gt;=10,RIGHT(D358,10),D358)</f>
        <v/>
      </c>
      <c r="F358" s="32">
        <f>IF(B358="","",TRIM(INDEX('Form Responses'!$D:$D,ROW())&amp;""))</f>
        <v/>
      </c>
      <c r="G358" s="32">
        <f>IF(B358="","",IF(LEFT(TRIM(INDEX('Form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8" s="32">
        <f>IF(B358="","",MAX(0,IFERROR(INT(--(INDEX('Form Responses'!$F:$F,ROW())&amp;"")),1)))</f>
        <v/>
      </c>
      <c r="I358" s="32">
        <f>IF(B358="","",MAX(0,IFERROR(INT(--(INDEX('Form Responses'!$G:$G,ROW())&amp;"")),0)))</f>
        <v/>
      </c>
      <c r="J358" s="32">
        <f>IF(B358="","",TRIM(INDEX('Form Responses'!$H:$H,ROW())&amp;""))</f>
        <v/>
      </c>
      <c r="K358" s="32">
        <f>IF(B358="","",TRIM(INDEX('Form Responses'!$I:$I,ROW())&amp;""))</f>
        <v/>
      </c>
      <c r="L358" s="32">
        <f>IF(B358="","",TRIM(INDEX('Form Responses'!$J:$J,ROW())&amp;""))</f>
        <v/>
      </c>
      <c r="M358" s="32">
        <f>IF(B358="","",TRIM(INDEX('Form Responses'!$K:$K,ROW())&amp;""))</f>
        <v/>
      </c>
      <c r="N358" s="32">
        <f>IF(B358="","",IF(E358&lt;&gt;"","P"&amp;E358,"N"&amp;B358))</f>
        <v/>
      </c>
      <c r="O358" s="32">
        <f>IF(N358="",0,IF(COUNTIF(N359:N$602,N358)=0,1,0))</f>
        <v/>
      </c>
      <c r="P358" s="32">
        <f>IF(AND(O358=1,E358&lt;&gt;""),E358,"")</f>
        <v/>
      </c>
      <c r="Q358" s="32">
        <f>IF(O358=1,B358,"")</f>
        <v/>
      </c>
      <c r="R358" s="32">
        <f>IF(O358&lt;&gt;1,"",IF(E358&lt;&gt;"",IFERROR(MATCH(E358,Guests!$S$6:$S$505,0)+5,IFERROR(MATCH(B358,Guests!$A$6:$A$505,0)+5,"")),IFERROR(MATCH(B358,Guests!$A$6:$A$505,0)+5,"")))</f>
        <v/>
      </c>
      <c r="S358" s="32">
        <f>IF(R358="","",TRIM(INDEX(Guests!$E$1:$E$505,R358)&amp;""))</f>
        <v/>
      </c>
      <c r="T358" s="32">
        <f>IF(R358="","",IF(S358="",1,COUNTIF(Guests!$E$6:$E$505,S358)))</f>
        <v/>
      </c>
      <c r="U358" s="32">
        <f>IF(R358="","",IF(S358="",1,IF(COUNTIF(S$1:S357,S358)=0,1,0)))</f>
        <v/>
      </c>
      <c r="V358" s="32">
        <f>IF(AND(R358&lt;&gt;"",G358="Attending",U358=1),MAX(0,H358+I358-T358),0)</f>
        <v/>
      </c>
      <c r="W358" s="32">
        <f>IF(AND(O358=1,R358=""),1,0)</f>
        <v/>
      </c>
      <c r="X358" s="32">
        <f>IF(B358="",0,H358+I358)</f>
        <v/>
      </c>
      <c r="Y358" s="32">
        <f>N(Y357)+O358</f>
        <v/>
      </c>
      <c r="Z358" s="32">
        <f>IF(O358=1,Y358,"")</f>
        <v/>
      </c>
      <c r="AA358" s="32">
        <f>IF(AND(W358=1,G358="Not sure yet"),1,0)</f>
        <v/>
      </c>
      <c r="AB358" s="32">
        <f>N(AB357)+AA358</f>
        <v/>
      </c>
      <c r="AC358" s="32">
        <f>IF(AA358=1,AB358,"")</f>
        <v/>
      </c>
      <c r="AD358" s="32">
        <f>IF(D358="","",IF(LEN(D358)=10,"+1"&amp;D358,IF(AND(LEN(D358)=11,LEFT(D358,1)="1"),"+"&amp;D358,IF(LEFT(C358,1)="+","+"&amp;D358,D358))))</f>
        <v/>
      </c>
      <c r="AE358" s="32">
        <f>IF(B358="","",PROPER(IFERROR(LEFT(B358,FIND(" ",B358)-1),B358)))</f>
        <v/>
      </c>
      <c r="AF358" s="32">
        <f>SUBSTITUTE(SUBSTITUTE(SUBSTITUTE(SUBSTITUTE(SUBSTITUTE(SUBSTITUTE(SUBSTITUTE(SUBSTITUTE(SUBSTITUTE(SUBSTITUTE(AE358,"%","%25"),"&amp;","%26"),"#","%23"),"+","%2B"),"=","%3D"),"?","%3F"),CHAR(34),"%22"),CHAR(10),"%0A"),CHAR(13),"")," ","+")</f>
        <v/>
      </c>
      <c r="AG358" s="32">
        <f>IF(OR(AD358="",AE358=""),"",'Start Here'!$B$20&amp;"#p="&amp;SUBSTITUTE(AD358,"+","%2B")&amp;"&amp;n="&amp;AF358&amp;"&amp;m="&amp;SUBSTITUTE('Start Here'!$B$24,"{name}",AF358))</f>
        <v/>
      </c>
      <c r="AH358" s="32">
        <f>N(AH357)+W358</f>
        <v/>
      </c>
      <c r="AI358" s="32">
        <f>IF(W358=1,AH358,"")</f>
        <v/>
      </c>
    </row>
    <row r="359">
      <c r="A359" s="32">
        <f>IF(INDEX('Form Responses'!$A:$A,ROW())="","",INDEX('Form Responses'!$A:$A,ROW()))</f>
        <v/>
      </c>
      <c r="B359" s="32">
        <f>TRIM(INDEX('Form Responses'!$B:$B,ROW())&amp;"")</f>
        <v/>
      </c>
      <c r="C359" s="32">
        <f>IF(B359="","",TRIM(INDEX('Form Responses'!$C:$C,ROW())&amp;""))</f>
        <v/>
      </c>
      <c r="D359" s="32">
        <f>SUBSTITUTE(SUBSTITUTE(SUBSTITUTE(SUBSTITUTE(SUBSTITUTE(SUBSTITUTE(SUBSTITUTE(SUBSTITUTE(C359," ",""),"-",""),"(",""),")",""),".",""),"+",""),"/",""),CHAR(160),"")</f>
        <v/>
      </c>
      <c r="E359" s="32">
        <f>IF(LEN(D359)&gt;=10,RIGHT(D359,10),D359)</f>
        <v/>
      </c>
      <c r="F359" s="32">
        <f>IF(B359="","",TRIM(INDEX('Form Responses'!$D:$D,ROW())&amp;""))</f>
        <v/>
      </c>
      <c r="G359" s="32">
        <f>IF(B359="","",IF(LEFT(TRIM(INDEX('Form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59" s="32">
        <f>IF(B359="","",MAX(0,IFERROR(INT(--(INDEX('Form Responses'!$F:$F,ROW())&amp;"")),1)))</f>
        <v/>
      </c>
      <c r="I359" s="32">
        <f>IF(B359="","",MAX(0,IFERROR(INT(--(INDEX('Form Responses'!$G:$G,ROW())&amp;"")),0)))</f>
        <v/>
      </c>
      <c r="J359" s="32">
        <f>IF(B359="","",TRIM(INDEX('Form Responses'!$H:$H,ROW())&amp;""))</f>
        <v/>
      </c>
      <c r="K359" s="32">
        <f>IF(B359="","",TRIM(INDEX('Form Responses'!$I:$I,ROW())&amp;""))</f>
        <v/>
      </c>
      <c r="L359" s="32">
        <f>IF(B359="","",TRIM(INDEX('Form Responses'!$J:$J,ROW())&amp;""))</f>
        <v/>
      </c>
      <c r="M359" s="32">
        <f>IF(B359="","",TRIM(INDEX('Form Responses'!$K:$K,ROW())&amp;""))</f>
        <v/>
      </c>
      <c r="N359" s="32">
        <f>IF(B359="","",IF(E359&lt;&gt;"","P"&amp;E359,"N"&amp;B359))</f>
        <v/>
      </c>
      <c r="O359" s="32">
        <f>IF(N359="",0,IF(COUNTIF(N360:N$602,N359)=0,1,0))</f>
        <v/>
      </c>
      <c r="P359" s="32">
        <f>IF(AND(O359=1,E359&lt;&gt;""),E359,"")</f>
        <v/>
      </c>
      <c r="Q359" s="32">
        <f>IF(O359=1,B359,"")</f>
        <v/>
      </c>
      <c r="R359" s="32">
        <f>IF(O359&lt;&gt;1,"",IF(E359&lt;&gt;"",IFERROR(MATCH(E359,Guests!$S$6:$S$505,0)+5,IFERROR(MATCH(B359,Guests!$A$6:$A$505,0)+5,"")),IFERROR(MATCH(B359,Guests!$A$6:$A$505,0)+5,"")))</f>
        <v/>
      </c>
      <c r="S359" s="32">
        <f>IF(R359="","",TRIM(INDEX(Guests!$E$1:$E$505,R359)&amp;""))</f>
        <v/>
      </c>
      <c r="T359" s="32">
        <f>IF(R359="","",IF(S359="",1,COUNTIF(Guests!$E$6:$E$505,S359)))</f>
        <v/>
      </c>
      <c r="U359" s="32">
        <f>IF(R359="","",IF(S359="",1,IF(COUNTIF(S$1:S358,S359)=0,1,0)))</f>
        <v/>
      </c>
      <c r="V359" s="32">
        <f>IF(AND(R359&lt;&gt;"",G359="Attending",U359=1),MAX(0,H359+I359-T359),0)</f>
        <v/>
      </c>
      <c r="W359" s="32">
        <f>IF(AND(O359=1,R359=""),1,0)</f>
        <v/>
      </c>
      <c r="X359" s="32">
        <f>IF(B359="",0,H359+I359)</f>
        <v/>
      </c>
      <c r="Y359" s="32">
        <f>N(Y358)+O359</f>
        <v/>
      </c>
      <c r="Z359" s="32">
        <f>IF(O359=1,Y359,"")</f>
        <v/>
      </c>
      <c r="AA359" s="32">
        <f>IF(AND(W359=1,G359="Not sure yet"),1,0)</f>
        <v/>
      </c>
      <c r="AB359" s="32">
        <f>N(AB358)+AA359</f>
        <v/>
      </c>
      <c r="AC359" s="32">
        <f>IF(AA359=1,AB359,"")</f>
        <v/>
      </c>
      <c r="AD359" s="32">
        <f>IF(D359="","",IF(LEN(D359)=10,"+1"&amp;D359,IF(AND(LEN(D359)=11,LEFT(D359,1)="1"),"+"&amp;D359,IF(LEFT(C359,1)="+","+"&amp;D359,D359))))</f>
        <v/>
      </c>
      <c r="AE359" s="32">
        <f>IF(B359="","",PROPER(IFERROR(LEFT(B359,FIND(" ",B359)-1),B359)))</f>
        <v/>
      </c>
      <c r="AF359" s="32">
        <f>SUBSTITUTE(SUBSTITUTE(SUBSTITUTE(SUBSTITUTE(SUBSTITUTE(SUBSTITUTE(SUBSTITUTE(SUBSTITUTE(SUBSTITUTE(SUBSTITUTE(AE359,"%","%25"),"&amp;","%26"),"#","%23"),"+","%2B"),"=","%3D"),"?","%3F"),CHAR(34),"%22"),CHAR(10),"%0A"),CHAR(13),"")," ","+")</f>
        <v/>
      </c>
      <c r="AG359" s="32">
        <f>IF(OR(AD359="",AE359=""),"",'Start Here'!$B$20&amp;"#p="&amp;SUBSTITUTE(AD359,"+","%2B")&amp;"&amp;n="&amp;AF359&amp;"&amp;m="&amp;SUBSTITUTE('Start Here'!$B$24,"{name}",AF359))</f>
        <v/>
      </c>
      <c r="AH359" s="32">
        <f>N(AH358)+W359</f>
        <v/>
      </c>
      <c r="AI359" s="32">
        <f>IF(W359=1,AH359,"")</f>
        <v/>
      </c>
    </row>
    <row r="360">
      <c r="A360" s="32">
        <f>IF(INDEX('Form Responses'!$A:$A,ROW())="","",INDEX('Form Responses'!$A:$A,ROW()))</f>
        <v/>
      </c>
      <c r="B360" s="32">
        <f>TRIM(INDEX('Form Responses'!$B:$B,ROW())&amp;"")</f>
        <v/>
      </c>
      <c r="C360" s="32">
        <f>IF(B360="","",TRIM(INDEX('Form Responses'!$C:$C,ROW())&amp;""))</f>
        <v/>
      </c>
      <c r="D360" s="32">
        <f>SUBSTITUTE(SUBSTITUTE(SUBSTITUTE(SUBSTITUTE(SUBSTITUTE(SUBSTITUTE(SUBSTITUTE(SUBSTITUTE(C360," ",""),"-",""),"(",""),")",""),".",""),"+",""),"/",""),CHAR(160),"")</f>
        <v/>
      </c>
      <c r="E360" s="32">
        <f>IF(LEN(D360)&gt;=10,RIGHT(D360,10),D360)</f>
        <v/>
      </c>
      <c r="F360" s="32">
        <f>IF(B360="","",TRIM(INDEX('Form Responses'!$D:$D,ROW())&amp;""))</f>
        <v/>
      </c>
      <c r="G360" s="32">
        <f>IF(B360="","",IF(LEFT(TRIM(INDEX('Form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0" s="32">
        <f>IF(B360="","",MAX(0,IFERROR(INT(--(INDEX('Form Responses'!$F:$F,ROW())&amp;"")),1)))</f>
        <v/>
      </c>
      <c r="I360" s="32">
        <f>IF(B360="","",MAX(0,IFERROR(INT(--(INDEX('Form Responses'!$G:$G,ROW())&amp;"")),0)))</f>
        <v/>
      </c>
      <c r="J360" s="32">
        <f>IF(B360="","",TRIM(INDEX('Form Responses'!$H:$H,ROW())&amp;""))</f>
        <v/>
      </c>
      <c r="K360" s="32">
        <f>IF(B360="","",TRIM(INDEX('Form Responses'!$I:$I,ROW())&amp;""))</f>
        <v/>
      </c>
      <c r="L360" s="32">
        <f>IF(B360="","",TRIM(INDEX('Form Responses'!$J:$J,ROW())&amp;""))</f>
        <v/>
      </c>
      <c r="M360" s="32">
        <f>IF(B360="","",TRIM(INDEX('Form Responses'!$K:$K,ROW())&amp;""))</f>
        <v/>
      </c>
      <c r="N360" s="32">
        <f>IF(B360="","",IF(E360&lt;&gt;"","P"&amp;E360,"N"&amp;B360))</f>
        <v/>
      </c>
      <c r="O360" s="32">
        <f>IF(N360="",0,IF(COUNTIF(N361:N$602,N360)=0,1,0))</f>
        <v/>
      </c>
      <c r="P360" s="32">
        <f>IF(AND(O360=1,E360&lt;&gt;""),E360,"")</f>
        <v/>
      </c>
      <c r="Q360" s="32">
        <f>IF(O360=1,B360,"")</f>
        <v/>
      </c>
      <c r="R360" s="32">
        <f>IF(O360&lt;&gt;1,"",IF(E360&lt;&gt;"",IFERROR(MATCH(E360,Guests!$S$6:$S$505,0)+5,IFERROR(MATCH(B360,Guests!$A$6:$A$505,0)+5,"")),IFERROR(MATCH(B360,Guests!$A$6:$A$505,0)+5,"")))</f>
        <v/>
      </c>
      <c r="S360" s="32">
        <f>IF(R360="","",TRIM(INDEX(Guests!$E$1:$E$505,R360)&amp;""))</f>
        <v/>
      </c>
      <c r="T360" s="32">
        <f>IF(R360="","",IF(S360="",1,COUNTIF(Guests!$E$6:$E$505,S360)))</f>
        <v/>
      </c>
      <c r="U360" s="32">
        <f>IF(R360="","",IF(S360="",1,IF(COUNTIF(S$1:S359,S360)=0,1,0)))</f>
        <v/>
      </c>
      <c r="V360" s="32">
        <f>IF(AND(R360&lt;&gt;"",G360="Attending",U360=1),MAX(0,H360+I360-T360),0)</f>
        <v/>
      </c>
      <c r="W360" s="32">
        <f>IF(AND(O360=1,R360=""),1,0)</f>
        <v/>
      </c>
      <c r="X360" s="32">
        <f>IF(B360="",0,H360+I360)</f>
        <v/>
      </c>
      <c r="Y360" s="32">
        <f>N(Y359)+O360</f>
        <v/>
      </c>
      <c r="Z360" s="32">
        <f>IF(O360=1,Y360,"")</f>
        <v/>
      </c>
      <c r="AA360" s="32">
        <f>IF(AND(W360=1,G360="Not sure yet"),1,0)</f>
        <v/>
      </c>
      <c r="AB360" s="32">
        <f>N(AB359)+AA360</f>
        <v/>
      </c>
      <c r="AC360" s="32">
        <f>IF(AA360=1,AB360,"")</f>
        <v/>
      </c>
      <c r="AD360" s="32">
        <f>IF(D360="","",IF(LEN(D360)=10,"+1"&amp;D360,IF(AND(LEN(D360)=11,LEFT(D360,1)="1"),"+"&amp;D360,IF(LEFT(C360,1)="+","+"&amp;D360,D360))))</f>
        <v/>
      </c>
      <c r="AE360" s="32">
        <f>IF(B360="","",PROPER(IFERROR(LEFT(B360,FIND(" ",B360)-1),B360)))</f>
        <v/>
      </c>
      <c r="AF360" s="32">
        <f>SUBSTITUTE(SUBSTITUTE(SUBSTITUTE(SUBSTITUTE(SUBSTITUTE(SUBSTITUTE(SUBSTITUTE(SUBSTITUTE(SUBSTITUTE(SUBSTITUTE(AE360,"%","%25"),"&amp;","%26"),"#","%23"),"+","%2B"),"=","%3D"),"?","%3F"),CHAR(34),"%22"),CHAR(10),"%0A"),CHAR(13),"")," ","+")</f>
        <v/>
      </c>
      <c r="AG360" s="32">
        <f>IF(OR(AD360="",AE360=""),"",'Start Here'!$B$20&amp;"#p="&amp;SUBSTITUTE(AD360,"+","%2B")&amp;"&amp;n="&amp;AF360&amp;"&amp;m="&amp;SUBSTITUTE('Start Here'!$B$24,"{name}",AF360))</f>
        <v/>
      </c>
      <c r="AH360" s="32">
        <f>N(AH359)+W360</f>
        <v/>
      </c>
      <c r="AI360" s="32">
        <f>IF(W360=1,AH360,"")</f>
        <v/>
      </c>
    </row>
    <row r="361">
      <c r="A361" s="32">
        <f>IF(INDEX('Form Responses'!$A:$A,ROW())="","",INDEX('Form Responses'!$A:$A,ROW()))</f>
        <v/>
      </c>
      <c r="B361" s="32">
        <f>TRIM(INDEX('Form Responses'!$B:$B,ROW())&amp;"")</f>
        <v/>
      </c>
      <c r="C361" s="32">
        <f>IF(B361="","",TRIM(INDEX('Form Responses'!$C:$C,ROW())&amp;""))</f>
        <v/>
      </c>
      <c r="D361" s="32">
        <f>SUBSTITUTE(SUBSTITUTE(SUBSTITUTE(SUBSTITUTE(SUBSTITUTE(SUBSTITUTE(SUBSTITUTE(SUBSTITUTE(C361," ",""),"-",""),"(",""),")",""),".",""),"+",""),"/",""),CHAR(160),"")</f>
        <v/>
      </c>
      <c r="E361" s="32">
        <f>IF(LEN(D361)&gt;=10,RIGHT(D361,10),D361)</f>
        <v/>
      </c>
      <c r="F361" s="32">
        <f>IF(B361="","",TRIM(INDEX('Form Responses'!$D:$D,ROW())&amp;""))</f>
        <v/>
      </c>
      <c r="G361" s="32">
        <f>IF(B361="","",IF(LEFT(TRIM(INDEX('Form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1" s="32">
        <f>IF(B361="","",MAX(0,IFERROR(INT(--(INDEX('Form Responses'!$F:$F,ROW())&amp;"")),1)))</f>
        <v/>
      </c>
      <c r="I361" s="32">
        <f>IF(B361="","",MAX(0,IFERROR(INT(--(INDEX('Form Responses'!$G:$G,ROW())&amp;"")),0)))</f>
        <v/>
      </c>
      <c r="J361" s="32">
        <f>IF(B361="","",TRIM(INDEX('Form Responses'!$H:$H,ROW())&amp;""))</f>
        <v/>
      </c>
      <c r="K361" s="32">
        <f>IF(B361="","",TRIM(INDEX('Form Responses'!$I:$I,ROW())&amp;""))</f>
        <v/>
      </c>
      <c r="L361" s="32">
        <f>IF(B361="","",TRIM(INDEX('Form Responses'!$J:$J,ROW())&amp;""))</f>
        <v/>
      </c>
      <c r="M361" s="32">
        <f>IF(B361="","",TRIM(INDEX('Form Responses'!$K:$K,ROW())&amp;""))</f>
        <v/>
      </c>
      <c r="N361" s="32">
        <f>IF(B361="","",IF(E361&lt;&gt;"","P"&amp;E361,"N"&amp;B361))</f>
        <v/>
      </c>
      <c r="O361" s="32">
        <f>IF(N361="",0,IF(COUNTIF(N362:N$602,N361)=0,1,0))</f>
        <v/>
      </c>
      <c r="P361" s="32">
        <f>IF(AND(O361=1,E361&lt;&gt;""),E361,"")</f>
        <v/>
      </c>
      <c r="Q361" s="32">
        <f>IF(O361=1,B361,"")</f>
        <v/>
      </c>
      <c r="R361" s="32">
        <f>IF(O361&lt;&gt;1,"",IF(E361&lt;&gt;"",IFERROR(MATCH(E361,Guests!$S$6:$S$505,0)+5,IFERROR(MATCH(B361,Guests!$A$6:$A$505,0)+5,"")),IFERROR(MATCH(B361,Guests!$A$6:$A$505,0)+5,"")))</f>
        <v/>
      </c>
      <c r="S361" s="32">
        <f>IF(R361="","",TRIM(INDEX(Guests!$E$1:$E$505,R361)&amp;""))</f>
        <v/>
      </c>
      <c r="T361" s="32">
        <f>IF(R361="","",IF(S361="",1,COUNTIF(Guests!$E$6:$E$505,S361)))</f>
        <v/>
      </c>
      <c r="U361" s="32">
        <f>IF(R361="","",IF(S361="",1,IF(COUNTIF(S$1:S360,S361)=0,1,0)))</f>
        <v/>
      </c>
      <c r="V361" s="32">
        <f>IF(AND(R361&lt;&gt;"",G361="Attending",U361=1),MAX(0,H361+I361-T361),0)</f>
        <v/>
      </c>
      <c r="W361" s="32">
        <f>IF(AND(O361=1,R361=""),1,0)</f>
        <v/>
      </c>
      <c r="X361" s="32">
        <f>IF(B361="",0,H361+I361)</f>
        <v/>
      </c>
      <c r="Y361" s="32">
        <f>N(Y360)+O361</f>
        <v/>
      </c>
      <c r="Z361" s="32">
        <f>IF(O361=1,Y361,"")</f>
        <v/>
      </c>
      <c r="AA361" s="32">
        <f>IF(AND(W361=1,G361="Not sure yet"),1,0)</f>
        <v/>
      </c>
      <c r="AB361" s="32">
        <f>N(AB360)+AA361</f>
        <v/>
      </c>
      <c r="AC361" s="32">
        <f>IF(AA361=1,AB361,"")</f>
        <v/>
      </c>
      <c r="AD361" s="32">
        <f>IF(D361="","",IF(LEN(D361)=10,"+1"&amp;D361,IF(AND(LEN(D361)=11,LEFT(D361,1)="1"),"+"&amp;D361,IF(LEFT(C361,1)="+","+"&amp;D361,D361))))</f>
        <v/>
      </c>
      <c r="AE361" s="32">
        <f>IF(B361="","",PROPER(IFERROR(LEFT(B361,FIND(" ",B361)-1),B361)))</f>
        <v/>
      </c>
      <c r="AF361" s="32">
        <f>SUBSTITUTE(SUBSTITUTE(SUBSTITUTE(SUBSTITUTE(SUBSTITUTE(SUBSTITUTE(SUBSTITUTE(SUBSTITUTE(SUBSTITUTE(SUBSTITUTE(AE361,"%","%25"),"&amp;","%26"),"#","%23"),"+","%2B"),"=","%3D"),"?","%3F"),CHAR(34),"%22"),CHAR(10),"%0A"),CHAR(13),"")," ","+")</f>
        <v/>
      </c>
      <c r="AG361" s="32">
        <f>IF(OR(AD361="",AE361=""),"",'Start Here'!$B$20&amp;"#p="&amp;SUBSTITUTE(AD361,"+","%2B")&amp;"&amp;n="&amp;AF361&amp;"&amp;m="&amp;SUBSTITUTE('Start Here'!$B$24,"{name}",AF361))</f>
        <v/>
      </c>
      <c r="AH361" s="32">
        <f>N(AH360)+W361</f>
        <v/>
      </c>
      <c r="AI361" s="32">
        <f>IF(W361=1,AH361,"")</f>
        <v/>
      </c>
    </row>
    <row r="362">
      <c r="A362" s="32">
        <f>IF(INDEX('Form Responses'!$A:$A,ROW())="","",INDEX('Form Responses'!$A:$A,ROW()))</f>
        <v/>
      </c>
      <c r="B362" s="32">
        <f>TRIM(INDEX('Form Responses'!$B:$B,ROW())&amp;"")</f>
        <v/>
      </c>
      <c r="C362" s="32">
        <f>IF(B362="","",TRIM(INDEX('Form Responses'!$C:$C,ROW())&amp;""))</f>
        <v/>
      </c>
      <c r="D362" s="32">
        <f>SUBSTITUTE(SUBSTITUTE(SUBSTITUTE(SUBSTITUTE(SUBSTITUTE(SUBSTITUTE(SUBSTITUTE(SUBSTITUTE(C362," ",""),"-",""),"(",""),")",""),".",""),"+",""),"/",""),CHAR(160),"")</f>
        <v/>
      </c>
      <c r="E362" s="32">
        <f>IF(LEN(D362)&gt;=10,RIGHT(D362,10),D362)</f>
        <v/>
      </c>
      <c r="F362" s="32">
        <f>IF(B362="","",TRIM(INDEX('Form Responses'!$D:$D,ROW())&amp;""))</f>
        <v/>
      </c>
      <c r="G362" s="32">
        <f>IF(B362="","",IF(LEFT(TRIM(INDEX('Form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2" s="32">
        <f>IF(B362="","",MAX(0,IFERROR(INT(--(INDEX('Form Responses'!$F:$F,ROW())&amp;"")),1)))</f>
        <v/>
      </c>
      <c r="I362" s="32">
        <f>IF(B362="","",MAX(0,IFERROR(INT(--(INDEX('Form Responses'!$G:$G,ROW())&amp;"")),0)))</f>
        <v/>
      </c>
      <c r="J362" s="32">
        <f>IF(B362="","",TRIM(INDEX('Form Responses'!$H:$H,ROW())&amp;""))</f>
        <v/>
      </c>
      <c r="K362" s="32">
        <f>IF(B362="","",TRIM(INDEX('Form Responses'!$I:$I,ROW())&amp;""))</f>
        <v/>
      </c>
      <c r="L362" s="32">
        <f>IF(B362="","",TRIM(INDEX('Form Responses'!$J:$J,ROW())&amp;""))</f>
        <v/>
      </c>
      <c r="M362" s="32">
        <f>IF(B362="","",TRIM(INDEX('Form Responses'!$K:$K,ROW())&amp;""))</f>
        <v/>
      </c>
      <c r="N362" s="32">
        <f>IF(B362="","",IF(E362&lt;&gt;"","P"&amp;E362,"N"&amp;B362))</f>
        <v/>
      </c>
      <c r="O362" s="32">
        <f>IF(N362="",0,IF(COUNTIF(N363:N$602,N362)=0,1,0))</f>
        <v/>
      </c>
      <c r="P362" s="32">
        <f>IF(AND(O362=1,E362&lt;&gt;""),E362,"")</f>
        <v/>
      </c>
      <c r="Q362" s="32">
        <f>IF(O362=1,B362,"")</f>
        <v/>
      </c>
      <c r="R362" s="32">
        <f>IF(O362&lt;&gt;1,"",IF(E362&lt;&gt;"",IFERROR(MATCH(E362,Guests!$S$6:$S$505,0)+5,IFERROR(MATCH(B362,Guests!$A$6:$A$505,0)+5,"")),IFERROR(MATCH(B362,Guests!$A$6:$A$505,0)+5,"")))</f>
        <v/>
      </c>
      <c r="S362" s="32">
        <f>IF(R362="","",TRIM(INDEX(Guests!$E$1:$E$505,R362)&amp;""))</f>
        <v/>
      </c>
      <c r="T362" s="32">
        <f>IF(R362="","",IF(S362="",1,COUNTIF(Guests!$E$6:$E$505,S362)))</f>
        <v/>
      </c>
      <c r="U362" s="32">
        <f>IF(R362="","",IF(S362="",1,IF(COUNTIF(S$1:S361,S362)=0,1,0)))</f>
        <v/>
      </c>
      <c r="V362" s="32">
        <f>IF(AND(R362&lt;&gt;"",G362="Attending",U362=1),MAX(0,H362+I362-T362),0)</f>
        <v/>
      </c>
      <c r="W362" s="32">
        <f>IF(AND(O362=1,R362=""),1,0)</f>
        <v/>
      </c>
      <c r="X362" s="32">
        <f>IF(B362="",0,H362+I362)</f>
        <v/>
      </c>
      <c r="Y362" s="32">
        <f>N(Y361)+O362</f>
        <v/>
      </c>
      <c r="Z362" s="32">
        <f>IF(O362=1,Y362,"")</f>
        <v/>
      </c>
      <c r="AA362" s="32">
        <f>IF(AND(W362=1,G362="Not sure yet"),1,0)</f>
        <v/>
      </c>
      <c r="AB362" s="32">
        <f>N(AB361)+AA362</f>
        <v/>
      </c>
      <c r="AC362" s="32">
        <f>IF(AA362=1,AB362,"")</f>
        <v/>
      </c>
      <c r="AD362" s="32">
        <f>IF(D362="","",IF(LEN(D362)=10,"+1"&amp;D362,IF(AND(LEN(D362)=11,LEFT(D362,1)="1"),"+"&amp;D362,IF(LEFT(C362,1)="+","+"&amp;D362,D362))))</f>
        <v/>
      </c>
      <c r="AE362" s="32">
        <f>IF(B362="","",PROPER(IFERROR(LEFT(B362,FIND(" ",B362)-1),B362)))</f>
        <v/>
      </c>
      <c r="AF362" s="32">
        <f>SUBSTITUTE(SUBSTITUTE(SUBSTITUTE(SUBSTITUTE(SUBSTITUTE(SUBSTITUTE(SUBSTITUTE(SUBSTITUTE(SUBSTITUTE(SUBSTITUTE(AE362,"%","%25"),"&amp;","%26"),"#","%23"),"+","%2B"),"=","%3D"),"?","%3F"),CHAR(34),"%22"),CHAR(10),"%0A"),CHAR(13),"")," ","+")</f>
        <v/>
      </c>
      <c r="AG362" s="32">
        <f>IF(OR(AD362="",AE362=""),"",'Start Here'!$B$20&amp;"#p="&amp;SUBSTITUTE(AD362,"+","%2B")&amp;"&amp;n="&amp;AF362&amp;"&amp;m="&amp;SUBSTITUTE('Start Here'!$B$24,"{name}",AF362))</f>
        <v/>
      </c>
      <c r="AH362" s="32">
        <f>N(AH361)+W362</f>
        <v/>
      </c>
      <c r="AI362" s="32">
        <f>IF(W362=1,AH362,"")</f>
        <v/>
      </c>
    </row>
    <row r="363">
      <c r="A363" s="32">
        <f>IF(INDEX('Form Responses'!$A:$A,ROW())="","",INDEX('Form Responses'!$A:$A,ROW()))</f>
        <v/>
      </c>
      <c r="B363" s="32">
        <f>TRIM(INDEX('Form Responses'!$B:$B,ROW())&amp;"")</f>
        <v/>
      </c>
      <c r="C363" s="32">
        <f>IF(B363="","",TRIM(INDEX('Form Responses'!$C:$C,ROW())&amp;""))</f>
        <v/>
      </c>
      <c r="D363" s="32">
        <f>SUBSTITUTE(SUBSTITUTE(SUBSTITUTE(SUBSTITUTE(SUBSTITUTE(SUBSTITUTE(SUBSTITUTE(SUBSTITUTE(C363," ",""),"-",""),"(",""),")",""),".",""),"+",""),"/",""),CHAR(160),"")</f>
        <v/>
      </c>
      <c r="E363" s="32">
        <f>IF(LEN(D363)&gt;=10,RIGHT(D363,10),D363)</f>
        <v/>
      </c>
      <c r="F363" s="32">
        <f>IF(B363="","",TRIM(INDEX('Form Responses'!$D:$D,ROW())&amp;""))</f>
        <v/>
      </c>
      <c r="G363" s="32">
        <f>IF(B363="","",IF(LEFT(TRIM(INDEX('Form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3" s="32">
        <f>IF(B363="","",MAX(0,IFERROR(INT(--(INDEX('Form Responses'!$F:$F,ROW())&amp;"")),1)))</f>
        <v/>
      </c>
      <c r="I363" s="32">
        <f>IF(B363="","",MAX(0,IFERROR(INT(--(INDEX('Form Responses'!$G:$G,ROW())&amp;"")),0)))</f>
        <v/>
      </c>
      <c r="J363" s="32">
        <f>IF(B363="","",TRIM(INDEX('Form Responses'!$H:$H,ROW())&amp;""))</f>
        <v/>
      </c>
      <c r="K363" s="32">
        <f>IF(B363="","",TRIM(INDEX('Form Responses'!$I:$I,ROW())&amp;""))</f>
        <v/>
      </c>
      <c r="L363" s="32">
        <f>IF(B363="","",TRIM(INDEX('Form Responses'!$J:$J,ROW())&amp;""))</f>
        <v/>
      </c>
      <c r="M363" s="32">
        <f>IF(B363="","",TRIM(INDEX('Form Responses'!$K:$K,ROW())&amp;""))</f>
        <v/>
      </c>
      <c r="N363" s="32">
        <f>IF(B363="","",IF(E363&lt;&gt;"","P"&amp;E363,"N"&amp;B363))</f>
        <v/>
      </c>
      <c r="O363" s="32">
        <f>IF(N363="",0,IF(COUNTIF(N364:N$602,N363)=0,1,0))</f>
        <v/>
      </c>
      <c r="P363" s="32">
        <f>IF(AND(O363=1,E363&lt;&gt;""),E363,"")</f>
        <v/>
      </c>
      <c r="Q363" s="32">
        <f>IF(O363=1,B363,"")</f>
        <v/>
      </c>
      <c r="R363" s="32">
        <f>IF(O363&lt;&gt;1,"",IF(E363&lt;&gt;"",IFERROR(MATCH(E363,Guests!$S$6:$S$505,0)+5,IFERROR(MATCH(B363,Guests!$A$6:$A$505,0)+5,"")),IFERROR(MATCH(B363,Guests!$A$6:$A$505,0)+5,"")))</f>
        <v/>
      </c>
      <c r="S363" s="32">
        <f>IF(R363="","",TRIM(INDEX(Guests!$E$1:$E$505,R363)&amp;""))</f>
        <v/>
      </c>
      <c r="T363" s="32">
        <f>IF(R363="","",IF(S363="",1,COUNTIF(Guests!$E$6:$E$505,S363)))</f>
        <v/>
      </c>
      <c r="U363" s="32">
        <f>IF(R363="","",IF(S363="",1,IF(COUNTIF(S$1:S362,S363)=0,1,0)))</f>
        <v/>
      </c>
      <c r="V363" s="32">
        <f>IF(AND(R363&lt;&gt;"",G363="Attending",U363=1),MAX(0,H363+I363-T363),0)</f>
        <v/>
      </c>
      <c r="W363" s="32">
        <f>IF(AND(O363=1,R363=""),1,0)</f>
        <v/>
      </c>
      <c r="X363" s="32">
        <f>IF(B363="",0,H363+I363)</f>
        <v/>
      </c>
      <c r="Y363" s="32">
        <f>N(Y362)+O363</f>
        <v/>
      </c>
      <c r="Z363" s="32">
        <f>IF(O363=1,Y363,"")</f>
        <v/>
      </c>
      <c r="AA363" s="32">
        <f>IF(AND(W363=1,G363="Not sure yet"),1,0)</f>
        <v/>
      </c>
      <c r="AB363" s="32">
        <f>N(AB362)+AA363</f>
        <v/>
      </c>
      <c r="AC363" s="32">
        <f>IF(AA363=1,AB363,"")</f>
        <v/>
      </c>
      <c r="AD363" s="32">
        <f>IF(D363="","",IF(LEN(D363)=10,"+1"&amp;D363,IF(AND(LEN(D363)=11,LEFT(D363,1)="1"),"+"&amp;D363,IF(LEFT(C363,1)="+","+"&amp;D363,D363))))</f>
        <v/>
      </c>
      <c r="AE363" s="32">
        <f>IF(B363="","",PROPER(IFERROR(LEFT(B363,FIND(" ",B363)-1),B363)))</f>
        <v/>
      </c>
      <c r="AF363" s="32">
        <f>SUBSTITUTE(SUBSTITUTE(SUBSTITUTE(SUBSTITUTE(SUBSTITUTE(SUBSTITUTE(SUBSTITUTE(SUBSTITUTE(SUBSTITUTE(SUBSTITUTE(AE363,"%","%25"),"&amp;","%26"),"#","%23"),"+","%2B"),"=","%3D"),"?","%3F"),CHAR(34),"%22"),CHAR(10),"%0A"),CHAR(13),"")," ","+")</f>
        <v/>
      </c>
      <c r="AG363" s="32">
        <f>IF(OR(AD363="",AE363=""),"",'Start Here'!$B$20&amp;"#p="&amp;SUBSTITUTE(AD363,"+","%2B")&amp;"&amp;n="&amp;AF363&amp;"&amp;m="&amp;SUBSTITUTE('Start Here'!$B$24,"{name}",AF363))</f>
        <v/>
      </c>
      <c r="AH363" s="32">
        <f>N(AH362)+W363</f>
        <v/>
      </c>
      <c r="AI363" s="32">
        <f>IF(W363=1,AH363,"")</f>
        <v/>
      </c>
    </row>
    <row r="364">
      <c r="A364" s="32">
        <f>IF(INDEX('Form Responses'!$A:$A,ROW())="","",INDEX('Form Responses'!$A:$A,ROW()))</f>
        <v/>
      </c>
      <c r="B364" s="32">
        <f>TRIM(INDEX('Form Responses'!$B:$B,ROW())&amp;"")</f>
        <v/>
      </c>
      <c r="C364" s="32">
        <f>IF(B364="","",TRIM(INDEX('Form Responses'!$C:$C,ROW())&amp;""))</f>
        <v/>
      </c>
      <c r="D364" s="32">
        <f>SUBSTITUTE(SUBSTITUTE(SUBSTITUTE(SUBSTITUTE(SUBSTITUTE(SUBSTITUTE(SUBSTITUTE(SUBSTITUTE(C364," ",""),"-",""),"(",""),")",""),".",""),"+",""),"/",""),CHAR(160),"")</f>
        <v/>
      </c>
      <c r="E364" s="32">
        <f>IF(LEN(D364)&gt;=10,RIGHT(D364,10),D364)</f>
        <v/>
      </c>
      <c r="F364" s="32">
        <f>IF(B364="","",TRIM(INDEX('Form Responses'!$D:$D,ROW())&amp;""))</f>
        <v/>
      </c>
      <c r="G364" s="32">
        <f>IF(B364="","",IF(LEFT(TRIM(INDEX('Form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4" s="32">
        <f>IF(B364="","",MAX(0,IFERROR(INT(--(INDEX('Form Responses'!$F:$F,ROW())&amp;"")),1)))</f>
        <v/>
      </c>
      <c r="I364" s="32">
        <f>IF(B364="","",MAX(0,IFERROR(INT(--(INDEX('Form Responses'!$G:$G,ROW())&amp;"")),0)))</f>
        <v/>
      </c>
      <c r="J364" s="32">
        <f>IF(B364="","",TRIM(INDEX('Form Responses'!$H:$H,ROW())&amp;""))</f>
        <v/>
      </c>
      <c r="K364" s="32">
        <f>IF(B364="","",TRIM(INDEX('Form Responses'!$I:$I,ROW())&amp;""))</f>
        <v/>
      </c>
      <c r="L364" s="32">
        <f>IF(B364="","",TRIM(INDEX('Form Responses'!$J:$J,ROW())&amp;""))</f>
        <v/>
      </c>
      <c r="M364" s="32">
        <f>IF(B364="","",TRIM(INDEX('Form Responses'!$K:$K,ROW())&amp;""))</f>
        <v/>
      </c>
      <c r="N364" s="32">
        <f>IF(B364="","",IF(E364&lt;&gt;"","P"&amp;E364,"N"&amp;B364))</f>
        <v/>
      </c>
      <c r="O364" s="32">
        <f>IF(N364="",0,IF(COUNTIF(N365:N$602,N364)=0,1,0))</f>
        <v/>
      </c>
      <c r="P364" s="32">
        <f>IF(AND(O364=1,E364&lt;&gt;""),E364,"")</f>
        <v/>
      </c>
      <c r="Q364" s="32">
        <f>IF(O364=1,B364,"")</f>
        <v/>
      </c>
      <c r="R364" s="32">
        <f>IF(O364&lt;&gt;1,"",IF(E364&lt;&gt;"",IFERROR(MATCH(E364,Guests!$S$6:$S$505,0)+5,IFERROR(MATCH(B364,Guests!$A$6:$A$505,0)+5,"")),IFERROR(MATCH(B364,Guests!$A$6:$A$505,0)+5,"")))</f>
        <v/>
      </c>
      <c r="S364" s="32">
        <f>IF(R364="","",TRIM(INDEX(Guests!$E$1:$E$505,R364)&amp;""))</f>
        <v/>
      </c>
      <c r="T364" s="32">
        <f>IF(R364="","",IF(S364="",1,COUNTIF(Guests!$E$6:$E$505,S364)))</f>
        <v/>
      </c>
      <c r="U364" s="32">
        <f>IF(R364="","",IF(S364="",1,IF(COUNTIF(S$1:S363,S364)=0,1,0)))</f>
        <v/>
      </c>
      <c r="V364" s="32">
        <f>IF(AND(R364&lt;&gt;"",G364="Attending",U364=1),MAX(0,H364+I364-T364),0)</f>
        <v/>
      </c>
      <c r="W364" s="32">
        <f>IF(AND(O364=1,R364=""),1,0)</f>
        <v/>
      </c>
      <c r="X364" s="32">
        <f>IF(B364="",0,H364+I364)</f>
        <v/>
      </c>
      <c r="Y364" s="32">
        <f>N(Y363)+O364</f>
        <v/>
      </c>
      <c r="Z364" s="32">
        <f>IF(O364=1,Y364,"")</f>
        <v/>
      </c>
      <c r="AA364" s="32">
        <f>IF(AND(W364=1,G364="Not sure yet"),1,0)</f>
        <v/>
      </c>
      <c r="AB364" s="32">
        <f>N(AB363)+AA364</f>
        <v/>
      </c>
      <c r="AC364" s="32">
        <f>IF(AA364=1,AB364,"")</f>
        <v/>
      </c>
      <c r="AD364" s="32">
        <f>IF(D364="","",IF(LEN(D364)=10,"+1"&amp;D364,IF(AND(LEN(D364)=11,LEFT(D364,1)="1"),"+"&amp;D364,IF(LEFT(C364,1)="+","+"&amp;D364,D364))))</f>
        <v/>
      </c>
      <c r="AE364" s="32">
        <f>IF(B364="","",PROPER(IFERROR(LEFT(B364,FIND(" ",B364)-1),B364)))</f>
        <v/>
      </c>
      <c r="AF364" s="32">
        <f>SUBSTITUTE(SUBSTITUTE(SUBSTITUTE(SUBSTITUTE(SUBSTITUTE(SUBSTITUTE(SUBSTITUTE(SUBSTITUTE(SUBSTITUTE(SUBSTITUTE(AE364,"%","%25"),"&amp;","%26"),"#","%23"),"+","%2B"),"=","%3D"),"?","%3F"),CHAR(34),"%22"),CHAR(10),"%0A"),CHAR(13),"")," ","+")</f>
        <v/>
      </c>
      <c r="AG364" s="32">
        <f>IF(OR(AD364="",AE364=""),"",'Start Here'!$B$20&amp;"#p="&amp;SUBSTITUTE(AD364,"+","%2B")&amp;"&amp;n="&amp;AF364&amp;"&amp;m="&amp;SUBSTITUTE('Start Here'!$B$24,"{name}",AF364))</f>
        <v/>
      </c>
      <c r="AH364" s="32">
        <f>N(AH363)+W364</f>
        <v/>
      </c>
      <c r="AI364" s="32">
        <f>IF(W364=1,AH364,"")</f>
        <v/>
      </c>
    </row>
    <row r="365">
      <c r="A365" s="32">
        <f>IF(INDEX('Form Responses'!$A:$A,ROW())="","",INDEX('Form Responses'!$A:$A,ROW()))</f>
        <v/>
      </c>
      <c r="B365" s="32">
        <f>TRIM(INDEX('Form Responses'!$B:$B,ROW())&amp;"")</f>
        <v/>
      </c>
      <c r="C365" s="32">
        <f>IF(B365="","",TRIM(INDEX('Form Responses'!$C:$C,ROW())&amp;""))</f>
        <v/>
      </c>
      <c r="D365" s="32">
        <f>SUBSTITUTE(SUBSTITUTE(SUBSTITUTE(SUBSTITUTE(SUBSTITUTE(SUBSTITUTE(SUBSTITUTE(SUBSTITUTE(C365," ",""),"-",""),"(",""),")",""),".",""),"+",""),"/",""),CHAR(160),"")</f>
        <v/>
      </c>
      <c r="E365" s="32">
        <f>IF(LEN(D365)&gt;=10,RIGHT(D365,10),D365)</f>
        <v/>
      </c>
      <c r="F365" s="32">
        <f>IF(B365="","",TRIM(INDEX('Form Responses'!$D:$D,ROW())&amp;""))</f>
        <v/>
      </c>
      <c r="G365" s="32">
        <f>IF(B365="","",IF(LEFT(TRIM(INDEX('Form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5" s="32">
        <f>IF(B365="","",MAX(0,IFERROR(INT(--(INDEX('Form Responses'!$F:$F,ROW())&amp;"")),1)))</f>
        <v/>
      </c>
      <c r="I365" s="32">
        <f>IF(B365="","",MAX(0,IFERROR(INT(--(INDEX('Form Responses'!$G:$G,ROW())&amp;"")),0)))</f>
        <v/>
      </c>
      <c r="J365" s="32">
        <f>IF(B365="","",TRIM(INDEX('Form Responses'!$H:$H,ROW())&amp;""))</f>
        <v/>
      </c>
      <c r="K365" s="32">
        <f>IF(B365="","",TRIM(INDEX('Form Responses'!$I:$I,ROW())&amp;""))</f>
        <v/>
      </c>
      <c r="L365" s="32">
        <f>IF(B365="","",TRIM(INDEX('Form Responses'!$J:$J,ROW())&amp;""))</f>
        <v/>
      </c>
      <c r="M365" s="32">
        <f>IF(B365="","",TRIM(INDEX('Form Responses'!$K:$K,ROW())&amp;""))</f>
        <v/>
      </c>
      <c r="N365" s="32">
        <f>IF(B365="","",IF(E365&lt;&gt;"","P"&amp;E365,"N"&amp;B365))</f>
        <v/>
      </c>
      <c r="O365" s="32">
        <f>IF(N365="",0,IF(COUNTIF(N366:N$602,N365)=0,1,0))</f>
        <v/>
      </c>
      <c r="P365" s="32">
        <f>IF(AND(O365=1,E365&lt;&gt;""),E365,"")</f>
        <v/>
      </c>
      <c r="Q365" s="32">
        <f>IF(O365=1,B365,"")</f>
        <v/>
      </c>
      <c r="R365" s="32">
        <f>IF(O365&lt;&gt;1,"",IF(E365&lt;&gt;"",IFERROR(MATCH(E365,Guests!$S$6:$S$505,0)+5,IFERROR(MATCH(B365,Guests!$A$6:$A$505,0)+5,"")),IFERROR(MATCH(B365,Guests!$A$6:$A$505,0)+5,"")))</f>
        <v/>
      </c>
      <c r="S365" s="32">
        <f>IF(R365="","",TRIM(INDEX(Guests!$E$1:$E$505,R365)&amp;""))</f>
        <v/>
      </c>
      <c r="T365" s="32">
        <f>IF(R365="","",IF(S365="",1,COUNTIF(Guests!$E$6:$E$505,S365)))</f>
        <v/>
      </c>
      <c r="U365" s="32">
        <f>IF(R365="","",IF(S365="",1,IF(COUNTIF(S$1:S364,S365)=0,1,0)))</f>
        <v/>
      </c>
      <c r="V365" s="32">
        <f>IF(AND(R365&lt;&gt;"",G365="Attending",U365=1),MAX(0,H365+I365-T365),0)</f>
        <v/>
      </c>
      <c r="W365" s="32">
        <f>IF(AND(O365=1,R365=""),1,0)</f>
        <v/>
      </c>
      <c r="X365" s="32">
        <f>IF(B365="",0,H365+I365)</f>
        <v/>
      </c>
      <c r="Y365" s="32">
        <f>N(Y364)+O365</f>
        <v/>
      </c>
      <c r="Z365" s="32">
        <f>IF(O365=1,Y365,"")</f>
        <v/>
      </c>
      <c r="AA365" s="32">
        <f>IF(AND(W365=1,G365="Not sure yet"),1,0)</f>
        <v/>
      </c>
      <c r="AB365" s="32">
        <f>N(AB364)+AA365</f>
        <v/>
      </c>
      <c r="AC365" s="32">
        <f>IF(AA365=1,AB365,"")</f>
        <v/>
      </c>
      <c r="AD365" s="32">
        <f>IF(D365="","",IF(LEN(D365)=10,"+1"&amp;D365,IF(AND(LEN(D365)=11,LEFT(D365,1)="1"),"+"&amp;D365,IF(LEFT(C365,1)="+","+"&amp;D365,D365))))</f>
        <v/>
      </c>
      <c r="AE365" s="32">
        <f>IF(B365="","",PROPER(IFERROR(LEFT(B365,FIND(" ",B365)-1),B365)))</f>
        <v/>
      </c>
      <c r="AF365" s="32">
        <f>SUBSTITUTE(SUBSTITUTE(SUBSTITUTE(SUBSTITUTE(SUBSTITUTE(SUBSTITUTE(SUBSTITUTE(SUBSTITUTE(SUBSTITUTE(SUBSTITUTE(AE365,"%","%25"),"&amp;","%26"),"#","%23"),"+","%2B"),"=","%3D"),"?","%3F"),CHAR(34),"%22"),CHAR(10),"%0A"),CHAR(13),"")," ","+")</f>
        <v/>
      </c>
      <c r="AG365" s="32">
        <f>IF(OR(AD365="",AE365=""),"",'Start Here'!$B$20&amp;"#p="&amp;SUBSTITUTE(AD365,"+","%2B")&amp;"&amp;n="&amp;AF365&amp;"&amp;m="&amp;SUBSTITUTE('Start Here'!$B$24,"{name}",AF365))</f>
        <v/>
      </c>
      <c r="AH365" s="32">
        <f>N(AH364)+W365</f>
        <v/>
      </c>
      <c r="AI365" s="32">
        <f>IF(W365=1,AH365,"")</f>
        <v/>
      </c>
    </row>
    <row r="366">
      <c r="A366" s="32">
        <f>IF(INDEX('Form Responses'!$A:$A,ROW())="","",INDEX('Form Responses'!$A:$A,ROW()))</f>
        <v/>
      </c>
      <c r="B366" s="32">
        <f>TRIM(INDEX('Form Responses'!$B:$B,ROW())&amp;"")</f>
        <v/>
      </c>
      <c r="C366" s="32">
        <f>IF(B366="","",TRIM(INDEX('Form Responses'!$C:$C,ROW())&amp;""))</f>
        <v/>
      </c>
      <c r="D366" s="32">
        <f>SUBSTITUTE(SUBSTITUTE(SUBSTITUTE(SUBSTITUTE(SUBSTITUTE(SUBSTITUTE(SUBSTITUTE(SUBSTITUTE(C366," ",""),"-",""),"(",""),")",""),".",""),"+",""),"/",""),CHAR(160),"")</f>
        <v/>
      </c>
      <c r="E366" s="32">
        <f>IF(LEN(D366)&gt;=10,RIGHT(D366,10),D366)</f>
        <v/>
      </c>
      <c r="F366" s="32">
        <f>IF(B366="","",TRIM(INDEX('Form Responses'!$D:$D,ROW())&amp;""))</f>
        <v/>
      </c>
      <c r="G366" s="32">
        <f>IF(B366="","",IF(LEFT(TRIM(INDEX('Form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6" s="32">
        <f>IF(B366="","",MAX(0,IFERROR(INT(--(INDEX('Form Responses'!$F:$F,ROW())&amp;"")),1)))</f>
        <v/>
      </c>
      <c r="I366" s="32">
        <f>IF(B366="","",MAX(0,IFERROR(INT(--(INDEX('Form Responses'!$G:$G,ROW())&amp;"")),0)))</f>
        <v/>
      </c>
      <c r="J366" s="32">
        <f>IF(B366="","",TRIM(INDEX('Form Responses'!$H:$H,ROW())&amp;""))</f>
        <v/>
      </c>
      <c r="K366" s="32">
        <f>IF(B366="","",TRIM(INDEX('Form Responses'!$I:$I,ROW())&amp;""))</f>
        <v/>
      </c>
      <c r="L366" s="32">
        <f>IF(B366="","",TRIM(INDEX('Form Responses'!$J:$J,ROW())&amp;""))</f>
        <v/>
      </c>
      <c r="M366" s="32">
        <f>IF(B366="","",TRIM(INDEX('Form Responses'!$K:$K,ROW())&amp;""))</f>
        <v/>
      </c>
      <c r="N366" s="32">
        <f>IF(B366="","",IF(E366&lt;&gt;"","P"&amp;E366,"N"&amp;B366))</f>
        <v/>
      </c>
      <c r="O366" s="32">
        <f>IF(N366="",0,IF(COUNTIF(N367:N$602,N366)=0,1,0))</f>
        <v/>
      </c>
      <c r="P366" s="32">
        <f>IF(AND(O366=1,E366&lt;&gt;""),E366,"")</f>
        <v/>
      </c>
      <c r="Q366" s="32">
        <f>IF(O366=1,B366,"")</f>
        <v/>
      </c>
      <c r="R366" s="32">
        <f>IF(O366&lt;&gt;1,"",IF(E366&lt;&gt;"",IFERROR(MATCH(E366,Guests!$S$6:$S$505,0)+5,IFERROR(MATCH(B366,Guests!$A$6:$A$505,0)+5,"")),IFERROR(MATCH(B366,Guests!$A$6:$A$505,0)+5,"")))</f>
        <v/>
      </c>
      <c r="S366" s="32">
        <f>IF(R366="","",TRIM(INDEX(Guests!$E$1:$E$505,R366)&amp;""))</f>
        <v/>
      </c>
      <c r="T366" s="32">
        <f>IF(R366="","",IF(S366="",1,COUNTIF(Guests!$E$6:$E$505,S366)))</f>
        <v/>
      </c>
      <c r="U366" s="32">
        <f>IF(R366="","",IF(S366="",1,IF(COUNTIF(S$1:S365,S366)=0,1,0)))</f>
        <v/>
      </c>
      <c r="V366" s="32">
        <f>IF(AND(R366&lt;&gt;"",G366="Attending",U366=1),MAX(0,H366+I366-T366),0)</f>
        <v/>
      </c>
      <c r="W366" s="32">
        <f>IF(AND(O366=1,R366=""),1,0)</f>
        <v/>
      </c>
      <c r="X366" s="32">
        <f>IF(B366="",0,H366+I366)</f>
        <v/>
      </c>
      <c r="Y366" s="32">
        <f>N(Y365)+O366</f>
        <v/>
      </c>
      <c r="Z366" s="32">
        <f>IF(O366=1,Y366,"")</f>
        <v/>
      </c>
      <c r="AA366" s="32">
        <f>IF(AND(W366=1,G366="Not sure yet"),1,0)</f>
        <v/>
      </c>
      <c r="AB366" s="32">
        <f>N(AB365)+AA366</f>
        <v/>
      </c>
      <c r="AC366" s="32">
        <f>IF(AA366=1,AB366,"")</f>
        <v/>
      </c>
      <c r="AD366" s="32">
        <f>IF(D366="","",IF(LEN(D366)=10,"+1"&amp;D366,IF(AND(LEN(D366)=11,LEFT(D366,1)="1"),"+"&amp;D366,IF(LEFT(C366,1)="+","+"&amp;D366,D366))))</f>
        <v/>
      </c>
      <c r="AE366" s="32">
        <f>IF(B366="","",PROPER(IFERROR(LEFT(B366,FIND(" ",B366)-1),B366)))</f>
        <v/>
      </c>
      <c r="AF366" s="32">
        <f>SUBSTITUTE(SUBSTITUTE(SUBSTITUTE(SUBSTITUTE(SUBSTITUTE(SUBSTITUTE(SUBSTITUTE(SUBSTITUTE(SUBSTITUTE(SUBSTITUTE(AE366,"%","%25"),"&amp;","%26"),"#","%23"),"+","%2B"),"=","%3D"),"?","%3F"),CHAR(34),"%22"),CHAR(10),"%0A"),CHAR(13),"")," ","+")</f>
        <v/>
      </c>
      <c r="AG366" s="32">
        <f>IF(OR(AD366="",AE366=""),"",'Start Here'!$B$20&amp;"#p="&amp;SUBSTITUTE(AD366,"+","%2B")&amp;"&amp;n="&amp;AF366&amp;"&amp;m="&amp;SUBSTITUTE('Start Here'!$B$24,"{name}",AF366))</f>
        <v/>
      </c>
      <c r="AH366" s="32">
        <f>N(AH365)+W366</f>
        <v/>
      </c>
      <c r="AI366" s="32">
        <f>IF(W366=1,AH366,"")</f>
        <v/>
      </c>
    </row>
    <row r="367">
      <c r="A367" s="32">
        <f>IF(INDEX('Form Responses'!$A:$A,ROW())="","",INDEX('Form Responses'!$A:$A,ROW()))</f>
        <v/>
      </c>
      <c r="B367" s="32">
        <f>TRIM(INDEX('Form Responses'!$B:$B,ROW())&amp;"")</f>
        <v/>
      </c>
      <c r="C367" s="32">
        <f>IF(B367="","",TRIM(INDEX('Form Responses'!$C:$C,ROW())&amp;""))</f>
        <v/>
      </c>
      <c r="D367" s="32">
        <f>SUBSTITUTE(SUBSTITUTE(SUBSTITUTE(SUBSTITUTE(SUBSTITUTE(SUBSTITUTE(SUBSTITUTE(SUBSTITUTE(C367," ",""),"-",""),"(",""),")",""),".",""),"+",""),"/",""),CHAR(160),"")</f>
        <v/>
      </c>
      <c r="E367" s="32">
        <f>IF(LEN(D367)&gt;=10,RIGHT(D367,10),D367)</f>
        <v/>
      </c>
      <c r="F367" s="32">
        <f>IF(B367="","",TRIM(INDEX('Form Responses'!$D:$D,ROW())&amp;""))</f>
        <v/>
      </c>
      <c r="G367" s="32">
        <f>IF(B367="","",IF(LEFT(TRIM(INDEX('Form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7" s="32">
        <f>IF(B367="","",MAX(0,IFERROR(INT(--(INDEX('Form Responses'!$F:$F,ROW())&amp;"")),1)))</f>
        <v/>
      </c>
      <c r="I367" s="32">
        <f>IF(B367="","",MAX(0,IFERROR(INT(--(INDEX('Form Responses'!$G:$G,ROW())&amp;"")),0)))</f>
        <v/>
      </c>
      <c r="J367" s="32">
        <f>IF(B367="","",TRIM(INDEX('Form Responses'!$H:$H,ROW())&amp;""))</f>
        <v/>
      </c>
      <c r="K367" s="32">
        <f>IF(B367="","",TRIM(INDEX('Form Responses'!$I:$I,ROW())&amp;""))</f>
        <v/>
      </c>
      <c r="L367" s="32">
        <f>IF(B367="","",TRIM(INDEX('Form Responses'!$J:$J,ROW())&amp;""))</f>
        <v/>
      </c>
      <c r="M367" s="32">
        <f>IF(B367="","",TRIM(INDEX('Form Responses'!$K:$K,ROW())&amp;""))</f>
        <v/>
      </c>
      <c r="N367" s="32">
        <f>IF(B367="","",IF(E367&lt;&gt;"","P"&amp;E367,"N"&amp;B367))</f>
        <v/>
      </c>
      <c r="O367" s="32">
        <f>IF(N367="",0,IF(COUNTIF(N368:N$602,N367)=0,1,0))</f>
        <v/>
      </c>
      <c r="P367" s="32">
        <f>IF(AND(O367=1,E367&lt;&gt;""),E367,"")</f>
        <v/>
      </c>
      <c r="Q367" s="32">
        <f>IF(O367=1,B367,"")</f>
        <v/>
      </c>
      <c r="R367" s="32">
        <f>IF(O367&lt;&gt;1,"",IF(E367&lt;&gt;"",IFERROR(MATCH(E367,Guests!$S$6:$S$505,0)+5,IFERROR(MATCH(B367,Guests!$A$6:$A$505,0)+5,"")),IFERROR(MATCH(B367,Guests!$A$6:$A$505,0)+5,"")))</f>
        <v/>
      </c>
      <c r="S367" s="32">
        <f>IF(R367="","",TRIM(INDEX(Guests!$E$1:$E$505,R367)&amp;""))</f>
        <v/>
      </c>
      <c r="T367" s="32">
        <f>IF(R367="","",IF(S367="",1,COUNTIF(Guests!$E$6:$E$505,S367)))</f>
        <v/>
      </c>
      <c r="U367" s="32">
        <f>IF(R367="","",IF(S367="",1,IF(COUNTIF(S$1:S366,S367)=0,1,0)))</f>
        <v/>
      </c>
      <c r="V367" s="32">
        <f>IF(AND(R367&lt;&gt;"",G367="Attending",U367=1),MAX(0,H367+I367-T367),0)</f>
        <v/>
      </c>
      <c r="W367" s="32">
        <f>IF(AND(O367=1,R367=""),1,0)</f>
        <v/>
      </c>
      <c r="X367" s="32">
        <f>IF(B367="",0,H367+I367)</f>
        <v/>
      </c>
      <c r="Y367" s="32">
        <f>N(Y366)+O367</f>
        <v/>
      </c>
      <c r="Z367" s="32">
        <f>IF(O367=1,Y367,"")</f>
        <v/>
      </c>
      <c r="AA367" s="32">
        <f>IF(AND(W367=1,G367="Not sure yet"),1,0)</f>
        <v/>
      </c>
      <c r="AB367" s="32">
        <f>N(AB366)+AA367</f>
        <v/>
      </c>
      <c r="AC367" s="32">
        <f>IF(AA367=1,AB367,"")</f>
        <v/>
      </c>
      <c r="AD367" s="32">
        <f>IF(D367="","",IF(LEN(D367)=10,"+1"&amp;D367,IF(AND(LEN(D367)=11,LEFT(D367,1)="1"),"+"&amp;D367,IF(LEFT(C367,1)="+","+"&amp;D367,D367))))</f>
        <v/>
      </c>
      <c r="AE367" s="32">
        <f>IF(B367="","",PROPER(IFERROR(LEFT(B367,FIND(" ",B367)-1),B367)))</f>
        <v/>
      </c>
      <c r="AF367" s="32">
        <f>SUBSTITUTE(SUBSTITUTE(SUBSTITUTE(SUBSTITUTE(SUBSTITUTE(SUBSTITUTE(SUBSTITUTE(SUBSTITUTE(SUBSTITUTE(SUBSTITUTE(AE367,"%","%25"),"&amp;","%26"),"#","%23"),"+","%2B"),"=","%3D"),"?","%3F"),CHAR(34),"%22"),CHAR(10),"%0A"),CHAR(13),"")," ","+")</f>
        <v/>
      </c>
      <c r="AG367" s="32">
        <f>IF(OR(AD367="",AE367=""),"",'Start Here'!$B$20&amp;"#p="&amp;SUBSTITUTE(AD367,"+","%2B")&amp;"&amp;n="&amp;AF367&amp;"&amp;m="&amp;SUBSTITUTE('Start Here'!$B$24,"{name}",AF367))</f>
        <v/>
      </c>
      <c r="AH367" s="32">
        <f>N(AH366)+W367</f>
        <v/>
      </c>
      <c r="AI367" s="32">
        <f>IF(W367=1,AH367,"")</f>
        <v/>
      </c>
    </row>
    <row r="368">
      <c r="A368" s="32">
        <f>IF(INDEX('Form Responses'!$A:$A,ROW())="","",INDEX('Form Responses'!$A:$A,ROW()))</f>
        <v/>
      </c>
      <c r="B368" s="32">
        <f>TRIM(INDEX('Form Responses'!$B:$B,ROW())&amp;"")</f>
        <v/>
      </c>
      <c r="C368" s="32">
        <f>IF(B368="","",TRIM(INDEX('Form Responses'!$C:$C,ROW())&amp;""))</f>
        <v/>
      </c>
      <c r="D368" s="32">
        <f>SUBSTITUTE(SUBSTITUTE(SUBSTITUTE(SUBSTITUTE(SUBSTITUTE(SUBSTITUTE(SUBSTITUTE(SUBSTITUTE(C368," ",""),"-",""),"(",""),")",""),".",""),"+",""),"/",""),CHAR(160),"")</f>
        <v/>
      </c>
      <c r="E368" s="32">
        <f>IF(LEN(D368)&gt;=10,RIGHT(D368,10),D368)</f>
        <v/>
      </c>
      <c r="F368" s="32">
        <f>IF(B368="","",TRIM(INDEX('Form Responses'!$D:$D,ROW())&amp;""))</f>
        <v/>
      </c>
      <c r="G368" s="32">
        <f>IF(B368="","",IF(LEFT(TRIM(INDEX('Form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8" s="32">
        <f>IF(B368="","",MAX(0,IFERROR(INT(--(INDEX('Form Responses'!$F:$F,ROW())&amp;"")),1)))</f>
        <v/>
      </c>
      <c r="I368" s="32">
        <f>IF(B368="","",MAX(0,IFERROR(INT(--(INDEX('Form Responses'!$G:$G,ROW())&amp;"")),0)))</f>
        <v/>
      </c>
      <c r="J368" s="32">
        <f>IF(B368="","",TRIM(INDEX('Form Responses'!$H:$H,ROW())&amp;""))</f>
        <v/>
      </c>
      <c r="K368" s="32">
        <f>IF(B368="","",TRIM(INDEX('Form Responses'!$I:$I,ROW())&amp;""))</f>
        <v/>
      </c>
      <c r="L368" s="32">
        <f>IF(B368="","",TRIM(INDEX('Form Responses'!$J:$J,ROW())&amp;""))</f>
        <v/>
      </c>
      <c r="M368" s="32">
        <f>IF(B368="","",TRIM(INDEX('Form Responses'!$K:$K,ROW())&amp;""))</f>
        <v/>
      </c>
      <c r="N368" s="32">
        <f>IF(B368="","",IF(E368&lt;&gt;"","P"&amp;E368,"N"&amp;B368))</f>
        <v/>
      </c>
      <c r="O368" s="32">
        <f>IF(N368="",0,IF(COUNTIF(N369:N$602,N368)=0,1,0))</f>
        <v/>
      </c>
      <c r="P368" s="32">
        <f>IF(AND(O368=1,E368&lt;&gt;""),E368,"")</f>
        <v/>
      </c>
      <c r="Q368" s="32">
        <f>IF(O368=1,B368,"")</f>
        <v/>
      </c>
      <c r="R368" s="32">
        <f>IF(O368&lt;&gt;1,"",IF(E368&lt;&gt;"",IFERROR(MATCH(E368,Guests!$S$6:$S$505,0)+5,IFERROR(MATCH(B368,Guests!$A$6:$A$505,0)+5,"")),IFERROR(MATCH(B368,Guests!$A$6:$A$505,0)+5,"")))</f>
        <v/>
      </c>
      <c r="S368" s="32">
        <f>IF(R368="","",TRIM(INDEX(Guests!$E$1:$E$505,R368)&amp;""))</f>
        <v/>
      </c>
      <c r="T368" s="32">
        <f>IF(R368="","",IF(S368="",1,COUNTIF(Guests!$E$6:$E$505,S368)))</f>
        <v/>
      </c>
      <c r="U368" s="32">
        <f>IF(R368="","",IF(S368="",1,IF(COUNTIF(S$1:S367,S368)=0,1,0)))</f>
        <v/>
      </c>
      <c r="V368" s="32">
        <f>IF(AND(R368&lt;&gt;"",G368="Attending",U368=1),MAX(0,H368+I368-T368),0)</f>
        <v/>
      </c>
      <c r="W368" s="32">
        <f>IF(AND(O368=1,R368=""),1,0)</f>
        <v/>
      </c>
      <c r="X368" s="32">
        <f>IF(B368="",0,H368+I368)</f>
        <v/>
      </c>
      <c r="Y368" s="32">
        <f>N(Y367)+O368</f>
        <v/>
      </c>
      <c r="Z368" s="32">
        <f>IF(O368=1,Y368,"")</f>
        <v/>
      </c>
      <c r="AA368" s="32">
        <f>IF(AND(W368=1,G368="Not sure yet"),1,0)</f>
        <v/>
      </c>
      <c r="AB368" s="32">
        <f>N(AB367)+AA368</f>
        <v/>
      </c>
      <c r="AC368" s="32">
        <f>IF(AA368=1,AB368,"")</f>
        <v/>
      </c>
      <c r="AD368" s="32">
        <f>IF(D368="","",IF(LEN(D368)=10,"+1"&amp;D368,IF(AND(LEN(D368)=11,LEFT(D368,1)="1"),"+"&amp;D368,IF(LEFT(C368,1)="+","+"&amp;D368,D368))))</f>
        <v/>
      </c>
      <c r="AE368" s="32">
        <f>IF(B368="","",PROPER(IFERROR(LEFT(B368,FIND(" ",B368)-1),B368)))</f>
        <v/>
      </c>
      <c r="AF368" s="32">
        <f>SUBSTITUTE(SUBSTITUTE(SUBSTITUTE(SUBSTITUTE(SUBSTITUTE(SUBSTITUTE(SUBSTITUTE(SUBSTITUTE(SUBSTITUTE(SUBSTITUTE(AE368,"%","%25"),"&amp;","%26"),"#","%23"),"+","%2B"),"=","%3D"),"?","%3F"),CHAR(34),"%22"),CHAR(10),"%0A"),CHAR(13),"")," ","+")</f>
        <v/>
      </c>
      <c r="AG368" s="32">
        <f>IF(OR(AD368="",AE368=""),"",'Start Here'!$B$20&amp;"#p="&amp;SUBSTITUTE(AD368,"+","%2B")&amp;"&amp;n="&amp;AF368&amp;"&amp;m="&amp;SUBSTITUTE('Start Here'!$B$24,"{name}",AF368))</f>
        <v/>
      </c>
      <c r="AH368" s="32">
        <f>N(AH367)+W368</f>
        <v/>
      </c>
      <c r="AI368" s="32">
        <f>IF(W368=1,AH368,"")</f>
        <v/>
      </c>
    </row>
    <row r="369">
      <c r="A369" s="32">
        <f>IF(INDEX('Form Responses'!$A:$A,ROW())="","",INDEX('Form Responses'!$A:$A,ROW()))</f>
        <v/>
      </c>
      <c r="B369" s="32">
        <f>TRIM(INDEX('Form Responses'!$B:$B,ROW())&amp;"")</f>
        <v/>
      </c>
      <c r="C369" s="32">
        <f>IF(B369="","",TRIM(INDEX('Form Responses'!$C:$C,ROW())&amp;""))</f>
        <v/>
      </c>
      <c r="D369" s="32">
        <f>SUBSTITUTE(SUBSTITUTE(SUBSTITUTE(SUBSTITUTE(SUBSTITUTE(SUBSTITUTE(SUBSTITUTE(SUBSTITUTE(C369," ",""),"-",""),"(",""),")",""),".",""),"+",""),"/",""),CHAR(160),"")</f>
        <v/>
      </c>
      <c r="E369" s="32">
        <f>IF(LEN(D369)&gt;=10,RIGHT(D369,10),D369)</f>
        <v/>
      </c>
      <c r="F369" s="32">
        <f>IF(B369="","",TRIM(INDEX('Form Responses'!$D:$D,ROW())&amp;""))</f>
        <v/>
      </c>
      <c r="G369" s="32">
        <f>IF(B369="","",IF(LEFT(TRIM(INDEX('Form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69" s="32">
        <f>IF(B369="","",MAX(0,IFERROR(INT(--(INDEX('Form Responses'!$F:$F,ROW())&amp;"")),1)))</f>
        <v/>
      </c>
      <c r="I369" s="32">
        <f>IF(B369="","",MAX(0,IFERROR(INT(--(INDEX('Form Responses'!$G:$G,ROW())&amp;"")),0)))</f>
        <v/>
      </c>
      <c r="J369" s="32">
        <f>IF(B369="","",TRIM(INDEX('Form Responses'!$H:$H,ROW())&amp;""))</f>
        <v/>
      </c>
      <c r="K369" s="32">
        <f>IF(B369="","",TRIM(INDEX('Form Responses'!$I:$I,ROW())&amp;""))</f>
        <v/>
      </c>
      <c r="L369" s="32">
        <f>IF(B369="","",TRIM(INDEX('Form Responses'!$J:$J,ROW())&amp;""))</f>
        <v/>
      </c>
      <c r="M369" s="32">
        <f>IF(B369="","",TRIM(INDEX('Form Responses'!$K:$K,ROW())&amp;""))</f>
        <v/>
      </c>
      <c r="N369" s="32">
        <f>IF(B369="","",IF(E369&lt;&gt;"","P"&amp;E369,"N"&amp;B369))</f>
        <v/>
      </c>
      <c r="O369" s="32">
        <f>IF(N369="",0,IF(COUNTIF(N370:N$602,N369)=0,1,0))</f>
        <v/>
      </c>
      <c r="P369" s="32">
        <f>IF(AND(O369=1,E369&lt;&gt;""),E369,"")</f>
        <v/>
      </c>
      <c r="Q369" s="32">
        <f>IF(O369=1,B369,"")</f>
        <v/>
      </c>
      <c r="R369" s="32">
        <f>IF(O369&lt;&gt;1,"",IF(E369&lt;&gt;"",IFERROR(MATCH(E369,Guests!$S$6:$S$505,0)+5,IFERROR(MATCH(B369,Guests!$A$6:$A$505,0)+5,"")),IFERROR(MATCH(B369,Guests!$A$6:$A$505,0)+5,"")))</f>
        <v/>
      </c>
      <c r="S369" s="32">
        <f>IF(R369="","",TRIM(INDEX(Guests!$E$1:$E$505,R369)&amp;""))</f>
        <v/>
      </c>
      <c r="T369" s="32">
        <f>IF(R369="","",IF(S369="",1,COUNTIF(Guests!$E$6:$E$505,S369)))</f>
        <v/>
      </c>
      <c r="U369" s="32">
        <f>IF(R369="","",IF(S369="",1,IF(COUNTIF(S$1:S368,S369)=0,1,0)))</f>
        <v/>
      </c>
      <c r="V369" s="32">
        <f>IF(AND(R369&lt;&gt;"",G369="Attending",U369=1),MAX(0,H369+I369-T369),0)</f>
        <v/>
      </c>
      <c r="W369" s="32">
        <f>IF(AND(O369=1,R369=""),1,0)</f>
        <v/>
      </c>
      <c r="X369" s="32">
        <f>IF(B369="",0,H369+I369)</f>
        <v/>
      </c>
      <c r="Y369" s="32">
        <f>N(Y368)+O369</f>
        <v/>
      </c>
      <c r="Z369" s="32">
        <f>IF(O369=1,Y369,"")</f>
        <v/>
      </c>
      <c r="AA369" s="32">
        <f>IF(AND(W369=1,G369="Not sure yet"),1,0)</f>
        <v/>
      </c>
      <c r="AB369" s="32">
        <f>N(AB368)+AA369</f>
        <v/>
      </c>
      <c r="AC369" s="32">
        <f>IF(AA369=1,AB369,"")</f>
        <v/>
      </c>
      <c r="AD369" s="32">
        <f>IF(D369="","",IF(LEN(D369)=10,"+1"&amp;D369,IF(AND(LEN(D369)=11,LEFT(D369,1)="1"),"+"&amp;D369,IF(LEFT(C369,1)="+","+"&amp;D369,D369))))</f>
        <v/>
      </c>
      <c r="AE369" s="32">
        <f>IF(B369="","",PROPER(IFERROR(LEFT(B369,FIND(" ",B369)-1),B369)))</f>
        <v/>
      </c>
      <c r="AF369" s="32">
        <f>SUBSTITUTE(SUBSTITUTE(SUBSTITUTE(SUBSTITUTE(SUBSTITUTE(SUBSTITUTE(SUBSTITUTE(SUBSTITUTE(SUBSTITUTE(SUBSTITUTE(AE369,"%","%25"),"&amp;","%26"),"#","%23"),"+","%2B"),"=","%3D"),"?","%3F"),CHAR(34),"%22"),CHAR(10),"%0A"),CHAR(13),"")," ","+")</f>
        <v/>
      </c>
      <c r="AG369" s="32">
        <f>IF(OR(AD369="",AE369=""),"",'Start Here'!$B$20&amp;"#p="&amp;SUBSTITUTE(AD369,"+","%2B")&amp;"&amp;n="&amp;AF369&amp;"&amp;m="&amp;SUBSTITUTE('Start Here'!$B$24,"{name}",AF369))</f>
        <v/>
      </c>
      <c r="AH369" s="32">
        <f>N(AH368)+W369</f>
        <v/>
      </c>
      <c r="AI369" s="32">
        <f>IF(W369=1,AH369,"")</f>
        <v/>
      </c>
    </row>
    <row r="370">
      <c r="A370" s="32">
        <f>IF(INDEX('Form Responses'!$A:$A,ROW())="","",INDEX('Form Responses'!$A:$A,ROW()))</f>
        <v/>
      </c>
      <c r="B370" s="32">
        <f>TRIM(INDEX('Form Responses'!$B:$B,ROW())&amp;"")</f>
        <v/>
      </c>
      <c r="C370" s="32">
        <f>IF(B370="","",TRIM(INDEX('Form Responses'!$C:$C,ROW())&amp;""))</f>
        <v/>
      </c>
      <c r="D370" s="32">
        <f>SUBSTITUTE(SUBSTITUTE(SUBSTITUTE(SUBSTITUTE(SUBSTITUTE(SUBSTITUTE(SUBSTITUTE(SUBSTITUTE(C370," ",""),"-",""),"(",""),")",""),".",""),"+",""),"/",""),CHAR(160),"")</f>
        <v/>
      </c>
      <c r="E370" s="32">
        <f>IF(LEN(D370)&gt;=10,RIGHT(D370,10),D370)</f>
        <v/>
      </c>
      <c r="F370" s="32">
        <f>IF(B370="","",TRIM(INDEX('Form Responses'!$D:$D,ROW())&amp;""))</f>
        <v/>
      </c>
      <c r="G370" s="32">
        <f>IF(B370="","",IF(LEFT(TRIM(INDEX('Form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0" s="32">
        <f>IF(B370="","",MAX(0,IFERROR(INT(--(INDEX('Form Responses'!$F:$F,ROW())&amp;"")),1)))</f>
        <v/>
      </c>
      <c r="I370" s="32">
        <f>IF(B370="","",MAX(0,IFERROR(INT(--(INDEX('Form Responses'!$G:$G,ROW())&amp;"")),0)))</f>
        <v/>
      </c>
      <c r="J370" s="32">
        <f>IF(B370="","",TRIM(INDEX('Form Responses'!$H:$H,ROW())&amp;""))</f>
        <v/>
      </c>
      <c r="K370" s="32">
        <f>IF(B370="","",TRIM(INDEX('Form Responses'!$I:$I,ROW())&amp;""))</f>
        <v/>
      </c>
      <c r="L370" s="32">
        <f>IF(B370="","",TRIM(INDEX('Form Responses'!$J:$J,ROW())&amp;""))</f>
        <v/>
      </c>
      <c r="M370" s="32">
        <f>IF(B370="","",TRIM(INDEX('Form Responses'!$K:$K,ROW())&amp;""))</f>
        <v/>
      </c>
      <c r="N370" s="32">
        <f>IF(B370="","",IF(E370&lt;&gt;"","P"&amp;E370,"N"&amp;B370))</f>
        <v/>
      </c>
      <c r="O370" s="32">
        <f>IF(N370="",0,IF(COUNTIF(N371:N$602,N370)=0,1,0))</f>
        <v/>
      </c>
      <c r="P370" s="32">
        <f>IF(AND(O370=1,E370&lt;&gt;""),E370,"")</f>
        <v/>
      </c>
      <c r="Q370" s="32">
        <f>IF(O370=1,B370,"")</f>
        <v/>
      </c>
      <c r="R370" s="32">
        <f>IF(O370&lt;&gt;1,"",IF(E370&lt;&gt;"",IFERROR(MATCH(E370,Guests!$S$6:$S$505,0)+5,IFERROR(MATCH(B370,Guests!$A$6:$A$505,0)+5,"")),IFERROR(MATCH(B370,Guests!$A$6:$A$505,0)+5,"")))</f>
        <v/>
      </c>
      <c r="S370" s="32">
        <f>IF(R370="","",TRIM(INDEX(Guests!$E$1:$E$505,R370)&amp;""))</f>
        <v/>
      </c>
      <c r="T370" s="32">
        <f>IF(R370="","",IF(S370="",1,COUNTIF(Guests!$E$6:$E$505,S370)))</f>
        <v/>
      </c>
      <c r="U370" s="32">
        <f>IF(R370="","",IF(S370="",1,IF(COUNTIF(S$1:S369,S370)=0,1,0)))</f>
        <v/>
      </c>
      <c r="V370" s="32">
        <f>IF(AND(R370&lt;&gt;"",G370="Attending",U370=1),MAX(0,H370+I370-T370),0)</f>
        <v/>
      </c>
      <c r="W370" s="32">
        <f>IF(AND(O370=1,R370=""),1,0)</f>
        <v/>
      </c>
      <c r="X370" s="32">
        <f>IF(B370="",0,H370+I370)</f>
        <v/>
      </c>
      <c r="Y370" s="32">
        <f>N(Y369)+O370</f>
        <v/>
      </c>
      <c r="Z370" s="32">
        <f>IF(O370=1,Y370,"")</f>
        <v/>
      </c>
      <c r="AA370" s="32">
        <f>IF(AND(W370=1,G370="Not sure yet"),1,0)</f>
        <v/>
      </c>
      <c r="AB370" s="32">
        <f>N(AB369)+AA370</f>
        <v/>
      </c>
      <c r="AC370" s="32">
        <f>IF(AA370=1,AB370,"")</f>
        <v/>
      </c>
      <c r="AD370" s="32">
        <f>IF(D370="","",IF(LEN(D370)=10,"+1"&amp;D370,IF(AND(LEN(D370)=11,LEFT(D370,1)="1"),"+"&amp;D370,IF(LEFT(C370,1)="+","+"&amp;D370,D370))))</f>
        <v/>
      </c>
      <c r="AE370" s="32">
        <f>IF(B370="","",PROPER(IFERROR(LEFT(B370,FIND(" ",B370)-1),B370)))</f>
        <v/>
      </c>
      <c r="AF370" s="32">
        <f>SUBSTITUTE(SUBSTITUTE(SUBSTITUTE(SUBSTITUTE(SUBSTITUTE(SUBSTITUTE(SUBSTITUTE(SUBSTITUTE(SUBSTITUTE(SUBSTITUTE(AE370,"%","%25"),"&amp;","%26"),"#","%23"),"+","%2B"),"=","%3D"),"?","%3F"),CHAR(34),"%22"),CHAR(10),"%0A"),CHAR(13),"")," ","+")</f>
        <v/>
      </c>
      <c r="AG370" s="32">
        <f>IF(OR(AD370="",AE370=""),"",'Start Here'!$B$20&amp;"#p="&amp;SUBSTITUTE(AD370,"+","%2B")&amp;"&amp;n="&amp;AF370&amp;"&amp;m="&amp;SUBSTITUTE('Start Here'!$B$24,"{name}",AF370))</f>
        <v/>
      </c>
      <c r="AH370" s="32">
        <f>N(AH369)+W370</f>
        <v/>
      </c>
      <c r="AI370" s="32">
        <f>IF(W370=1,AH370,"")</f>
        <v/>
      </c>
    </row>
    <row r="371">
      <c r="A371" s="32">
        <f>IF(INDEX('Form Responses'!$A:$A,ROW())="","",INDEX('Form Responses'!$A:$A,ROW()))</f>
        <v/>
      </c>
      <c r="B371" s="32">
        <f>TRIM(INDEX('Form Responses'!$B:$B,ROW())&amp;"")</f>
        <v/>
      </c>
      <c r="C371" s="32">
        <f>IF(B371="","",TRIM(INDEX('Form Responses'!$C:$C,ROW())&amp;""))</f>
        <v/>
      </c>
      <c r="D371" s="32">
        <f>SUBSTITUTE(SUBSTITUTE(SUBSTITUTE(SUBSTITUTE(SUBSTITUTE(SUBSTITUTE(SUBSTITUTE(SUBSTITUTE(C371," ",""),"-",""),"(",""),")",""),".",""),"+",""),"/",""),CHAR(160),"")</f>
        <v/>
      </c>
      <c r="E371" s="32">
        <f>IF(LEN(D371)&gt;=10,RIGHT(D371,10),D371)</f>
        <v/>
      </c>
      <c r="F371" s="32">
        <f>IF(B371="","",TRIM(INDEX('Form Responses'!$D:$D,ROW())&amp;""))</f>
        <v/>
      </c>
      <c r="G371" s="32">
        <f>IF(B371="","",IF(LEFT(TRIM(INDEX('Form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1" s="32">
        <f>IF(B371="","",MAX(0,IFERROR(INT(--(INDEX('Form Responses'!$F:$F,ROW())&amp;"")),1)))</f>
        <v/>
      </c>
      <c r="I371" s="32">
        <f>IF(B371="","",MAX(0,IFERROR(INT(--(INDEX('Form Responses'!$G:$G,ROW())&amp;"")),0)))</f>
        <v/>
      </c>
      <c r="J371" s="32">
        <f>IF(B371="","",TRIM(INDEX('Form Responses'!$H:$H,ROW())&amp;""))</f>
        <v/>
      </c>
      <c r="K371" s="32">
        <f>IF(B371="","",TRIM(INDEX('Form Responses'!$I:$I,ROW())&amp;""))</f>
        <v/>
      </c>
      <c r="L371" s="32">
        <f>IF(B371="","",TRIM(INDEX('Form Responses'!$J:$J,ROW())&amp;""))</f>
        <v/>
      </c>
      <c r="M371" s="32">
        <f>IF(B371="","",TRIM(INDEX('Form Responses'!$K:$K,ROW())&amp;""))</f>
        <v/>
      </c>
      <c r="N371" s="32">
        <f>IF(B371="","",IF(E371&lt;&gt;"","P"&amp;E371,"N"&amp;B371))</f>
        <v/>
      </c>
      <c r="O371" s="32">
        <f>IF(N371="",0,IF(COUNTIF(N372:N$602,N371)=0,1,0))</f>
        <v/>
      </c>
      <c r="P371" s="32">
        <f>IF(AND(O371=1,E371&lt;&gt;""),E371,"")</f>
        <v/>
      </c>
      <c r="Q371" s="32">
        <f>IF(O371=1,B371,"")</f>
        <v/>
      </c>
      <c r="R371" s="32">
        <f>IF(O371&lt;&gt;1,"",IF(E371&lt;&gt;"",IFERROR(MATCH(E371,Guests!$S$6:$S$505,0)+5,IFERROR(MATCH(B371,Guests!$A$6:$A$505,0)+5,"")),IFERROR(MATCH(B371,Guests!$A$6:$A$505,0)+5,"")))</f>
        <v/>
      </c>
      <c r="S371" s="32">
        <f>IF(R371="","",TRIM(INDEX(Guests!$E$1:$E$505,R371)&amp;""))</f>
        <v/>
      </c>
      <c r="T371" s="32">
        <f>IF(R371="","",IF(S371="",1,COUNTIF(Guests!$E$6:$E$505,S371)))</f>
        <v/>
      </c>
      <c r="U371" s="32">
        <f>IF(R371="","",IF(S371="",1,IF(COUNTIF(S$1:S370,S371)=0,1,0)))</f>
        <v/>
      </c>
      <c r="V371" s="32">
        <f>IF(AND(R371&lt;&gt;"",G371="Attending",U371=1),MAX(0,H371+I371-T371),0)</f>
        <v/>
      </c>
      <c r="W371" s="32">
        <f>IF(AND(O371=1,R371=""),1,0)</f>
        <v/>
      </c>
      <c r="X371" s="32">
        <f>IF(B371="",0,H371+I371)</f>
        <v/>
      </c>
      <c r="Y371" s="32">
        <f>N(Y370)+O371</f>
        <v/>
      </c>
      <c r="Z371" s="32">
        <f>IF(O371=1,Y371,"")</f>
        <v/>
      </c>
      <c r="AA371" s="32">
        <f>IF(AND(W371=1,G371="Not sure yet"),1,0)</f>
        <v/>
      </c>
      <c r="AB371" s="32">
        <f>N(AB370)+AA371</f>
        <v/>
      </c>
      <c r="AC371" s="32">
        <f>IF(AA371=1,AB371,"")</f>
        <v/>
      </c>
      <c r="AD371" s="32">
        <f>IF(D371="","",IF(LEN(D371)=10,"+1"&amp;D371,IF(AND(LEN(D371)=11,LEFT(D371,1)="1"),"+"&amp;D371,IF(LEFT(C371,1)="+","+"&amp;D371,D371))))</f>
        <v/>
      </c>
      <c r="AE371" s="32">
        <f>IF(B371="","",PROPER(IFERROR(LEFT(B371,FIND(" ",B371)-1),B371)))</f>
        <v/>
      </c>
      <c r="AF371" s="32">
        <f>SUBSTITUTE(SUBSTITUTE(SUBSTITUTE(SUBSTITUTE(SUBSTITUTE(SUBSTITUTE(SUBSTITUTE(SUBSTITUTE(SUBSTITUTE(SUBSTITUTE(AE371,"%","%25"),"&amp;","%26"),"#","%23"),"+","%2B"),"=","%3D"),"?","%3F"),CHAR(34),"%22"),CHAR(10),"%0A"),CHAR(13),"")," ","+")</f>
        <v/>
      </c>
      <c r="AG371" s="32">
        <f>IF(OR(AD371="",AE371=""),"",'Start Here'!$B$20&amp;"#p="&amp;SUBSTITUTE(AD371,"+","%2B")&amp;"&amp;n="&amp;AF371&amp;"&amp;m="&amp;SUBSTITUTE('Start Here'!$B$24,"{name}",AF371))</f>
        <v/>
      </c>
      <c r="AH371" s="32">
        <f>N(AH370)+W371</f>
        <v/>
      </c>
      <c r="AI371" s="32">
        <f>IF(W371=1,AH371,"")</f>
        <v/>
      </c>
    </row>
    <row r="372">
      <c r="A372" s="32">
        <f>IF(INDEX('Form Responses'!$A:$A,ROW())="","",INDEX('Form Responses'!$A:$A,ROW()))</f>
        <v/>
      </c>
      <c r="B372" s="32">
        <f>TRIM(INDEX('Form Responses'!$B:$B,ROW())&amp;"")</f>
        <v/>
      </c>
      <c r="C372" s="32">
        <f>IF(B372="","",TRIM(INDEX('Form Responses'!$C:$C,ROW())&amp;""))</f>
        <v/>
      </c>
      <c r="D372" s="32">
        <f>SUBSTITUTE(SUBSTITUTE(SUBSTITUTE(SUBSTITUTE(SUBSTITUTE(SUBSTITUTE(SUBSTITUTE(SUBSTITUTE(C372," ",""),"-",""),"(",""),")",""),".",""),"+",""),"/",""),CHAR(160),"")</f>
        <v/>
      </c>
      <c r="E372" s="32">
        <f>IF(LEN(D372)&gt;=10,RIGHT(D372,10),D372)</f>
        <v/>
      </c>
      <c r="F372" s="32">
        <f>IF(B372="","",TRIM(INDEX('Form Responses'!$D:$D,ROW())&amp;""))</f>
        <v/>
      </c>
      <c r="G372" s="32">
        <f>IF(B372="","",IF(LEFT(TRIM(INDEX('Form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2" s="32">
        <f>IF(B372="","",MAX(0,IFERROR(INT(--(INDEX('Form Responses'!$F:$F,ROW())&amp;"")),1)))</f>
        <v/>
      </c>
      <c r="I372" s="32">
        <f>IF(B372="","",MAX(0,IFERROR(INT(--(INDEX('Form Responses'!$G:$G,ROW())&amp;"")),0)))</f>
        <v/>
      </c>
      <c r="J372" s="32">
        <f>IF(B372="","",TRIM(INDEX('Form Responses'!$H:$H,ROW())&amp;""))</f>
        <v/>
      </c>
      <c r="K372" s="32">
        <f>IF(B372="","",TRIM(INDEX('Form Responses'!$I:$I,ROW())&amp;""))</f>
        <v/>
      </c>
      <c r="L372" s="32">
        <f>IF(B372="","",TRIM(INDEX('Form Responses'!$J:$J,ROW())&amp;""))</f>
        <v/>
      </c>
      <c r="M372" s="32">
        <f>IF(B372="","",TRIM(INDEX('Form Responses'!$K:$K,ROW())&amp;""))</f>
        <v/>
      </c>
      <c r="N372" s="32">
        <f>IF(B372="","",IF(E372&lt;&gt;"","P"&amp;E372,"N"&amp;B372))</f>
        <v/>
      </c>
      <c r="O372" s="32">
        <f>IF(N372="",0,IF(COUNTIF(N373:N$602,N372)=0,1,0))</f>
        <v/>
      </c>
      <c r="P372" s="32">
        <f>IF(AND(O372=1,E372&lt;&gt;""),E372,"")</f>
        <v/>
      </c>
      <c r="Q372" s="32">
        <f>IF(O372=1,B372,"")</f>
        <v/>
      </c>
      <c r="R372" s="32">
        <f>IF(O372&lt;&gt;1,"",IF(E372&lt;&gt;"",IFERROR(MATCH(E372,Guests!$S$6:$S$505,0)+5,IFERROR(MATCH(B372,Guests!$A$6:$A$505,0)+5,"")),IFERROR(MATCH(B372,Guests!$A$6:$A$505,0)+5,"")))</f>
        <v/>
      </c>
      <c r="S372" s="32">
        <f>IF(R372="","",TRIM(INDEX(Guests!$E$1:$E$505,R372)&amp;""))</f>
        <v/>
      </c>
      <c r="T372" s="32">
        <f>IF(R372="","",IF(S372="",1,COUNTIF(Guests!$E$6:$E$505,S372)))</f>
        <v/>
      </c>
      <c r="U372" s="32">
        <f>IF(R372="","",IF(S372="",1,IF(COUNTIF(S$1:S371,S372)=0,1,0)))</f>
        <v/>
      </c>
      <c r="V372" s="32">
        <f>IF(AND(R372&lt;&gt;"",G372="Attending",U372=1),MAX(0,H372+I372-T372),0)</f>
        <v/>
      </c>
      <c r="W372" s="32">
        <f>IF(AND(O372=1,R372=""),1,0)</f>
        <v/>
      </c>
      <c r="X372" s="32">
        <f>IF(B372="",0,H372+I372)</f>
        <v/>
      </c>
      <c r="Y372" s="32">
        <f>N(Y371)+O372</f>
        <v/>
      </c>
      <c r="Z372" s="32">
        <f>IF(O372=1,Y372,"")</f>
        <v/>
      </c>
      <c r="AA372" s="32">
        <f>IF(AND(W372=1,G372="Not sure yet"),1,0)</f>
        <v/>
      </c>
      <c r="AB372" s="32">
        <f>N(AB371)+AA372</f>
        <v/>
      </c>
      <c r="AC372" s="32">
        <f>IF(AA372=1,AB372,"")</f>
        <v/>
      </c>
      <c r="AD372" s="32">
        <f>IF(D372="","",IF(LEN(D372)=10,"+1"&amp;D372,IF(AND(LEN(D372)=11,LEFT(D372,1)="1"),"+"&amp;D372,IF(LEFT(C372,1)="+","+"&amp;D372,D372))))</f>
        <v/>
      </c>
      <c r="AE372" s="32">
        <f>IF(B372="","",PROPER(IFERROR(LEFT(B372,FIND(" ",B372)-1),B372)))</f>
        <v/>
      </c>
      <c r="AF372" s="32">
        <f>SUBSTITUTE(SUBSTITUTE(SUBSTITUTE(SUBSTITUTE(SUBSTITUTE(SUBSTITUTE(SUBSTITUTE(SUBSTITUTE(SUBSTITUTE(SUBSTITUTE(AE372,"%","%25"),"&amp;","%26"),"#","%23"),"+","%2B"),"=","%3D"),"?","%3F"),CHAR(34),"%22"),CHAR(10),"%0A"),CHAR(13),"")," ","+")</f>
        <v/>
      </c>
      <c r="AG372" s="32">
        <f>IF(OR(AD372="",AE372=""),"",'Start Here'!$B$20&amp;"#p="&amp;SUBSTITUTE(AD372,"+","%2B")&amp;"&amp;n="&amp;AF372&amp;"&amp;m="&amp;SUBSTITUTE('Start Here'!$B$24,"{name}",AF372))</f>
        <v/>
      </c>
      <c r="AH372" s="32">
        <f>N(AH371)+W372</f>
        <v/>
      </c>
      <c r="AI372" s="32">
        <f>IF(W372=1,AH372,"")</f>
        <v/>
      </c>
    </row>
    <row r="373">
      <c r="A373" s="32">
        <f>IF(INDEX('Form Responses'!$A:$A,ROW())="","",INDEX('Form Responses'!$A:$A,ROW()))</f>
        <v/>
      </c>
      <c r="B373" s="32">
        <f>TRIM(INDEX('Form Responses'!$B:$B,ROW())&amp;"")</f>
        <v/>
      </c>
      <c r="C373" s="32">
        <f>IF(B373="","",TRIM(INDEX('Form Responses'!$C:$C,ROW())&amp;""))</f>
        <v/>
      </c>
      <c r="D373" s="32">
        <f>SUBSTITUTE(SUBSTITUTE(SUBSTITUTE(SUBSTITUTE(SUBSTITUTE(SUBSTITUTE(SUBSTITUTE(SUBSTITUTE(C373," ",""),"-",""),"(",""),")",""),".",""),"+",""),"/",""),CHAR(160),"")</f>
        <v/>
      </c>
      <c r="E373" s="32">
        <f>IF(LEN(D373)&gt;=10,RIGHT(D373,10),D373)</f>
        <v/>
      </c>
      <c r="F373" s="32">
        <f>IF(B373="","",TRIM(INDEX('Form Responses'!$D:$D,ROW())&amp;""))</f>
        <v/>
      </c>
      <c r="G373" s="32">
        <f>IF(B373="","",IF(LEFT(TRIM(INDEX('Form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3" s="32">
        <f>IF(B373="","",MAX(0,IFERROR(INT(--(INDEX('Form Responses'!$F:$F,ROW())&amp;"")),1)))</f>
        <v/>
      </c>
      <c r="I373" s="32">
        <f>IF(B373="","",MAX(0,IFERROR(INT(--(INDEX('Form Responses'!$G:$G,ROW())&amp;"")),0)))</f>
        <v/>
      </c>
      <c r="J373" s="32">
        <f>IF(B373="","",TRIM(INDEX('Form Responses'!$H:$H,ROW())&amp;""))</f>
        <v/>
      </c>
      <c r="K373" s="32">
        <f>IF(B373="","",TRIM(INDEX('Form Responses'!$I:$I,ROW())&amp;""))</f>
        <v/>
      </c>
      <c r="L373" s="32">
        <f>IF(B373="","",TRIM(INDEX('Form Responses'!$J:$J,ROW())&amp;""))</f>
        <v/>
      </c>
      <c r="M373" s="32">
        <f>IF(B373="","",TRIM(INDEX('Form Responses'!$K:$K,ROW())&amp;""))</f>
        <v/>
      </c>
      <c r="N373" s="32">
        <f>IF(B373="","",IF(E373&lt;&gt;"","P"&amp;E373,"N"&amp;B373))</f>
        <v/>
      </c>
      <c r="O373" s="32">
        <f>IF(N373="",0,IF(COUNTIF(N374:N$602,N373)=0,1,0))</f>
        <v/>
      </c>
      <c r="P373" s="32">
        <f>IF(AND(O373=1,E373&lt;&gt;""),E373,"")</f>
        <v/>
      </c>
      <c r="Q373" s="32">
        <f>IF(O373=1,B373,"")</f>
        <v/>
      </c>
      <c r="R373" s="32">
        <f>IF(O373&lt;&gt;1,"",IF(E373&lt;&gt;"",IFERROR(MATCH(E373,Guests!$S$6:$S$505,0)+5,IFERROR(MATCH(B373,Guests!$A$6:$A$505,0)+5,"")),IFERROR(MATCH(B373,Guests!$A$6:$A$505,0)+5,"")))</f>
        <v/>
      </c>
      <c r="S373" s="32">
        <f>IF(R373="","",TRIM(INDEX(Guests!$E$1:$E$505,R373)&amp;""))</f>
        <v/>
      </c>
      <c r="T373" s="32">
        <f>IF(R373="","",IF(S373="",1,COUNTIF(Guests!$E$6:$E$505,S373)))</f>
        <v/>
      </c>
      <c r="U373" s="32">
        <f>IF(R373="","",IF(S373="",1,IF(COUNTIF(S$1:S372,S373)=0,1,0)))</f>
        <v/>
      </c>
      <c r="V373" s="32">
        <f>IF(AND(R373&lt;&gt;"",G373="Attending",U373=1),MAX(0,H373+I373-T373),0)</f>
        <v/>
      </c>
      <c r="W373" s="32">
        <f>IF(AND(O373=1,R373=""),1,0)</f>
        <v/>
      </c>
      <c r="X373" s="32">
        <f>IF(B373="",0,H373+I373)</f>
        <v/>
      </c>
      <c r="Y373" s="32">
        <f>N(Y372)+O373</f>
        <v/>
      </c>
      <c r="Z373" s="32">
        <f>IF(O373=1,Y373,"")</f>
        <v/>
      </c>
      <c r="AA373" s="32">
        <f>IF(AND(W373=1,G373="Not sure yet"),1,0)</f>
        <v/>
      </c>
      <c r="AB373" s="32">
        <f>N(AB372)+AA373</f>
        <v/>
      </c>
      <c r="AC373" s="32">
        <f>IF(AA373=1,AB373,"")</f>
        <v/>
      </c>
      <c r="AD373" s="32">
        <f>IF(D373="","",IF(LEN(D373)=10,"+1"&amp;D373,IF(AND(LEN(D373)=11,LEFT(D373,1)="1"),"+"&amp;D373,IF(LEFT(C373,1)="+","+"&amp;D373,D373))))</f>
        <v/>
      </c>
      <c r="AE373" s="32">
        <f>IF(B373="","",PROPER(IFERROR(LEFT(B373,FIND(" ",B373)-1),B373)))</f>
        <v/>
      </c>
      <c r="AF373" s="32">
        <f>SUBSTITUTE(SUBSTITUTE(SUBSTITUTE(SUBSTITUTE(SUBSTITUTE(SUBSTITUTE(SUBSTITUTE(SUBSTITUTE(SUBSTITUTE(SUBSTITUTE(AE373,"%","%25"),"&amp;","%26"),"#","%23"),"+","%2B"),"=","%3D"),"?","%3F"),CHAR(34),"%22"),CHAR(10),"%0A"),CHAR(13),"")," ","+")</f>
        <v/>
      </c>
      <c r="AG373" s="32">
        <f>IF(OR(AD373="",AE373=""),"",'Start Here'!$B$20&amp;"#p="&amp;SUBSTITUTE(AD373,"+","%2B")&amp;"&amp;n="&amp;AF373&amp;"&amp;m="&amp;SUBSTITUTE('Start Here'!$B$24,"{name}",AF373))</f>
        <v/>
      </c>
      <c r="AH373" s="32">
        <f>N(AH372)+W373</f>
        <v/>
      </c>
      <c r="AI373" s="32">
        <f>IF(W373=1,AH373,"")</f>
        <v/>
      </c>
    </row>
    <row r="374">
      <c r="A374" s="32">
        <f>IF(INDEX('Form Responses'!$A:$A,ROW())="","",INDEX('Form Responses'!$A:$A,ROW()))</f>
        <v/>
      </c>
      <c r="B374" s="32">
        <f>TRIM(INDEX('Form Responses'!$B:$B,ROW())&amp;"")</f>
        <v/>
      </c>
      <c r="C374" s="32">
        <f>IF(B374="","",TRIM(INDEX('Form Responses'!$C:$C,ROW())&amp;""))</f>
        <v/>
      </c>
      <c r="D374" s="32">
        <f>SUBSTITUTE(SUBSTITUTE(SUBSTITUTE(SUBSTITUTE(SUBSTITUTE(SUBSTITUTE(SUBSTITUTE(SUBSTITUTE(C374," ",""),"-",""),"(",""),")",""),".",""),"+",""),"/",""),CHAR(160),"")</f>
        <v/>
      </c>
      <c r="E374" s="32">
        <f>IF(LEN(D374)&gt;=10,RIGHT(D374,10),D374)</f>
        <v/>
      </c>
      <c r="F374" s="32">
        <f>IF(B374="","",TRIM(INDEX('Form Responses'!$D:$D,ROW())&amp;""))</f>
        <v/>
      </c>
      <c r="G374" s="32">
        <f>IF(B374="","",IF(LEFT(TRIM(INDEX('Form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4" s="32">
        <f>IF(B374="","",MAX(0,IFERROR(INT(--(INDEX('Form Responses'!$F:$F,ROW())&amp;"")),1)))</f>
        <v/>
      </c>
      <c r="I374" s="32">
        <f>IF(B374="","",MAX(0,IFERROR(INT(--(INDEX('Form Responses'!$G:$G,ROW())&amp;"")),0)))</f>
        <v/>
      </c>
      <c r="J374" s="32">
        <f>IF(B374="","",TRIM(INDEX('Form Responses'!$H:$H,ROW())&amp;""))</f>
        <v/>
      </c>
      <c r="K374" s="32">
        <f>IF(B374="","",TRIM(INDEX('Form Responses'!$I:$I,ROW())&amp;""))</f>
        <v/>
      </c>
      <c r="L374" s="32">
        <f>IF(B374="","",TRIM(INDEX('Form Responses'!$J:$J,ROW())&amp;""))</f>
        <v/>
      </c>
      <c r="M374" s="32">
        <f>IF(B374="","",TRIM(INDEX('Form Responses'!$K:$K,ROW())&amp;""))</f>
        <v/>
      </c>
      <c r="N374" s="32">
        <f>IF(B374="","",IF(E374&lt;&gt;"","P"&amp;E374,"N"&amp;B374))</f>
        <v/>
      </c>
      <c r="O374" s="32">
        <f>IF(N374="",0,IF(COUNTIF(N375:N$602,N374)=0,1,0))</f>
        <v/>
      </c>
      <c r="P374" s="32">
        <f>IF(AND(O374=1,E374&lt;&gt;""),E374,"")</f>
        <v/>
      </c>
      <c r="Q374" s="32">
        <f>IF(O374=1,B374,"")</f>
        <v/>
      </c>
      <c r="R374" s="32">
        <f>IF(O374&lt;&gt;1,"",IF(E374&lt;&gt;"",IFERROR(MATCH(E374,Guests!$S$6:$S$505,0)+5,IFERROR(MATCH(B374,Guests!$A$6:$A$505,0)+5,"")),IFERROR(MATCH(B374,Guests!$A$6:$A$505,0)+5,"")))</f>
        <v/>
      </c>
      <c r="S374" s="32">
        <f>IF(R374="","",TRIM(INDEX(Guests!$E$1:$E$505,R374)&amp;""))</f>
        <v/>
      </c>
      <c r="T374" s="32">
        <f>IF(R374="","",IF(S374="",1,COUNTIF(Guests!$E$6:$E$505,S374)))</f>
        <v/>
      </c>
      <c r="U374" s="32">
        <f>IF(R374="","",IF(S374="",1,IF(COUNTIF(S$1:S373,S374)=0,1,0)))</f>
        <v/>
      </c>
      <c r="V374" s="32">
        <f>IF(AND(R374&lt;&gt;"",G374="Attending",U374=1),MAX(0,H374+I374-T374),0)</f>
        <v/>
      </c>
      <c r="W374" s="32">
        <f>IF(AND(O374=1,R374=""),1,0)</f>
        <v/>
      </c>
      <c r="X374" s="32">
        <f>IF(B374="",0,H374+I374)</f>
        <v/>
      </c>
      <c r="Y374" s="32">
        <f>N(Y373)+O374</f>
        <v/>
      </c>
      <c r="Z374" s="32">
        <f>IF(O374=1,Y374,"")</f>
        <v/>
      </c>
      <c r="AA374" s="32">
        <f>IF(AND(W374=1,G374="Not sure yet"),1,0)</f>
        <v/>
      </c>
      <c r="AB374" s="32">
        <f>N(AB373)+AA374</f>
        <v/>
      </c>
      <c r="AC374" s="32">
        <f>IF(AA374=1,AB374,"")</f>
        <v/>
      </c>
      <c r="AD374" s="32">
        <f>IF(D374="","",IF(LEN(D374)=10,"+1"&amp;D374,IF(AND(LEN(D374)=11,LEFT(D374,1)="1"),"+"&amp;D374,IF(LEFT(C374,1)="+","+"&amp;D374,D374))))</f>
        <v/>
      </c>
      <c r="AE374" s="32">
        <f>IF(B374="","",PROPER(IFERROR(LEFT(B374,FIND(" ",B374)-1),B374)))</f>
        <v/>
      </c>
      <c r="AF374" s="32">
        <f>SUBSTITUTE(SUBSTITUTE(SUBSTITUTE(SUBSTITUTE(SUBSTITUTE(SUBSTITUTE(SUBSTITUTE(SUBSTITUTE(SUBSTITUTE(SUBSTITUTE(AE374,"%","%25"),"&amp;","%26"),"#","%23"),"+","%2B"),"=","%3D"),"?","%3F"),CHAR(34),"%22"),CHAR(10),"%0A"),CHAR(13),"")," ","+")</f>
        <v/>
      </c>
      <c r="AG374" s="32">
        <f>IF(OR(AD374="",AE374=""),"",'Start Here'!$B$20&amp;"#p="&amp;SUBSTITUTE(AD374,"+","%2B")&amp;"&amp;n="&amp;AF374&amp;"&amp;m="&amp;SUBSTITUTE('Start Here'!$B$24,"{name}",AF374))</f>
        <v/>
      </c>
      <c r="AH374" s="32">
        <f>N(AH373)+W374</f>
        <v/>
      </c>
      <c r="AI374" s="32">
        <f>IF(W374=1,AH374,"")</f>
        <v/>
      </c>
    </row>
    <row r="375">
      <c r="A375" s="32">
        <f>IF(INDEX('Form Responses'!$A:$A,ROW())="","",INDEX('Form Responses'!$A:$A,ROW()))</f>
        <v/>
      </c>
      <c r="B375" s="32">
        <f>TRIM(INDEX('Form Responses'!$B:$B,ROW())&amp;"")</f>
        <v/>
      </c>
      <c r="C375" s="32">
        <f>IF(B375="","",TRIM(INDEX('Form Responses'!$C:$C,ROW())&amp;""))</f>
        <v/>
      </c>
      <c r="D375" s="32">
        <f>SUBSTITUTE(SUBSTITUTE(SUBSTITUTE(SUBSTITUTE(SUBSTITUTE(SUBSTITUTE(SUBSTITUTE(SUBSTITUTE(C375," ",""),"-",""),"(",""),")",""),".",""),"+",""),"/",""),CHAR(160),"")</f>
        <v/>
      </c>
      <c r="E375" s="32">
        <f>IF(LEN(D375)&gt;=10,RIGHT(D375,10),D375)</f>
        <v/>
      </c>
      <c r="F375" s="32">
        <f>IF(B375="","",TRIM(INDEX('Form Responses'!$D:$D,ROW())&amp;""))</f>
        <v/>
      </c>
      <c r="G375" s="32">
        <f>IF(B375="","",IF(LEFT(TRIM(INDEX('Form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5" s="32">
        <f>IF(B375="","",MAX(0,IFERROR(INT(--(INDEX('Form Responses'!$F:$F,ROW())&amp;"")),1)))</f>
        <v/>
      </c>
      <c r="I375" s="32">
        <f>IF(B375="","",MAX(0,IFERROR(INT(--(INDEX('Form Responses'!$G:$G,ROW())&amp;"")),0)))</f>
        <v/>
      </c>
      <c r="J375" s="32">
        <f>IF(B375="","",TRIM(INDEX('Form Responses'!$H:$H,ROW())&amp;""))</f>
        <v/>
      </c>
      <c r="K375" s="32">
        <f>IF(B375="","",TRIM(INDEX('Form Responses'!$I:$I,ROW())&amp;""))</f>
        <v/>
      </c>
      <c r="L375" s="32">
        <f>IF(B375="","",TRIM(INDEX('Form Responses'!$J:$J,ROW())&amp;""))</f>
        <v/>
      </c>
      <c r="M375" s="32">
        <f>IF(B375="","",TRIM(INDEX('Form Responses'!$K:$K,ROW())&amp;""))</f>
        <v/>
      </c>
      <c r="N375" s="32">
        <f>IF(B375="","",IF(E375&lt;&gt;"","P"&amp;E375,"N"&amp;B375))</f>
        <v/>
      </c>
      <c r="O375" s="32">
        <f>IF(N375="",0,IF(COUNTIF(N376:N$602,N375)=0,1,0))</f>
        <v/>
      </c>
      <c r="P375" s="32">
        <f>IF(AND(O375=1,E375&lt;&gt;""),E375,"")</f>
        <v/>
      </c>
      <c r="Q375" s="32">
        <f>IF(O375=1,B375,"")</f>
        <v/>
      </c>
      <c r="R375" s="32">
        <f>IF(O375&lt;&gt;1,"",IF(E375&lt;&gt;"",IFERROR(MATCH(E375,Guests!$S$6:$S$505,0)+5,IFERROR(MATCH(B375,Guests!$A$6:$A$505,0)+5,"")),IFERROR(MATCH(B375,Guests!$A$6:$A$505,0)+5,"")))</f>
        <v/>
      </c>
      <c r="S375" s="32">
        <f>IF(R375="","",TRIM(INDEX(Guests!$E$1:$E$505,R375)&amp;""))</f>
        <v/>
      </c>
      <c r="T375" s="32">
        <f>IF(R375="","",IF(S375="",1,COUNTIF(Guests!$E$6:$E$505,S375)))</f>
        <v/>
      </c>
      <c r="U375" s="32">
        <f>IF(R375="","",IF(S375="",1,IF(COUNTIF(S$1:S374,S375)=0,1,0)))</f>
        <v/>
      </c>
      <c r="V375" s="32">
        <f>IF(AND(R375&lt;&gt;"",G375="Attending",U375=1),MAX(0,H375+I375-T375),0)</f>
        <v/>
      </c>
      <c r="W375" s="32">
        <f>IF(AND(O375=1,R375=""),1,0)</f>
        <v/>
      </c>
      <c r="X375" s="32">
        <f>IF(B375="",0,H375+I375)</f>
        <v/>
      </c>
      <c r="Y375" s="32">
        <f>N(Y374)+O375</f>
        <v/>
      </c>
      <c r="Z375" s="32">
        <f>IF(O375=1,Y375,"")</f>
        <v/>
      </c>
      <c r="AA375" s="32">
        <f>IF(AND(W375=1,G375="Not sure yet"),1,0)</f>
        <v/>
      </c>
      <c r="AB375" s="32">
        <f>N(AB374)+AA375</f>
        <v/>
      </c>
      <c r="AC375" s="32">
        <f>IF(AA375=1,AB375,"")</f>
        <v/>
      </c>
      <c r="AD375" s="32">
        <f>IF(D375="","",IF(LEN(D375)=10,"+1"&amp;D375,IF(AND(LEN(D375)=11,LEFT(D375,1)="1"),"+"&amp;D375,IF(LEFT(C375,1)="+","+"&amp;D375,D375))))</f>
        <v/>
      </c>
      <c r="AE375" s="32">
        <f>IF(B375="","",PROPER(IFERROR(LEFT(B375,FIND(" ",B375)-1),B375)))</f>
        <v/>
      </c>
      <c r="AF375" s="32">
        <f>SUBSTITUTE(SUBSTITUTE(SUBSTITUTE(SUBSTITUTE(SUBSTITUTE(SUBSTITUTE(SUBSTITUTE(SUBSTITUTE(SUBSTITUTE(SUBSTITUTE(AE375,"%","%25"),"&amp;","%26"),"#","%23"),"+","%2B"),"=","%3D"),"?","%3F"),CHAR(34),"%22"),CHAR(10),"%0A"),CHAR(13),"")," ","+")</f>
        <v/>
      </c>
      <c r="AG375" s="32">
        <f>IF(OR(AD375="",AE375=""),"",'Start Here'!$B$20&amp;"#p="&amp;SUBSTITUTE(AD375,"+","%2B")&amp;"&amp;n="&amp;AF375&amp;"&amp;m="&amp;SUBSTITUTE('Start Here'!$B$24,"{name}",AF375))</f>
        <v/>
      </c>
      <c r="AH375" s="32">
        <f>N(AH374)+W375</f>
        <v/>
      </c>
      <c r="AI375" s="32">
        <f>IF(W375=1,AH375,"")</f>
        <v/>
      </c>
    </row>
    <row r="376">
      <c r="A376" s="32">
        <f>IF(INDEX('Form Responses'!$A:$A,ROW())="","",INDEX('Form Responses'!$A:$A,ROW()))</f>
        <v/>
      </c>
      <c r="B376" s="32">
        <f>TRIM(INDEX('Form Responses'!$B:$B,ROW())&amp;"")</f>
        <v/>
      </c>
      <c r="C376" s="32">
        <f>IF(B376="","",TRIM(INDEX('Form Responses'!$C:$C,ROW())&amp;""))</f>
        <v/>
      </c>
      <c r="D376" s="32">
        <f>SUBSTITUTE(SUBSTITUTE(SUBSTITUTE(SUBSTITUTE(SUBSTITUTE(SUBSTITUTE(SUBSTITUTE(SUBSTITUTE(C376," ",""),"-",""),"(",""),")",""),".",""),"+",""),"/",""),CHAR(160),"")</f>
        <v/>
      </c>
      <c r="E376" s="32">
        <f>IF(LEN(D376)&gt;=10,RIGHT(D376,10),D376)</f>
        <v/>
      </c>
      <c r="F376" s="32">
        <f>IF(B376="","",TRIM(INDEX('Form Responses'!$D:$D,ROW())&amp;""))</f>
        <v/>
      </c>
      <c r="G376" s="32">
        <f>IF(B376="","",IF(LEFT(TRIM(INDEX('Form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6" s="32">
        <f>IF(B376="","",MAX(0,IFERROR(INT(--(INDEX('Form Responses'!$F:$F,ROW())&amp;"")),1)))</f>
        <v/>
      </c>
      <c r="I376" s="32">
        <f>IF(B376="","",MAX(0,IFERROR(INT(--(INDEX('Form Responses'!$G:$G,ROW())&amp;"")),0)))</f>
        <v/>
      </c>
      <c r="J376" s="32">
        <f>IF(B376="","",TRIM(INDEX('Form Responses'!$H:$H,ROW())&amp;""))</f>
        <v/>
      </c>
      <c r="K376" s="32">
        <f>IF(B376="","",TRIM(INDEX('Form Responses'!$I:$I,ROW())&amp;""))</f>
        <v/>
      </c>
      <c r="L376" s="32">
        <f>IF(B376="","",TRIM(INDEX('Form Responses'!$J:$J,ROW())&amp;""))</f>
        <v/>
      </c>
      <c r="M376" s="32">
        <f>IF(B376="","",TRIM(INDEX('Form Responses'!$K:$K,ROW())&amp;""))</f>
        <v/>
      </c>
      <c r="N376" s="32">
        <f>IF(B376="","",IF(E376&lt;&gt;"","P"&amp;E376,"N"&amp;B376))</f>
        <v/>
      </c>
      <c r="O376" s="32">
        <f>IF(N376="",0,IF(COUNTIF(N377:N$602,N376)=0,1,0))</f>
        <v/>
      </c>
      <c r="P376" s="32">
        <f>IF(AND(O376=1,E376&lt;&gt;""),E376,"")</f>
        <v/>
      </c>
      <c r="Q376" s="32">
        <f>IF(O376=1,B376,"")</f>
        <v/>
      </c>
      <c r="R376" s="32">
        <f>IF(O376&lt;&gt;1,"",IF(E376&lt;&gt;"",IFERROR(MATCH(E376,Guests!$S$6:$S$505,0)+5,IFERROR(MATCH(B376,Guests!$A$6:$A$505,0)+5,"")),IFERROR(MATCH(B376,Guests!$A$6:$A$505,0)+5,"")))</f>
        <v/>
      </c>
      <c r="S376" s="32">
        <f>IF(R376="","",TRIM(INDEX(Guests!$E$1:$E$505,R376)&amp;""))</f>
        <v/>
      </c>
      <c r="T376" s="32">
        <f>IF(R376="","",IF(S376="",1,COUNTIF(Guests!$E$6:$E$505,S376)))</f>
        <v/>
      </c>
      <c r="U376" s="32">
        <f>IF(R376="","",IF(S376="",1,IF(COUNTIF(S$1:S375,S376)=0,1,0)))</f>
        <v/>
      </c>
      <c r="V376" s="32">
        <f>IF(AND(R376&lt;&gt;"",G376="Attending",U376=1),MAX(0,H376+I376-T376),0)</f>
        <v/>
      </c>
      <c r="W376" s="32">
        <f>IF(AND(O376=1,R376=""),1,0)</f>
        <v/>
      </c>
      <c r="X376" s="32">
        <f>IF(B376="",0,H376+I376)</f>
        <v/>
      </c>
      <c r="Y376" s="32">
        <f>N(Y375)+O376</f>
        <v/>
      </c>
      <c r="Z376" s="32">
        <f>IF(O376=1,Y376,"")</f>
        <v/>
      </c>
      <c r="AA376" s="32">
        <f>IF(AND(W376=1,G376="Not sure yet"),1,0)</f>
        <v/>
      </c>
      <c r="AB376" s="32">
        <f>N(AB375)+AA376</f>
        <v/>
      </c>
      <c r="AC376" s="32">
        <f>IF(AA376=1,AB376,"")</f>
        <v/>
      </c>
      <c r="AD376" s="32">
        <f>IF(D376="","",IF(LEN(D376)=10,"+1"&amp;D376,IF(AND(LEN(D376)=11,LEFT(D376,1)="1"),"+"&amp;D376,IF(LEFT(C376,1)="+","+"&amp;D376,D376))))</f>
        <v/>
      </c>
      <c r="AE376" s="32">
        <f>IF(B376="","",PROPER(IFERROR(LEFT(B376,FIND(" ",B376)-1),B376)))</f>
        <v/>
      </c>
      <c r="AF376" s="32">
        <f>SUBSTITUTE(SUBSTITUTE(SUBSTITUTE(SUBSTITUTE(SUBSTITUTE(SUBSTITUTE(SUBSTITUTE(SUBSTITUTE(SUBSTITUTE(SUBSTITUTE(AE376,"%","%25"),"&amp;","%26"),"#","%23"),"+","%2B"),"=","%3D"),"?","%3F"),CHAR(34),"%22"),CHAR(10),"%0A"),CHAR(13),"")," ","+")</f>
        <v/>
      </c>
      <c r="AG376" s="32">
        <f>IF(OR(AD376="",AE376=""),"",'Start Here'!$B$20&amp;"#p="&amp;SUBSTITUTE(AD376,"+","%2B")&amp;"&amp;n="&amp;AF376&amp;"&amp;m="&amp;SUBSTITUTE('Start Here'!$B$24,"{name}",AF376))</f>
        <v/>
      </c>
      <c r="AH376" s="32">
        <f>N(AH375)+W376</f>
        <v/>
      </c>
      <c r="AI376" s="32">
        <f>IF(W376=1,AH376,"")</f>
        <v/>
      </c>
    </row>
    <row r="377">
      <c r="A377" s="32">
        <f>IF(INDEX('Form Responses'!$A:$A,ROW())="","",INDEX('Form Responses'!$A:$A,ROW()))</f>
        <v/>
      </c>
      <c r="B377" s="32">
        <f>TRIM(INDEX('Form Responses'!$B:$B,ROW())&amp;"")</f>
        <v/>
      </c>
      <c r="C377" s="32">
        <f>IF(B377="","",TRIM(INDEX('Form Responses'!$C:$C,ROW())&amp;""))</f>
        <v/>
      </c>
      <c r="D377" s="32">
        <f>SUBSTITUTE(SUBSTITUTE(SUBSTITUTE(SUBSTITUTE(SUBSTITUTE(SUBSTITUTE(SUBSTITUTE(SUBSTITUTE(C377," ",""),"-",""),"(",""),")",""),".",""),"+",""),"/",""),CHAR(160),"")</f>
        <v/>
      </c>
      <c r="E377" s="32">
        <f>IF(LEN(D377)&gt;=10,RIGHT(D377,10),D377)</f>
        <v/>
      </c>
      <c r="F377" s="32">
        <f>IF(B377="","",TRIM(INDEX('Form Responses'!$D:$D,ROW())&amp;""))</f>
        <v/>
      </c>
      <c r="G377" s="32">
        <f>IF(B377="","",IF(LEFT(TRIM(INDEX('Form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7" s="32">
        <f>IF(B377="","",MAX(0,IFERROR(INT(--(INDEX('Form Responses'!$F:$F,ROW())&amp;"")),1)))</f>
        <v/>
      </c>
      <c r="I377" s="32">
        <f>IF(B377="","",MAX(0,IFERROR(INT(--(INDEX('Form Responses'!$G:$G,ROW())&amp;"")),0)))</f>
        <v/>
      </c>
      <c r="J377" s="32">
        <f>IF(B377="","",TRIM(INDEX('Form Responses'!$H:$H,ROW())&amp;""))</f>
        <v/>
      </c>
      <c r="K377" s="32">
        <f>IF(B377="","",TRIM(INDEX('Form Responses'!$I:$I,ROW())&amp;""))</f>
        <v/>
      </c>
      <c r="L377" s="32">
        <f>IF(B377="","",TRIM(INDEX('Form Responses'!$J:$J,ROW())&amp;""))</f>
        <v/>
      </c>
      <c r="M377" s="32">
        <f>IF(B377="","",TRIM(INDEX('Form Responses'!$K:$K,ROW())&amp;""))</f>
        <v/>
      </c>
      <c r="N377" s="32">
        <f>IF(B377="","",IF(E377&lt;&gt;"","P"&amp;E377,"N"&amp;B377))</f>
        <v/>
      </c>
      <c r="O377" s="32">
        <f>IF(N377="",0,IF(COUNTIF(N378:N$602,N377)=0,1,0))</f>
        <v/>
      </c>
      <c r="P377" s="32">
        <f>IF(AND(O377=1,E377&lt;&gt;""),E377,"")</f>
        <v/>
      </c>
      <c r="Q377" s="32">
        <f>IF(O377=1,B377,"")</f>
        <v/>
      </c>
      <c r="R377" s="32">
        <f>IF(O377&lt;&gt;1,"",IF(E377&lt;&gt;"",IFERROR(MATCH(E377,Guests!$S$6:$S$505,0)+5,IFERROR(MATCH(B377,Guests!$A$6:$A$505,0)+5,"")),IFERROR(MATCH(B377,Guests!$A$6:$A$505,0)+5,"")))</f>
        <v/>
      </c>
      <c r="S377" s="32">
        <f>IF(R377="","",TRIM(INDEX(Guests!$E$1:$E$505,R377)&amp;""))</f>
        <v/>
      </c>
      <c r="T377" s="32">
        <f>IF(R377="","",IF(S377="",1,COUNTIF(Guests!$E$6:$E$505,S377)))</f>
        <v/>
      </c>
      <c r="U377" s="32">
        <f>IF(R377="","",IF(S377="",1,IF(COUNTIF(S$1:S376,S377)=0,1,0)))</f>
        <v/>
      </c>
      <c r="V377" s="32">
        <f>IF(AND(R377&lt;&gt;"",G377="Attending",U377=1),MAX(0,H377+I377-T377),0)</f>
        <v/>
      </c>
      <c r="W377" s="32">
        <f>IF(AND(O377=1,R377=""),1,0)</f>
        <v/>
      </c>
      <c r="X377" s="32">
        <f>IF(B377="",0,H377+I377)</f>
        <v/>
      </c>
      <c r="Y377" s="32">
        <f>N(Y376)+O377</f>
        <v/>
      </c>
      <c r="Z377" s="32">
        <f>IF(O377=1,Y377,"")</f>
        <v/>
      </c>
      <c r="AA377" s="32">
        <f>IF(AND(W377=1,G377="Not sure yet"),1,0)</f>
        <v/>
      </c>
      <c r="AB377" s="32">
        <f>N(AB376)+AA377</f>
        <v/>
      </c>
      <c r="AC377" s="32">
        <f>IF(AA377=1,AB377,"")</f>
        <v/>
      </c>
      <c r="AD377" s="32">
        <f>IF(D377="","",IF(LEN(D377)=10,"+1"&amp;D377,IF(AND(LEN(D377)=11,LEFT(D377,1)="1"),"+"&amp;D377,IF(LEFT(C377,1)="+","+"&amp;D377,D377))))</f>
        <v/>
      </c>
      <c r="AE377" s="32">
        <f>IF(B377="","",PROPER(IFERROR(LEFT(B377,FIND(" ",B377)-1),B377)))</f>
        <v/>
      </c>
      <c r="AF377" s="32">
        <f>SUBSTITUTE(SUBSTITUTE(SUBSTITUTE(SUBSTITUTE(SUBSTITUTE(SUBSTITUTE(SUBSTITUTE(SUBSTITUTE(SUBSTITUTE(SUBSTITUTE(AE377,"%","%25"),"&amp;","%26"),"#","%23"),"+","%2B"),"=","%3D"),"?","%3F"),CHAR(34),"%22"),CHAR(10),"%0A"),CHAR(13),"")," ","+")</f>
        <v/>
      </c>
      <c r="AG377" s="32">
        <f>IF(OR(AD377="",AE377=""),"",'Start Here'!$B$20&amp;"#p="&amp;SUBSTITUTE(AD377,"+","%2B")&amp;"&amp;n="&amp;AF377&amp;"&amp;m="&amp;SUBSTITUTE('Start Here'!$B$24,"{name}",AF377))</f>
        <v/>
      </c>
      <c r="AH377" s="32">
        <f>N(AH376)+W377</f>
        <v/>
      </c>
      <c r="AI377" s="32">
        <f>IF(W377=1,AH377,"")</f>
        <v/>
      </c>
    </row>
    <row r="378">
      <c r="A378" s="32">
        <f>IF(INDEX('Form Responses'!$A:$A,ROW())="","",INDEX('Form Responses'!$A:$A,ROW()))</f>
        <v/>
      </c>
      <c r="B378" s="32">
        <f>TRIM(INDEX('Form Responses'!$B:$B,ROW())&amp;"")</f>
        <v/>
      </c>
      <c r="C378" s="32">
        <f>IF(B378="","",TRIM(INDEX('Form Responses'!$C:$C,ROW())&amp;""))</f>
        <v/>
      </c>
      <c r="D378" s="32">
        <f>SUBSTITUTE(SUBSTITUTE(SUBSTITUTE(SUBSTITUTE(SUBSTITUTE(SUBSTITUTE(SUBSTITUTE(SUBSTITUTE(C378," ",""),"-",""),"(",""),")",""),".",""),"+",""),"/",""),CHAR(160),"")</f>
        <v/>
      </c>
      <c r="E378" s="32">
        <f>IF(LEN(D378)&gt;=10,RIGHT(D378,10),D378)</f>
        <v/>
      </c>
      <c r="F378" s="32">
        <f>IF(B378="","",TRIM(INDEX('Form Responses'!$D:$D,ROW())&amp;""))</f>
        <v/>
      </c>
      <c r="G378" s="32">
        <f>IF(B378="","",IF(LEFT(TRIM(INDEX('Form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8" s="32">
        <f>IF(B378="","",MAX(0,IFERROR(INT(--(INDEX('Form Responses'!$F:$F,ROW())&amp;"")),1)))</f>
        <v/>
      </c>
      <c r="I378" s="32">
        <f>IF(B378="","",MAX(0,IFERROR(INT(--(INDEX('Form Responses'!$G:$G,ROW())&amp;"")),0)))</f>
        <v/>
      </c>
      <c r="J378" s="32">
        <f>IF(B378="","",TRIM(INDEX('Form Responses'!$H:$H,ROW())&amp;""))</f>
        <v/>
      </c>
      <c r="K378" s="32">
        <f>IF(B378="","",TRIM(INDEX('Form Responses'!$I:$I,ROW())&amp;""))</f>
        <v/>
      </c>
      <c r="L378" s="32">
        <f>IF(B378="","",TRIM(INDEX('Form Responses'!$J:$J,ROW())&amp;""))</f>
        <v/>
      </c>
      <c r="M378" s="32">
        <f>IF(B378="","",TRIM(INDEX('Form Responses'!$K:$K,ROW())&amp;""))</f>
        <v/>
      </c>
      <c r="N378" s="32">
        <f>IF(B378="","",IF(E378&lt;&gt;"","P"&amp;E378,"N"&amp;B378))</f>
        <v/>
      </c>
      <c r="O378" s="32">
        <f>IF(N378="",0,IF(COUNTIF(N379:N$602,N378)=0,1,0))</f>
        <v/>
      </c>
      <c r="P378" s="32">
        <f>IF(AND(O378=1,E378&lt;&gt;""),E378,"")</f>
        <v/>
      </c>
      <c r="Q378" s="32">
        <f>IF(O378=1,B378,"")</f>
        <v/>
      </c>
      <c r="R378" s="32">
        <f>IF(O378&lt;&gt;1,"",IF(E378&lt;&gt;"",IFERROR(MATCH(E378,Guests!$S$6:$S$505,0)+5,IFERROR(MATCH(B378,Guests!$A$6:$A$505,0)+5,"")),IFERROR(MATCH(B378,Guests!$A$6:$A$505,0)+5,"")))</f>
        <v/>
      </c>
      <c r="S378" s="32">
        <f>IF(R378="","",TRIM(INDEX(Guests!$E$1:$E$505,R378)&amp;""))</f>
        <v/>
      </c>
      <c r="T378" s="32">
        <f>IF(R378="","",IF(S378="",1,COUNTIF(Guests!$E$6:$E$505,S378)))</f>
        <v/>
      </c>
      <c r="U378" s="32">
        <f>IF(R378="","",IF(S378="",1,IF(COUNTIF(S$1:S377,S378)=0,1,0)))</f>
        <v/>
      </c>
      <c r="V378" s="32">
        <f>IF(AND(R378&lt;&gt;"",G378="Attending",U378=1),MAX(0,H378+I378-T378),0)</f>
        <v/>
      </c>
      <c r="W378" s="32">
        <f>IF(AND(O378=1,R378=""),1,0)</f>
        <v/>
      </c>
      <c r="X378" s="32">
        <f>IF(B378="",0,H378+I378)</f>
        <v/>
      </c>
      <c r="Y378" s="32">
        <f>N(Y377)+O378</f>
        <v/>
      </c>
      <c r="Z378" s="32">
        <f>IF(O378=1,Y378,"")</f>
        <v/>
      </c>
      <c r="AA378" s="32">
        <f>IF(AND(W378=1,G378="Not sure yet"),1,0)</f>
        <v/>
      </c>
      <c r="AB378" s="32">
        <f>N(AB377)+AA378</f>
        <v/>
      </c>
      <c r="AC378" s="32">
        <f>IF(AA378=1,AB378,"")</f>
        <v/>
      </c>
      <c r="AD378" s="32">
        <f>IF(D378="","",IF(LEN(D378)=10,"+1"&amp;D378,IF(AND(LEN(D378)=11,LEFT(D378,1)="1"),"+"&amp;D378,IF(LEFT(C378,1)="+","+"&amp;D378,D378))))</f>
        <v/>
      </c>
      <c r="AE378" s="32">
        <f>IF(B378="","",PROPER(IFERROR(LEFT(B378,FIND(" ",B378)-1),B378)))</f>
        <v/>
      </c>
      <c r="AF378" s="32">
        <f>SUBSTITUTE(SUBSTITUTE(SUBSTITUTE(SUBSTITUTE(SUBSTITUTE(SUBSTITUTE(SUBSTITUTE(SUBSTITUTE(SUBSTITUTE(SUBSTITUTE(AE378,"%","%25"),"&amp;","%26"),"#","%23"),"+","%2B"),"=","%3D"),"?","%3F"),CHAR(34),"%22"),CHAR(10),"%0A"),CHAR(13),"")," ","+")</f>
        <v/>
      </c>
      <c r="AG378" s="32">
        <f>IF(OR(AD378="",AE378=""),"",'Start Here'!$B$20&amp;"#p="&amp;SUBSTITUTE(AD378,"+","%2B")&amp;"&amp;n="&amp;AF378&amp;"&amp;m="&amp;SUBSTITUTE('Start Here'!$B$24,"{name}",AF378))</f>
        <v/>
      </c>
      <c r="AH378" s="32">
        <f>N(AH377)+W378</f>
        <v/>
      </c>
      <c r="AI378" s="32">
        <f>IF(W378=1,AH378,"")</f>
        <v/>
      </c>
    </row>
    <row r="379">
      <c r="A379" s="32">
        <f>IF(INDEX('Form Responses'!$A:$A,ROW())="","",INDEX('Form Responses'!$A:$A,ROW()))</f>
        <v/>
      </c>
      <c r="B379" s="32">
        <f>TRIM(INDEX('Form Responses'!$B:$B,ROW())&amp;"")</f>
        <v/>
      </c>
      <c r="C379" s="32">
        <f>IF(B379="","",TRIM(INDEX('Form Responses'!$C:$C,ROW())&amp;""))</f>
        <v/>
      </c>
      <c r="D379" s="32">
        <f>SUBSTITUTE(SUBSTITUTE(SUBSTITUTE(SUBSTITUTE(SUBSTITUTE(SUBSTITUTE(SUBSTITUTE(SUBSTITUTE(C379," ",""),"-",""),"(",""),")",""),".",""),"+",""),"/",""),CHAR(160),"")</f>
        <v/>
      </c>
      <c r="E379" s="32">
        <f>IF(LEN(D379)&gt;=10,RIGHT(D379,10),D379)</f>
        <v/>
      </c>
      <c r="F379" s="32">
        <f>IF(B379="","",TRIM(INDEX('Form Responses'!$D:$D,ROW())&amp;""))</f>
        <v/>
      </c>
      <c r="G379" s="32">
        <f>IF(B379="","",IF(LEFT(TRIM(INDEX('Form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79" s="32">
        <f>IF(B379="","",MAX(0,IFERROR(INT(--(INDEX('Form Responses'!$F:$F,ROW())&amp;"")),1)))</f>
        <v/>
      </c>
      <c r="I379" s="32">
        <f>IF(B379="","",MAX(0,IFERROR(INT(--(INDEX('Form Responses'!$G:$G,ROW())&amp;"")),0)))</f>
        <v/>
      </c>
      <c r="J379" s="32">
        <f>IF(B379="","",TRIM(INDEX('Form Responses'!$H:$H,ROW())&amp;""))</f>
        <v/>
      </c>
      <c r="K379" s="32">
        <f>IF(B379="","",TRIM(INDEX('Form Responses'!$I:$I,ROW())&amp;""))</f>
        <v/>
      </c>
      <c r="L379" s="32">
        <f>IF(B379="","",TRIM(INDEX('Form Responses'!$J:$J,ROW())&amp;""))</f>
        <v/>
      </c>
      <c r="M379" s="32">
        <f>IF(B379="","",TRIM(INDEX('Form Responses'!$K:$K,ROW())&amp;""))</f>
        <v/>
      </c>
      <c r="N379" s="32">
        <f>IF(B379="","",IF(E379&lt;&gt;"","P"&amp;E379,"N"&amp;B379))</f>
        <v/>
      </c>
      <c r="O379" s="32">
        <f>IF(N379="",0,IF(COUNTIF(N380:N$602,N379)=0,1,0))</f>
        <v/>
      </c>
      <c r="P379" s="32">
        <f>IF(AND(O379=1,E379&lt;&gt;""),E379,"")</f>
        <v/>
      </c>
      <c r="Q379" s="32">
        <f>IF(O379=1,B379,"")</f>
        <v/>
      </c>
      <c r="R379" s="32">
        <f>IF(O379&lt;&gt;1,"",IF(E379&lt;&gt;"",IFERROR(MATCH(E379,Guests!$S$6:$S$505,0)+5,IFERROR(MATCH(B379,Guests!$A$6:$A$505,0)+5,"")),IFERROR(MATCH(B379,Guests!$A$6:$A$505,0)+5,"")))</f>
        <v/>
      </c>
      <c r="S379" s="32">
        <f>IF(R379="","",TRIM(INDEX(Guests!$E$1:$E$505,R379)&amp;""))</f>
        <v/>
      </c>
      <c r="T379" s="32">
        <f>IF(R379="","",IF(S379="",1,COUNTIF(Guests!$E$6:$E$505,S379)))</f>
        <v/>
      </c>
      <c r="U379" s="32">
        <f>IF(R379="","",IF(S379="",1,IF(COUNTIF(S$1:S378,S379)=0,1,0)))</f>
        <v/>
      </c>
      <c r="V379" s="32">
        <f>IF(AND(R379&lt;&gt;"",G379="Attending",U379=1),MAX(0,H379+I379-T379),0)</f>
        <v/>
      </c>
      <c r="W379" s="32">
        <f>IF(AND(O379=1,R379=""),1,0)</f>
        <v/>
      </c>
      <c r="X379" s="32">
        <f>IF(B379="",0,H379+I379)</f>
        <v/>
      </c>
      <c r="Y379" s="32">
        <f>N(Y378)+O379</f>
        <v/>
      </c>
      <c r="Z379" s="32">
        <f>IF(O379=1,Y379,"")</f>
        <v/>
      </c>
      <c r="AA379" s="32">
        <f>IF(AND(W379=1,G379="Not sure yet"),1,0)</f>
        <v/>
      </c>
      <c r="AB379" s="32">
        <f>N(AB378)+AA379</f>
        <v/>
      </c>
      <c r="AC379" s="32">
        <f>IF(AA379=1,AB379,"")</f>
        <v/>
      </c>
      <c r="AD379" s="32">
        <f>IF(D379="","",IF(LEN(D379)=10,"+1"&amp;D379,IF(AND(LEN(D379)=11,LEFT(D379,1)="1"),"+"&amp;D379,IF(LEFT(C379,1)="+","+"&amp;D379,D379))))</f>
        <v/>
      </c>
      <c r="AE379" s="32">
        <f>IF(B379="","",PROPER(IFERROR(LEFT(B379,FIND(" ",B379)-1),B379)))</f>
        <v/>
      </c>
      <c r="AF379" s="32">
        <f>SUBSTITUTE(SUBSTITUTE(SUBSTITUTE(SUBSTITUTE(SUBSTITUTE(SUBSTITUTE(SUBSTITUTE(SUBSTITUTE(SUBSTITUTE(SUBSTITUTE(AE379,"%","%25"),"&amp;","%26"),"#","%23"),"+","%2B"),"=","%3D"),"?","%3F"),CHAR(34),"%22"),CHAR(10),"%0A"),CHAR(13),"")," ","+")</f>
        <v/>
      </c>
      <c r="AG379" s="32">
        <f>IF(OR(AD379="",AE379=""),"",'Start Here'!$B$20&amp;"#p="&amp;SUBSTITUTE(AD379,"+","%2B")&amp;"&amp;n="&amp;AF379&amp;"&amp;m="&amp;SUBSTITUTE('Start Here'!$B$24,"{name}",AF379))</f>
        <v/>
      </c>
      <c r="AH379" s="32">
        <f>N(AH378)+W379</f>
        <v/>
      </c>
      <c r="AI379" s="32">
        <f>IF(W379=1,AH379,"")</f>
        <v/>
      </c>
    </row>
    <row r="380">
      <c r="A380" s="32">
        <f>IF(INDEX('Form Responses'!$A:$A,ROW())="","",INDEX('Form Responses'!$A:$A,ROW()))</f>
        <v/>
      </c>
      <c r="B380" s="32">
        <f>TRIM(INDEX('Form Responses'!$B:$B,ROW())&amp;"")</f>
        <v/>
      </c>
      <c r="C380" s="32">
        <f>IF(B380="","",TRIM(INDEX('Form Responses'!$C:$C,ROW())&amp;""))</f>
        <v/>
      </c>
      <c r="D380" s="32">
        <f>SUBSTITUTE(SUBSTITUTE(SUBSTITUTE(SUBSTITUTE(SUBSTITUTE(SUBSTITUTE(SUBSTITUTE(SUBSTITUTE(C380," ",""),"-",""),"(",""),")",""),".",""),"+",""),"/",""),CHAR(160),"")</f>
        <v/>
      </c>
      <c r="E380" s="32">
        <f>IF(LEN(D380)&gt;=10,RIGHT(D380,10),D380)</f>
        <v/>
      </c>
      <c r="F380" s="32">
        <f>IF(B380="","",TRIM(INDEX('Form Responses'!$D:$D,ROW())&amp;""))</f>
        <v/>
      </c>
      <c r="G380" s="32">
        <f>IF(B380="","",IF(LEFT(TRIM(INDEX('Form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0" s="32">
        <f>IF(B380="","",MAX(0,IFERROR(INT(--(INDEX('Form Responses'!$F:$F,ROW())&amp;"")),1)))</f>
        <v/>
      </c>
      <c r="I380" s="32">
        <f>IF(B380="","",MAX(0,IFERROR(INT(--(INDEX('Form Responses'!$G:$G,ROW())&amp;"")),0)))</f>
        <v/>
      </c>
      <c r="J380" s="32">
        <f>IF(B380="","",TRIM(INDEX('Form Responses'!$H:$H,ROW())&amp;""))</f>
        <v/>
      </c>
      <c r="K380" s="32">
        <f>IF(B380="","",TRIM(INDEX('Form Responses'!$I:$I,ROW())&amp;""))</f>
        <v/>
      </c>
      <c r="L380" s="32">
        <f>IF(B380="","",TRIM(INDEX('Form Responses'!$J:$J,ROW())&amp;""))</f>
        <v/>
      </c>
      <c r="M380" s="32">
        <f>IF(B380="","",TRIM(INDEX('Form Responses'!$K:$K,ROW())&amp;""))</f>
        <v/>
      </c>
      <c r="N380" s="32">
        <f>IF(B380="","",IF(E380&lt;&gt;"","P"&amp;E380,"N"&amp;B380))</f>
        <v/>
      </c>
      <c r="O380" s="32">
        <f>IF(N380="",0,IF(COUNTIF(N381:N$602,N380)=0,1,0))</f>
        <v/>
      </c>
      <c r="P380" s="32">
        <f>IF(AND(O380=1,E380&lt;&gt;""),E380,"")</f>
        <v/>
      </c>
      <c r="Q380" s="32">
        <f>IF(O380=1,B380,"")</f>
        <v/>
      </c>
      <c r="R380" s="32">
        <f>IF(O380&lt;&gt;1,"",IF(E380&lt;&gt;"",IFERROR(MATCH(E380,Guests!$S$6:$S$505,0)+5,IFERROR(MATCH(B380,Guests!$A$6:$A$505,0)+5,"")),IFERROR(MATCH(B380,Guests!$A$6:$A$505,0)+5,"")))</f>
        <v/>
      </c>
      <c r="S380" s="32">
        <f>IF(R380="","",TRIM(INDEX(Guests!$E$1:$E$505,R380)&amp;""))</f>
        <v/>
      </c>
      <c r="T380" s="32">
        <f>IF(R380="","",IF(S380="",1,COUNTIF(Guests!$E$6:$E$505,S380)))</f>
        <v/>
      </c>
      <c r="U380" s="32">
        <f>IF(R380="","",IF(S380="",1,IF(COUNTIF(S$1:S379,S380)=0,1,0)))</f>
        <v/>
      </c>
      <c r="V380" s="32">
        <f>IF(AND(R380&lt;&gt;"",G380="Attending",U380=1),MAX(0,H380+I380-T380),0)</f>
        <v/>
      </c>
      <c r="W380" s="32">
        <f>IF(AND(O380=1,R380=""),1,0)</f>
        <v/>
      </c>
      <c r="X380" s="32">
        <f>IF(B380="",0,H380+I380)</f>
        <v/>
      </c>
      <c r="Y380" s="32">
        <f>N(Y379)+O380</f>
        <v/>
      </c>
      <c r="Z380" s="32">
        <f>IF(O380=1,Y380,"")</f>
        <v/>
      </c>
      <c r="AA380" s="32">
        <f>IF(AND(W380=1,G380="Not sure yet"),1,0)</f>
        <v/>
      </c>
      <c r="AB380" s="32">
        <f>N(AB379)+AA380</f>
        <v/>
      </c>
      <c r="AC380" s="32">
        <f>IF(AA380=1,AB380,"")</f>
        <v/>
      </c>
      <c r="AD380" s="32">
        <f>IF(D380="","",IF(LEN(D380)=10,"+1"&amp;D380,IF(AND(LEN(D380)=11,LEFT(D380,1)="1"),"+"&amp;D380,IF(LEFT(C380,1)="+","+"&amp;D380,D380))))</f>
        <v/>
      </c>
      <c r="AE380" s="32">
        <f>IF(B380="","",PROPER(IFERROR(LEFT(B380,FIND(" ",B380)-1),B380)))</f>
        <v/>
      </c>
      <c r="AF380" s="32">
        <f>SUBSTITUTE(SUBSTITUTE(SUBSTITUTE(SUBSTITUTE(SUBSTITUTE(SUBSTITUTE(SUBSTITUTE(SUBSTITUTE(SUBSTITUTE(SUBSTITUTE(AE380,"%","%25"),"&amp;","%26"),"#","%23"),"+","%2B"),"=","%3D"),"?","%3F"),CHAR(34),"%22"),CHAR(10),"%0A"),CHAR(13),"")," ","+")</f>
        <v/>
      </c>
      <c r="AG380" s="32">
        <f>IF(OR(AD380="",AE380=""),"",'Start Here'!$B$20&amp;"#p="&amp;SUBSTITUTE(AD380,"+","%2B")&amp;"&amp;n="&amp;AF380&amp;"&amp;m="&amp;SUBSTITUTE('Start Here'!$B$24,"{name}",AF380))</f>
        <v/>
      </c>
      <c r="AH380" s="32">
        <f>N(AH379)+W380</f>
        <v/>
      </c>
      <c r="AI380" s="32">
        <f>IF(W380=1,AH380,"")</f>
        <v/>
      </c>
    </row>
    <row r="381">
      <c r="A381" s="32">
        <f>IF(INDEX('Form Responses'!$A:$A,ROW())="","",INDEX('Form Responses'!$A:$A,ROW()))</f>
        <v/>
      </c>
      <c r="B381" s="32">
        <f>TRIM(INDEX('Form Responses'!$B:$B,ROW())&amp;"")</f>
        <v/>
      </c>
      <c r="C381" s="32">
        <f>IF(B381="","",TRIM(INDEX('Form Responses'!$C:$C,ROW())&amp;""))</f>
        <v/>
      </c>
      <c r="D381" s="32">
        <f>SUBSTITUTE(SUBSTITUTE(SUBSTITUTE(SUBSTITUTE(SUBSTITUTE(SUBSTITUTE(SUBSTITUTE(SUBSTITUTE(C381," ",""),"-",""),"(",""),")",""),".",""),"+",""),"/",""),CHAR(160),"")</f>
        <v/>
      </c>
      <c r="E381" s="32">
        <f>IF(LEN(D381)&gt;=10,RIGHT(D381,10),D381)</f>
        <v/>
      </c>
      <c r="F381" s="32">
        <f>IF(B381="","",TRIM(INDEX('Form Responses'!$D:$D,ROW())&amp;""))</f>
        <v/>
      </c>
      <c r="G381" s="32">
        <f>IF(B381="","",IF(LEFT(TRIM(INDEX('Form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1" s="32">
        <f>IF(B381="","",MAX(0,IFERROR(INT(--(INDEX('Form Responses'!$F:$F,ROW())&amp;"")),1)))</f>
        <v/>
      </c>
      <c r="I381" s="32">
        <f>IF(B381="","",MAX(0,IFERROR(INT(--(INDEX('Form Responses'!$G:$G,ROW())&amp;"")),0)))</f>
        <v/>
      </c>
      <c r="J381" s="32">
        <f>IF(B381="","",TRIM(INDEX('Form Responses'!$H:$H,ROW())&amp;""))</f>
        <v/>
      </c>
      <c r="K381" s="32">
        <f>IF(B381="","",TRIM(INDEX('Form Responses'!$I:$I,ROW())&amp;""))</f>
        <v/>
      </c>
      <c r="L381" s="32">
        <f>IF(B381="","",TRIM(INDEX('Form Responses'!$J:$J,ROW())&amp;""))</f>
        <v/>
      </c>
      <c r="M381" s="32">
        <f>IF(B381="","",TRIM(INDEX('Form Responses'!$K:$K,ROW())&amp;""))</f>
        <v/>
      </c>
      <c r="N381" s="32">
        <f>IF(B381="","",IF(E381&lt;&gt;"","P"&amp;E381,"N"&amp;B381))</f>
        <v/>
      </c>
      <c r="O381" s="32">
        <f>IF(N381="",0,IF(COUNTIF(N382:N$602,N381)=0,1,0))</f>
        <v/>
      </c>
      <c r="P381" s="32">
        <f>IF(AND(O381=1,E381&lt;&gt;""),E381,"")</f>
        <v/>
      </c>
      <c r="Q381" s="32">
        <f>IF(O381=1,B381,"")</f>
        <v/>
      </c>
      <c r="R381" s="32">
        <f>IF(O381&lt;&gt;1,"",IF(E381&lt;&gt;"",IFERROR(MATCH(E381,Guests!$S$6:$S$505,0)+5,IFERROR(MATCH(B381,Guests!$A$6:$A$505,0)+5,"")),IFERROR(MATCH(B381,Guests!$A$6:$A$505,0)+5,"")))</f>
        <v/>
      </c>
      <c r="S381" s="32">
        <f>IF(R381="","",TRIM(INDEX(Guests!$E$1:$E$505,R381)&amp;""))</f>
        <v/>
      </c>
      <c r="T381" s="32">
        <f>IF(R381="","",IF(S381="",1,COUNTIF(Guests!$E$6:$E$505,S381)))</f>
        <v/>
      </c>
      <c r="U381" s="32">
        <f>IF(R381="","",IF(S381="",1,IF(COUNTIF(S$1:S380,S381)=0,1,0)))</f>
        <v/>
      </c>
      <c r="V381" s="32">
        <f>IF(AND(R381&lt;&gt;"",G381="Attending",U381=1),MAX(0,H381+I381-T381),0)</f>
        <v/>
      </c>
      <c r="W381" s="32">
        <f>IF(AND(O381=1,R381=""),1,0)</f>
        <v/>
      </c>
      <c r="X381" s="32">
        <f>IF(B381="",0,H381+I381)</f>
        <v/>
      </c>
      <c r="Y381" s="32">
        <f>N(Y380)+O381</f>
        <v/>
      </c>
      <c r="Z381" s="32">
        <f>IF(O381=1,Y381,"")</f>
        <v/>
      </c>
      <c r="AA381" s="32">
        <f>IF(AND(W381=1,G381="Not sure yet"),1,0)</f>
        <v/>
      </c>
      <c r="AB381" s="32">
        <f>N(AB380)+AA381</f>
        <v/>
      </c>
      <c r="AC381" s="32">
        <f>IF(AA381=1,AB381,"")</f>
        <v/>
      </c>
      <c r="AD381" s="32">
        <f>IF(D381="","",IF(LEN(D381)=10,"+1"&amp;D381,IF(AND(LEN(D381)=11,LEFT(D381,1)="1"),"+"&amp;D381,IF(LEFT(C381,1)="+","+"&amp;D381,D381))))</f>
        <v/>
      </c>
      <c r="AE381" s="32">
        <f>IF(B381="","",PROPER(IFERROR(LEFT(B381,FIND(" ",B381)-1),B381)))</f>
        <v/>
      </c>
      <c r="AF381" s="32">
        <f>SUBSTITUTE(SUBSTITUTE(SUBSTITUTE(SUBSTITUTE(SUBSTITUTE(SUBSTITUTE(SUBSTITUTE(SUBSTITUTE(SUBSTITUTE(SUBSTITUTE(AE381,"%","%25"),"&amp;","%26"),"#","%23"),"+","%2B"),"=","%3D"),"?","%3F"),CHAR(34),"%22"),CHAR(10),"%0A"),CHAR(13),"")," ","+")</f>
        <v/>
      </c>
      <c r="AG381" s="32">
        <f>IF(OR(AD381="",AE381=""),"",'Start Here'!$B$20&amp;"#p="&amp;SUBSTITUTE(AD381,"+","%2B")&amp;"&amp;n="&amp;AF381&amp;"&amp;m="&amp;SUBSTITUTE('Start Here'!$B$24,"{name}",AF381))</f>
        <v/>
      </c>
      <c r="AH381" s="32">
        <f>N(AH380)+W381</f>
        <v/>
      </c>
      <c r="AI381" s="32">
        <f>IF(W381=1,AH381,"")</f>
        <v/>
      </c>
    </row>
    <row r="382">
      <c r="A382" s="32">
        <f>IF(INDEX('Form Responses'!$A:$A,ROW())="","",INDEX('Form Responses'!$A:$A,ROW()))</f>
        <v/>
      </c>
      <c r="B382" s="32">
        <f>TRIM(INDEX('Form Responses'!$B:$B,ROW())&amp;"")</f>
        <v/>
      </c>
      <c r="C382" s="32">
        <f>IF(B382="","",TRIM(INDEX('Form Responses'!$C:$C,ROW())&amp;""))</f>
        <v/>
      </c>
      <c r="D382" s="32">
        <f>SUBSTITUTE(SUBSTITUTE(SUBSTITUTE(SUBSTITUTE(SUBSTITUTE(SUBSTITUTE(SUBSTITUTE(SUBSTITUTE(C382," ",""),"-",""),"(",""),")",""),".",""),"+",""),"/",""),CHAR(160),"")</f>
        <v/>
      </c>
      <c r="E382" s="32">
        <f>IF(LEN(D382)&gt;=10,RIGHT(D382,10),D382)</f>
        <v/>
      </c>
      <c r="F382" s="32">
        <f>IF(B382="","",TRIM(INDEX('Form Responses'!$D:$D,ROW())&amp;""))</f>
        <v/>
      </c>
      <c r="G382" s="32">
        <f>IF(B382="","",IF(LEFT(TRIM(INDEX('Form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2" s="32">
        <f>IF(B382="","",MAX(0,IFERROR(INT(--(INDEX('Form Responses'!$F:$F,ROW())&amp;"")),1)))</f>
        <v/>
      </c>
      <c r="I382" s="32">
        <f>IF(B382="","",MAX(0,IFERROR(INT(--(INDEX('Form Responses'!$G:$G,ROW())&amp;"")),0)))</f>
        <v/>
      </c>
      <c r="J382" s="32">
        <f>IF(B382="","",TRIM(INDEX('Form Responses'!$H:$H,ROW())&amp;""))</f>
        <v/>
      </c>
      <c r="K382" s="32">
        <f>IF(B382="","",TRIM(INDEX('Form Responses'!$I:$I,ROW())&amp;""))</f>
        <v/>
      </c>
      <c r="L382" s="32">
        <f>IF(B382="","",TRIM(INDEX('Form Responses'!$J:$J,ROW())&amp;""))</f>
        <v/>
      </c>
      <c r="M382" s="32">
        <f>IF(B382="","",TRIM(INDEX('Form Responses'!$K:$K,ROW())&amp;""))</f>
        <v/>
      </c>
      <c r="N382" s="32">
        <f>IF(B382="","",IF(E382&lt;&gt;"","P"&amp;E382,"N"&amp;B382))</f>
        <v/>
      </c>
      <c r="O382" s="32">
        <f>IF(N382="",0,IF(COUNTIF(N383:N$602,N382)=0,1,0))</f>
        <v/>
      </c>
      <c r="P382" s="32">
        <f>IF(AND(O382=1,E382&lt;&gt;""),E382,"")</f>
        <v/>
      </c>
      <c r="Q382" s="32">
        <f>IF(O382=1,B382,"")</f>
        <v/>
      </c>
      <c r="R382" s="32">
        <f>IF(O382&lt;&gt;1,"",IF(E382&lt;&gt;"",IFERROR(MATCH(E382,Guests!$S$6:$S$505,0)+5,IFERROR(MATCH(B382,Guests!$A$6:$A$505,0)+5,"")),IFERROR(MATCH(B382,Guests!$A$6:$A$505,0)+5,"")))</f>
        <v/>
      </c>
      <c r="S382" s="32">
        <f>IF(R382="","",TRIM(INDEX(Guests!$E$1:$E$505,R382)&amp;""))</f>
        <v/>
      </c>
      <c r="T382" s="32">
        <f>IF(R382="","",IF(S382="",1,COUNTIF(Guests!$E$6:$E$505,S382)))</f>
        <v/>
      </c>
      <c r="U382" s="32">
        <f>IF(R382="","",IF(S382="",1,IF(COUNTIF(S$1:S381,S382)=0,1,0)))</f>
        <v/>
      </c>
      <c r="V382" s="32">
        <f>IF(AND(R382&lt;&gt;"",G382="Attending",U382=1),MAX(0,H382+I382-T382),0)</f>
        <v/>
      </c>
      <c r="W382" s="32">
        <f>IF(AND(O382=1,R382=""),1,0)</f>
        <v/>
      </c>
      <c r="X382" s="32">
        <f>IF(B382="",0,H382+I382)</f>
        <v/>
      </c>
      <c r="Y382" s="32">
        <f>N(Y381)+O382</f>
        <v/>
      </c>
      <c r="Z382" s="32">
        <f>IF(O382=1,Y382,"")</f>
        <v/>
      </c>
      <c r="AA382" s="32">
        <f>IF(AND(W382=1,G382="Not sure yet"),1,0)</f>
        <v/>
      </c>
      <c r="AB382" s="32">
        <f>N(AB381)+AA382</f>
        <v/>
      </c>
      <c r="AC382" s="32">
        <f>IF(AA382=1,AB382,"")</f>
        <v/>
      </c>
      <c r="AD382" s="32">
        <f>IF(D382="","",IF(LEN(D382)=10,"+1"&amp;D382,IF(AND(LEN(D382)=11,LEFT(D382,1)="1"),"+"&amp;D382,IF(LEFT(C382,1)="+","+"&amp;D382,D382))))</f>
        <v/>
      </c>
      <c r="AE382" s="32">
        <f>IF(B382="","",PROPER(IFERROR(LEFT(B382,FIND(" ",B382)-1),B382)))</f>
        <v/>
      </c>
      <c r="AF382" s="32">
        <f>SUBSTITUTE(SUBSTITUTE(SUBSTITUTE(SUBSTITUTE(SUBSTITUTE(SUBSTITUTE(SUBSTITUTE(SUBSTITUTE(SUBSTITUTE(SUBSTITUTE(AE382,"%","%25"),"&amp;","%26"),"#","%23"),"+","%2B"),"=","%3D"),"?","%3F"),CHAR(34),"%22"),CHAR(10),"%0A"),CHAR(13),"")," ","+")</f>
        <v/>
      </c>
      <c r="AG382" s="32">
        <f>IF(OR(AD382="",AE382=""),"",'Start Here'!$B$20&amp;"#p="&amp;SUBSTITUTE(AD382,"+","%2B")&amp;"&amp;n="&amp;AF382&amp;"&amp;m="&amp;SUBSTITUTE('Start Here'!$B$24,"{name}",AF382))</f>
        <v/>
      </c>
      <c r="AH382" s="32">
        <f>N(AH381)+W382</f>
        <v/>
      </c>
      <c r="AI382" s="32">
        <f>IF(W382=1,AH382,"")</f>
        <v/>
      </c>
    </row>
    <row r="383">
      <c r="A383" s="32">
        <f>IF(INDEX('Form Responses'!$A:$A,ROW())="","",INDEX('Form Responses'!$A:$A,ROW()))</f>
        <v/>
      </c>
      <c r="B383" s="32">
        <f>TRIM(INDEX('Form Responses'!$B:$B,ROW())&amp;"")</f>
        <v/>
      </c>
      <c r="C383" s="32">
        <f>IF(B383="","",TRIM(INDEX('Form Responses'!$C:$C,ROW())&amp;""))</f>
        <v/>
      </c>
      <c r="D383" s="32">
        <f>SUBSTITUTE(SUBSTITUTE(SUBSTITUTE(SUBSTITUTE(SUBSTITUTE(SUBSTITUTE(SUBSTITUTE(SUBSTITUTE(C383," ",""),"-",""),"(",""),")",""),".",""),"+",""),"/",""),CHAR(160),"")</f>
        <v/>
      </c>
      <c r="E383" s="32">
        <f>IF(LEN(D383)&gt;=10,RIGHT(D383,10),D383)</f>
        <v/>
      </c>
      <c r="F383" s="32">
        <f>IF(B383="","",TRIM(INDEX('Form Responses'!$D:$D,ROW())&amp;""))</f>
        <v/>
      </c>
      <c r="G383" s="32">
        <f>IF(B383="","",IF(LEFT(TRIM(INDEX('Form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3" s="32">
        <f>IF(B383="","",MAX(0,IFERROR(INT(--(INDEX('Form Responses'!$F:$F,ROW())&amp;"")),1)))</f>
        <v/>
      </c>
      <c r="I383" s="32">
        <f>IF(B383="","",MAX(0,IFERROR(INT(--(INDEX('Form Responses'!$G:$G,ROW())&amp;"")),0)))</f>
        <v/>
      </c>
      <c r="J383" s="32">
        <f>IF(B383="","",TRIM(INDEX('Form Responses'!$H:$H,ROW())&amp;""))</f>
        <v/>
      </c>
      <c r="K383" s="32">
        <f>IF(B383="","",TRIM(INDEX('Form Responses'!$I:$I,ROW())&amp;""))</f>
        <v/>
      </c>
      <c r="L383" s="32">
        <f>IF(B383="","",TRIM(INDEX('Form Responses'!$J:$J,ROW())&amp;""))</f>
        <v/>
      </c>
      <c r="M383" s="32">
        <f>IF(B383="","",TRIM(INDEX('Form Responses'!$K:$K,ROW())&amp;""))</f>
        <v/>
      </c>
      <c r="N383" s="32">
        <f>IF(B383="","",IF(E383&lt;&gt;"","P"&amp;E383,"N"&amp;B383))</f>
        <v/>
      </c>
      <c r="O383" s="32">
        <f>IF(N383="",0,IF(COUNTIF(N384:N$602,N383)=0,1,0))</f>
        <v/>
      </c>
      <c r="P383" s="32">
        <f>IF(AND(O383=1,E383&lt;&gt;""),E383,"")</f>
        <v/>
      </c>
      <c r="Q383" s="32">
        <f>IF(O383=1,B383,"")</f>
        <v/>
      </c>
      <c r="R383" s="32">
        <f>IF(O383&lt;&gt;1,"",IF(E383&lt;&gt;"",IFERROR(MATCH(E383,Guests!$S$6:$S$505,0)+5,IFERROR(MATCH(B383,Guests!$A$6:$A$505,0)+5,"")),IFERROR(MATCH(B383,Guests!$A$6:$A$505,0)+5,"")))</f>
        <v/>
      </c>
      <c r="S383" s="32">
        <f>IF(R383="","",TRIM(INDEX(Guests!$E$1:$E$505,R383)&amp;""))</f>
        <v/>
      </c>
      <c r="T383" s="32">
        <f>IF(R383="","",IF(S383="",1,COUNTIF(Guests!$E$6:$E$505,S383)))</f>
        <v/>
      </c>
      <c r="U383" s="32">
        <f>IF(R383="","",IF(S383="",1,IF(COUNTIF(S$1:S382,S383)=0,1,0)))</f>
        <v/>
      </c>
      <c r="V383" s="32">
        <f>IF(AND(R383&lt;&gt;"",G383="Attending",U383=1),MAX(0,H383+I383-T383),0)</f>
        <v/>
      </c>
      <c r="W383" s="32">
        <f>IF(AND(O383=1,R383=""),1,0)</f>
        <v/>
      </c>
      <c r="X383" s="32">
        <f>IF(B383="",0,H383+I383)</f>
        <v/>
      </c>
      <c r="Y383" s="32">
        <f>N(Y382)+O383</f>
        <v/>
      </c>
      <c r="Z383" s="32">
        <f>IF(O383=1,Y383,"")</f>
        <v/>
      </c>
      <c r="AA383" s="32">
        <f>IF(AND(W383=1,G383="Not sure yet"),1,0)</f>
        <v/>
      </c>
      <c r="AB383" s="32">
        <f>N(AB382)+AA383</f>
        <v/>
      </c>
      <c r="AC383" s="32">
        <f>IF(AA383=1,AB383,"")</f>
        <v/>
      </c>
      <c r="AD383" s="32">
        <f>IF(D383="","",IF(LEN(D383)=10,"+1"&amp;D383,IF(AND(LEN(D383)=11,LEFT(D383,1)="1"),"+"&amp;D383,IF(LEFT(C383,1)="+","+"&amp;D383,D383))))</f>
        <v/>
      </c>
      <c r="AE383" s="32">
        <f>IF(B383="","",PROPER(IFERROR(LEFT(B383,FIND(" ",B383)-1),B383)))</f>
        <v/>
      </c>
      <c r="AF383" s="32">
        <f>SUBSTITUTE(SUBSTITUTE(SUBSTITUTE(SUBSTITUTE(SUBSTITUTE(SUBSTITUTE(SUBSTITUTE(SUBSTITUTE(SUBSTITUTE(SUBSTITUTE(AE383,"%","%25"),"&amp;","%26"),"#","%23"),"+","%2B"),"=","%3D"),"?","%3F"),CHAR(34),"%22"),CHAR(10),"%0A"),CHAR(13),"")," ","+")</f>
        <v/>
      </c>
      <c r="AG383" s="32">
        <f>IF(OR(AD383="",AE383=""),"",'Start Here'!$B$20&amp;"#p="&amp;SUBSTITUTE(AD383,"+","%2B")&amp;"&amp;n="&amp;AF383&amp;"&amp;m="&amp;SUBSTITUTE('Start Here'!$B$24,"{name}",AF383))</f>
        <v/>
      </c>
      <c r="AH383" s="32">
        <f>N(AH382)+W383</f>
        <v/>
      </c>
      <c r="AI383" s="32">
        <f>IF(W383=1,AH383,"")</f>
        <v/>
      </c>
    </row>
    <row r="384">
      <c r="A384" s="32">
        <f>IF(INDEX('Form Responses'!$A:$A,ROW())="","",INDEX('Form Responses'!$A:$A,ROW()))</f>
        <v/>
      </c>
      <c r="B384" s="32">
        <f>TRIM(INDEX('Form Responses'!$B:$B,ROW())&amp;"")</f>
        <v/>
      </c>
      <c r="C384" s="32">
        <f>IF(B384="","",TRIM(INDEX('Form Responses'!$C:$C,ROW())&amp;""))</f>
        <v/>
      </c>
      <c r="D384" s="32">
        <f>SUBSTITUTE(SUBSTITUTE(SUBSTITUTE(SUBSTITUTE(SUBSTITUTE(SUBSTITUTE(SUBSTITUTE(SUBSTITUTE(C384," ",""),"-",""),"(",""),")",""),".",""),"+",""),"/",""),CHAR(160),"")</f>
        <v/>
      </c>
      <c r="E384" s="32">
        <f>IF(LEN(D384)&gt;=10,RIGHT(D384,10),D384)</f>
        <v/>
      </c>
      <c r="F384" s="32">
        <f>IF(B384="","",TRIM(INDEX('Form Responses'!$D:$D,ROW())&amp;""))</f>
        <v/>
      </c>
      <c r="G384" s="32">
        <f>IF(B384="","",IF(LEFT(TRIM(INDEX('Form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4" s="32">
        <f>IF(B384="","",MAX(0,IFERROR(INT(--(INDEX('Form Responses'!$F:$F,ROW())&amp;"")),1)))</f>
        <v/>
      </c>
      <c r="I384" s="32">
        <f>IF(B384="","",MAX(0,IFERROR(INT(--(INDEX('Form Responses'!$G:$G,ROW())&amp;"")),0)))</f>
        <v/>
      </c>
      <c r="J384" s="32">
        <f>IF(B384="","",TRIM(INDEX('Form Responses'!$H:$H,ROW())&amp;""))</f>
        <v/>
      </c>
      <c r="K384" s="32">
        <f>IF(B384="","",TRIM(INDEX('Form Responses'!$I:$I,ROW())&amp;""))</f>
        <v/>
      </c>
      <c r="L384" s="32">
        <f>IF(B384="","",TRIM(INDEX('Form Responses'!$J:$J,ROW())&amp;""))</f>
        <v/>
      </c>
      <c r="M384" s="32">
        <f>IF(B384="","",TRIM(INDEX('Form Responses'!$K:$K,ROW())&amp;""))</f>
        <v/>
      </c>
      <c r="N384" s="32">
        <f>IF(B384="","",IF(E384&lt;&gt;"","P"&amp;E384,"N"&amp;B384))</f>
        <v/>
      </c>
      <c r="O384" s="32">
        <f>IF(N384="",0,IF(COUNTIF(N385:N$602,N384)=0,1,0))</f>
        <v/>
      </c>
      <c r="P384" s="32">
        <f>IF(AND(O384=1,E384&lt;&gt;""),E384,"")</f>
        <v/>
      </c>
      <c r="Q384" s="32">
        <f>IF(O384=1,B384,"")</f>
        <v/>
      </c>
      <c r="R384" s="32">
        <f>IF(O384&lt;&gt;1,"",IF(E384&lt;&gt;"",IFERROR(MATCH(E384,Guests!$S$6:$S$505,0)+5,IFERROR(MATCH(B384,Guests!$A$6:$A$505,0)+5,"")),IFERROR(MATCH(B384,Guests!$A$6:$A$505,0)+5,"")))</f>
        <v/>
      </c>
      <c r="S384" s="32">
        <f>IF(R384="","",TRIM(INDEX(Guests!$E$1:$E$505,R384)&amp;""))</f>
        <v/>
      </c>
      <c r="T384" s="32">
        <f>IF(R384="","",IF(S384="",1,COUNTIF(Guests!$E$6:$E$505,S384)))</f>
        <v/>
      </c>
      <c r="U384" s="32">
        <f>IF(R384="","",IF(S384="",1,IF(COUNTIF(S$1:S383,S384)=0,1,0)))</f>
        <v/>
      </c>
      <c r="V384" s="32">
        <f>IF(AND(R384&lt;&gt;"",G384="Attending",U384=1),MAX(0,H384+I384-T384),0)</f>
        <v/>
      </c>
      <c r="W384" s="32">
        <f>IF(AND(O384=1,R384=""),1,0)</f>
        <v/>
      </c>
      <c r="X384" s="32">
        <f>IF(B384="",0,H384+I384)</f>
        <v/>
      </c>
      <c r="Y384" s="32">
        <f>N(Y383)+O384</f>
        <v/>
      </c>
      <c r="Z384" s="32">
        <f>IF(O384=1,Y384,"")</f>
        <v/>
      </c>
      <c r="AA384" s="32">
        <f>IF(AND(W384=1,G384="Not sure yet"),1,0)</f>
        <v/>
      </c>
      <c r="AB384" s="32">
        <f>N(AB383)+AA384</f>
        <v/>
      </c>
      <c r="AC384" s="32">
        <f>IF(AA384=1,AB384,"")</f>
        <v/>
      </c>
      <c r="AD384" s="32">
        <f>IF(D384="","",IF(LEN(D384)=10,"+1"&amp;D384,IF(AND(LEN(D384)=11,LEFT(D384,1)="1"),"+"&amp;D384,IF(LEFT(C384,1)="+","+"&amp;D384,D384))))</f>
        <v/>
      </c>
      <c r="AE384" s="32">
        <f>IF(B384="","",PROPER(IFERROR(LEFT(B384,FIND(" ",B384)-1),B384)))</f>
        <v/>
      </c>
      <c r="AF384" s="32">
        <f>SUBSTITUTE(SUBSTITUTE(SUBSTITUTE(SUBSTITUTE(SUBSTITUTE(SUBSTITUTE(SUBSTITUTE(SUBSTITUTE(SUBSTITUTE(SUBSTITUTE(AE384,"%","%25"),"&amp;","%26"),"#","%23"),"+","%2B"),"=","%3D"),"?","%3F"),CHAR(34),"%22"),CHAR(10),"%0A"),CHAR(13),"")," ","+")</f>
        <v/>
      </c>
      <c r="AG384" s="32">
        <f>IF(OR(AD384="",AE384=""),"",'Start Here'!$B$20&amp;"#p="&amp;SUBSTITUTE(AD384,"+","%2B")&amp;"&amp;n="&amp;AF384&amp;"&amp;m="&amp;SUBSTITUTE('Start Here'!$B$24,"{name}",AF384))</f>
        <v/>
      </c>
      <c r="AH384" s="32">
        <f>N(AH383)+W384</f>
        <v/>
      </c>
      <c r="AI384" s="32">
        <f>IF(W384=1,AH384,"")</f>
        <v/>
      </c>
    </row>
    <row r="385">
      <c r="A385" s="32">
        <f>IF(INDEX('Form Responses'!$A:$A,ROW())="","",INDEX('Form Responses'!$A:$A,ROW()))</f>
        <v/>
      </c>
      <c r="B385" s="32">
        <f>TRIM(INDEX('Form Responses'!$B:$B,ROW())&amp;"")</f>
        <v/>
      </c>
      <c r="C385" s="32">
        <f>IF(B385="","",TRIM(INDEX('Form Responses'!$C:$C,ROW())&amp;""))</f>
        <v/>
      </c>
      <c r="D385" s="32">
        <f>SUBSTITUTE(SUBSTITUTE(SUBSTITUTE(SUBSTITUTE(SUBSTITUTE(SUBSTITUTE(SUBSTITUTE(SUBSTITUTE(C385," ",""),"-",""),"(",""),")",""),".",""),"+",""),"/",""),CHAR(160),"")</f>
        <v/>
      </c>
      <c r="E385" s="32">
        <f>IF(LEN(D385)&gt;=10,RIGHT(D385,10),D385)</f>
        <v/>
      </c>
      <c r="F385" s="32">
        <f>IF(B385="","",TRIM(INDEX('Form Responses'!$D:$D,ROW())&amp;""))</f>
        <v/>
      </c>
      <c r="G385" s="32">
        <f>IF(B385="","",IF(LEFT(TRIM(INDEX('Form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5" s="32">
        <f>IF(B385="","",MAX(0,IFERROR(INT(--(INDEX('Form Responses'!$F:$F,ROW())&amp;"")),1)))</f>
        <v/>
      </c>
      <c r="I385" s="32">
        <f>IF(B385="","",MAX(0,IFERROR(INT(--(INDEX('Form Responses'!$G:$G,ROW())&amp;"")),0)))</f>
        <v/>
      </c>
      <c r="J385" s="32">
        <f>IF(B385="","",TRIM(INDEX('Form Responses'!$H:$H,ROW())&amp;""))</f>
        <v/>
      </c>
      <c r="K385" s="32">
        <f>IF(B385="","",TRIM(INDEX('Form Responses'!$I:$I,ROW())&amp;""))</f>
        <v/>
      </c>
      <c r="L385" s="32">
        <f>IF(B385="","",TRIM(INDEX('Form Responses'!$J:$J,ROW())&amp;""))</f>
        <v/>
      </c>
      <c r="M385" s="32">
        <f>IF(B385="","",TRIM(INDEX('Form Responses'!$K:$K,ROW())&amp;""))</f>
        <v/>
      </c>
      <c r="N385" s="32">
        <f>IF(B385="","",IF(E385&lt;&gt;"","P"&amp;E385,"N"&amp;B385))</f>
        <v/>
      </c>
      <c r="O385" s="32">
        <f>IF(N385="",0,IF(COUNTIF(N386:N$602,N385)=0,1,0))</f>
        <v/>
      </c>
      <c r="P385" s="32">
        <f>IF(AND(O385=1,E385&lt;&gt;""),E385,"")</f>
        <v/>
      </c>
      <c r="Q385" s="32">
        <f>IF(O385=1,B385,"")</f>
        <v/>
      </c>
      <c r="R385" s="32">
        <f>IF(O385&lt;&gt;1,"",IF(E385&lt;&gt;"",IFERROR(MATCH(E385,Guests!$S$6:$S$505,0)+5,IFERROR(MATCH(B385,Guests!$A$6:$A$505,0)+5,"")),IFERROR(MATCH(B385,Guests!$A$6:$A$505,0)+5,"")))</f>
        <v/>
      </c>
      <c r="S385" s="32">
        <f>IF(R385="","",TRIM(INDEX(Guests!$E$1:$E$505,R385)&amp;""))</f>
        <v/>
      </c>
      <c r="T385" s="32">
        <f>IF(R385="","",IF(S385="",1,COUNTIF(Guests!$E$6:$E$505,S385)))</f>
        <v/>
      </c>
      <c r="U385" s="32">
        <f>IF(R385="","",IF(S385="",1,IF(COUNTIF(S$1:S384,S385)=0,1,0)))</f>
        <v/>
      </c>
      <c r="V385" s="32">
        <f>IF(AND(R385&lt;&gt;"",G385="Attending",U385=1),MAX(0,H385+I385-T385),0)</f>
        <v/>
      </c>
      <c r="W385" s="32">
        <f>IF(AND(O385=1,R385=""),1,0)</f>
        <v/>
      </c>
      <c r="X385" s="32">
        <f>IF(B385="",0,H385+I385)</f>
        <v/>
      </c>
      <c r="Y385" s="32">
        <f>N(Y384)+O385</f>
        <v/>
      </c>
      <c r="Z385" s="32">
        <f>IF(O385=1,Y385,"")</f>
        <v/>
      </c>
      <c r="AA385" s="32">
        <f>IF(AND(W385=1,G385="Not sure yet"),1,0)</f>
        <v/>
      </c>
      <c r="AB385" s="32">
        <f>N(AB384)+AA385</f>
        <v/>
      </c>
      <c r="AC385" s="32">
        <f>IF(AA385=1,AB385,"")</f>
        <v/>
      </c>
      <c r="AD385" s="32">
        <f>IF(D385="","",IF(LEN(D385)=10,"+1"&amp;D385,IF(AND(LEN(D385)=11,LEFT(D385,1)="1"),"+"&amp;D385,IF(LEFT(C385,1)="+","+"&amp;D385,D385))))</f>
        <v/>
      </c>
      <c r="AE385" s="32">
        <f>IF(B385="","",PROPER(IFERROR(LEFT(B385,FIND(" ",B385)-1),B385)))</f>
        <v/>
      </c>
      <c r="AF385" s="32">
        <f>SUBSTITUTE(SUBSTITUTE(SUBSTITUTE(SUBSTITUTE(SUBSTITUTE(SUBSTITUTE(SUBSTITUTE(SUBSTITUTE(SUBSTITUTE(SUBSTITUTE(AE385,"%","%25"),"&amp;","%26"),"#","%23"),"+","%2B"),"=","%3D"),"?","%3F"),CHAR(34),"%22"),CHAR(10),"%0A"),CHAR(13),"")," ","+")</f>
        <v/>
      </c>
      <c r="AG385" s="32">
        <f>IF(OR(AD385="",AE385=""),"",'Start Here'!$B$20&amp;"#p="&amp;SUBSTITUTE(AD385,"+","%2B")&amp;"&amp;n="&amp;AF385&amp;"&amp;m="&amp;SUBSTITUTE('Start Here'!$B$24,"{name}",AF385))</f>
        <v/>
      </c>
      <c r="AH385" s="32">
        <f>N(AH384)+W385</f>
        <v/>
      </c>
      <c r="AI385" s="32">
        <f>IF(W385=1,AH385,"")</f>
        <v/>
      </c>
    </row>
    <row r="386">
      <c r="A386" s="32">
        <f>IF(INDEX('Form Responses'!$A:$A,ROW())="","",INDEX('Form Responses'!$A:$A,ROW()))</f>
        <v/>
      </c>
      <c r="B386" s="32">
        <f>TRIM(INDEX('Form Responses'!$B:$B,ROW())&amp;"")</f>
        <v/>
      </c>
      <c r="C386" s="32">
        <f>IF(B386="","",TRIM(INDEX('Form Responses'!$C:$C,ROW())&amp;""))</f>
        <v/>
      </c>
      <c r="D386" s="32">
        <f>SUBSTITUTE(SUBSTITUTE(SUBSTITUTE(SUBSTITUTE(SUBSTITUTE(SUBSTITUTE(SUBSTITUTE(SUBSTITUTE(C386," ",""),"-",""),"(",""),")",""),".",""),"+",""),"/",""),CHAR(160),"")</f>
        <v/>
      </c>
      <c r="E386" s="32">
        <f>IF(LEN(D386)&gt;=10,RIGHT(D386,10),D386)</f>
        <v/>
      </c>
      <c r="F386" s="32">
        <f>IF(B386="","",TRIM(INDEX('Form Responses'!$D:$D,ROW())&amp;""))</f>
        <v/>
      </c>
      <c r="G386" s="32">
        <f>IF(B386="","",IF(LEFT(TRIM(INDEX('Form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6" s="32">
        <f>IF(B386="","",MAX(0,IFERROR(INT(--(INDEX('Form Responses'!$F:$F,ROW())&amp;"")),1)))</f>
        <v/>
      </c>
      <c r="I386" s="32">
        <f>IF(B386="","",MAX(0,IFERROR(INT(--(INDEX('Form Responses'!$G:$G,ROW())&amp;"")),0)))</f>
        <v/>
      </c>
      <c r="J386" s="32">
        <f>IF(B386="","",TRIM(INDEX('Form Responses'!$H:$H,ROW())&amp;""))</f>
        <v/>
      </c>
      <c r="K386" s="32">
        <f>IF(B386="","",TRIM(INDEX('Form Responses'!$I:$I,ROW())&amp;""))</f>
        <v/>
      </c>
      <c r="L386" s="32">
        <f>IF(B386="","",TRIM(INDEX('Form Responses'!$J:$J,ROW())&amp;""))</f>
        <v/>
      </c>
      <c r="M386" s="32">
        <f>IF(B386="","",TRIM(INDEX('Form Responses'!$K:$K,ROW())&amp;""))</f>
        <v/>
      </c>
      <c r="N386" s="32">
        <f>IF(B386="","",IF(E386&lt;&gt;"","P"&amp;E386,"N"&amp;B386))</f>
        <v/>
      </c>
      <c r="O386" s="32">
        <f>IF(N386="",0,IF(COUNTIF(N387:N$602,N386)=0,1,0))</f>
        <v/>
      </c>
      <c r="P386" s="32">
        <f>IF(AND(O386=1,E386&lt;&gt;""),E386,"")</f>
        <v/>
      </c>
      <c r="Q386" s="32">
        <f>IF(O386=1,B386,"")</f>
        <v/>
      </c>
      <c r="R386" s="32">
        <f>IF(O386&lt;&gt;1,"",IF(E386&lt;&gt;"",IFERROR(MATCH(E386,Guests!$S$6:$S$505,0)+5,IFERROR(MATCH(B386,Guests!$A$6:$A$505,0)+5,"")),IFERROR(MATCH(B386,Guests!$A$6:$A$505,0)+5,"")))</f>
        <v/>
      </c>
      <c r="S386" s="32">
        <f>IF(R386="","",TRIM(INDEX(Guests!$E$1:$E$505,R386)&amp;""))</f>
        <v/>
      </c>
      <c r="T386" s="32">
        <f>IF(R386="","",IF(S386="",1,COUNTIF(Guests!$E$6:$E$505,S386)))</f>
        <v/>
      </c>
      <c r="U386" s="32">
        <f>IF(R386="","",IF(S386="",1,IF(COUNTIF(S$1:S385,S386)=0,1,0)))</f>
        <v/>
      </c>
      <c r="V386" s="32">
        <f>IF(AND(R386&lt;&gt;"",G386="Attending",U386=1),MAX(0,H386+I386-T386),0)</f>
        <v/>
      </c>
      <c r="W386" s="32">
        <f>IF(AND(O386=1,R386=""),1,0)</f>
        <v/>
      </c>
      <c r="X386" s="32">
        <f>IF(B386="",0,H386+I386)</f>
        <v/>
      </c>
      <c r="Y386" s="32">
        <f>N(Y385)+O386</f>
        <v/>
      </c>
      <c r="Z386" s="32">
        <f>IF(O386=1,Y386,"")</f>
        <v/>
      </c>
      <c r="AA386" s="32">
        <f>IF(AND(W386=1,G386="Not sure yet"),1,0)</f>
        <v/>
      </c>
      <c r="AB386" s="32">
        <f>N(AB385)+AA386</f>
        <v/>
      </c>
      <c r="AC386" s="32">
        <f>IF(AA386=1,AB386,"")</f>
        <v/>
      </c>
      <c r="AD386" s="32">
        <f>IF(D386="","",IF(LEN(D386)=10,"+1"&amp;D386,IF(AND(LEN(D386)=11,LEFT(D386,1)="1"),"+"&amp;D386,IF(LEFT(C386,1)="+","+"&amp;D386,D386))))</f>
        <v/>
      </c>
      <c r="AE386" s="32">
        <f>IF(B386="","",PROPER(IFERROR(LEFT(B386,FIND(" ",B386)-1),B386)))</f>
        <v/>
      </c>
      <c r="AF386" s="32">
        <f>SUBSTITUTE(SUBSTITUTE(SUBSTITUTE(SUBSTITUTE(SUBSTITUTE(SUBSTITUTE(SUBSTITUTE(SUBSTITUTE(SUBSTITUTE(SUBSTITUTE(AE386,"%","%25"),"&amp;","%26"),"#","%23"),"+","%2B"),"=","%3D"),"?","%3F"),CHAR(34),"%22"),CHAR(10),"%0A"),CHAR(13),"")," ","+")</f>
        <v/>
      </c>
      <c r="AG386" s="32">
        <f>IF(OR(AD386="",AE386=""),"",'Start Here'!$B$20&amp;"#p="&amp;SUBSTITUTE(AD386,"+","%2B")&amp;"&amp;n="&amp;AF386&amp;"&amp;m="&amp;SUBSTITUTE('Start Here'!$B$24,"{name}",AF386))</f>
        <v/>
      </c>
      <c r="AH386" s="32">
        <f>N(AH385)+W386</f>
        <v/>
      </c>
      <c r="AI386" s="32">
        <f>IF(W386=1,AH386,"")</f>
        <v/>
      </c>
    </row>
    <row r="387">
      <c r="A387" s="32">
        <f>IF(INDEX('Form Responses'!$A:$A,ROW())="","",INDEX('Form Responses'!$A:$A,ROW()))</f>
        <v/>
      </c>
      <c r="B387" s="32">
        <f>TRIM(INDEX('Form Responses'!$B:$B,ROW())&amp;"")</f>
        <v/>
      </c>
      <c r="C387" s="32">
        <f>IF(B387="","",TRIM(INDEX('Form Responses'!$C:$C,ROW())&amp;""))</f>
        <v/>
      </c>
      <c r="D387" s="32">
        <f>SUBSTITUTE(SUBSTITUTE(SUBSTITUTE(SUBSTITUTE(SUBSTITUTE(SUBSTITUTE(SUBSTITUTE(SUBSTITUTE(C387," ",""),"-",""),"(",""),")",""),".",""),"+",""),"/",""),CHAR(160),"")</f>
        <v/>
      </c>
      <c r="E387" s="32">
        <f>IF(LEN(D387)&gt;=10,RIGHT(D387,10),D387)</f>
        <v/>
      </c>
      <c r="F387" s="32">
        <f>IF(B387="","",TRIM(INDEX('Form Responses'!$D:$D,ROW())&amp;""))</f>
        <v/>
      </c>
      <c r="G387" s="32">
        <f>IF(B387="","",IF(LEFT(TRIM(INDEX('Form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7" s="32">
        <f>IF(B387="","",MAX(0,IFERROR(INT(--(INDEX('Form Responses'!$F:$F,ROW())&amp;"")),1)))</f>
        <v/>
      </c>
      <c r="I387" s="32">
        <f>IF(B387="","",MAX(0,IFERROR(INT(--(INDEX('Form Responses'!$G:$G,ROW())&amp;"")),0)))</f>
        <v/>
      </c>
      <c r="J387" s="32">
        <f>IF(B387="","",TRIM(INDEX('Form Responses'!$H:$H,ROW())&amp;""))</f>
        <v/>
      </c>
      <c r="K387" s="32">
        <f>IF(B387="","",TRIM(INDEX('Form Responses'!$I:$I,ROW())&amp;""))</f>
        <v/>
      </c>
      <c r="L387" s="32">
        <f>IF(B387="","",TRIM(INDEX('Form Responses'!$J:$J,ROW())&amp;""))</f>
        <v/>
      </c>
      <c r="M387" s="32">
        <f>IF(B387="","",TRIM(INDEX('Form Responses'!$K:$K,ROW())&amp;""))</f>
        <v/>
      </c>
      <c r="N387" s="32">
        <f>IF(B387="","",IF(E387&lt;&gt;"","P"&amp;E387,"N"&amp;B387))</f>
        <v/>
      </c>
      <c r="O387" s="32">
        <f>IF(N387="",0,IF(COUNTIF(N388:N$602,N387)=0,1,0))</f>
        <v/>
      </c>
      <c r="P387" s="32">
        <f>IF(AND(O387=1,E387&lt;&gt;""),E387,"")</f>
        <v/>
      </c>
      <c r="Q387" s="32">
        <f>IF(O387=1,B387,"")</f>
        <v/>
      </c>
      <c r="R387" s="32">
        <f>IF(O387&lt;&gt;1,"",IF(E387&lt;&gt;"",IFERROR(MATCH(E387,Guests!$S$6:$S$505,0)+5,IFERROR(MATCH(B387,Guests!$A$6:$A$505,0)+5,"")),IFERROR(MATCH(B387,Guests!$A$6:$A$505,0)+5,"")))</f>
        <v/>
      </c>
      <c r="S387" s="32">
        <f>IF(R387="","",TRIM(INDEX(Guests!$E$1:$E$505,R387)&amp;""))</f>
        <v/>
      </c>
      <c r="T387" s="32">
        <f>IF(R387="","",IF(S387="",1,COUNTIF(Guests!$E$6:$E$505,S387)))</f>
        <v/>
      </c>
      <c r="U387" s="32">
        <f>IF(R387="","",IF(S387="",1,IF(COUNTIF(S$1:S386,S387)=0,1,0)))</f>
        <v/>
      </c>
      <c r="V387" s="32">
        <f>IF(AND(R387&lt;&gt;"",G387="Attending",U387=1),MAX(0,H387+I387-T387),0)</f>
        <v/>
      </c>
      <c r="W387" s="32">
        <f>IF(AND(O387=1,R387=""),1,0)</f>
        <v/>
      </c>
      <c r="X387" s="32">
        <f>IF(B387="",0,H387+I387)</f>
        <v/>
      </c>
      <c r="Y387" s="32">
        <f>N(Y386)+O387</f>
        <v/>
      </c>
      <c r="Z387" s="32">
        <f>IF(O387=1,Y387,"")</f>
        <v/>
      </c>
      <c r="AA387" s="32">
        <f>IF(AND(W387=1,G387="Not sure yet"),1,0)</f>
        <v/>
      </c>
      <c r="AB387" s="32">
        <f>N(AB386)+AA387</f>
        <v/>
      </c>
      <c r="AC387" s="32">
        <f>IF(AA387=1,AB387,"")</f>
        <v/>
      </c>
      <c r="AD387" s="32">
        <f>IF(D387="","",IF(LEN(D387)=10,"+1"&amp;D387,IF(AND(LEN(D387)=11,LEFT(D387,1)="1"),"+"&amp;D387,IF(LEFT(C387,1)="+","+"&amp;D387,D387))))</f>
        <v/>
      </c>
      <c r="AE387" s="32">
        <f>IF(B387="","",PROPER(IFERROR(LEFT(B387,FIND(" ",B387)-1),B387)))</f>
        <v/>
      </c>
      <c r="AF387" s="32">
        <f>SUBSTITUTE(SUBSTITUTE(SUBSTITUTE(SUBSTITUTE(SUBSTITUTE(SUBSTITUTE(SUBSTITUTE(SUBSTITUTE(SUBSTITUTE(SUBSTITUTE(AE387,"%","%25"),"&amp;","%26"),"#","%23"),"+","%2B"),"=","%3D"),"?","%3F"),CHAR(34),"%22"),CHAR(10),"%0A"),CHAR(13),"")," ","+")</f>
        <v/>
      </c>
      <c r="AG387" s="32">
        <f>IF(OR(AD387="",AE387=""),"",'Start Here'!$B$20&amp;"#p="&amp;SUBSTITUTE(AD387,"+","%2B")&amp;"&amp;n="&amp;AF387&amp;"&amp;m="&amp;SUBSTITUTE('Start Here'!$B$24,"{name}",AF387))</f>
        <v/>
      </c>
      <c r="AH387" s="32">
        <f>N(AH386)+W387</f>
        <v/>
      </c>
      <c r="AI387" s="32">
        <f>IF(W387=1,AH387,"")</f>
        <v/>
      </c>
    </row>
    <row r="388">
      <c r="A388" s="32">
        <f>IF(INDEX('Form Responses'!$A:$A,ROW())="","",INDEX('Form Responses'!$A:$A,ROW()))</f>
        <v/>
      </c>
      <c r="B388" s="32">
        <f>TRIM(INDEX('Form Responses'!$B:$B,ROW())&amp;"")</f>
        <v/>
      </c>
      <c r="C388" s="32">
        <f>IF(B388="","",TRIM(INDEX('Form Responses'!$C:$C,ROW())&amp;""))</f>
        <v/>
      </c>
      <c r="D388" s="32">
        <f>SUBSTITUTE(SUBSTITUTE(SUBSTITUTE(SUBSTITUTE(SUBSTITUTE(SUBSTITUTE(SUBSTITUTE(SUBSTITUTE(C388," ",""),"-",""),"(",""),")",""),".",""),"+",""),"/",""),CHAR(160),"")</f>
        <v/>
      </c>
      <c r="E388" s="32">
        <f>IF(LEN(D388)&gt;=10,RIGHT(D388,10),D388)</f>
        <v/>
      </c>
      <c r="F388" s="32">
        <f>IF(B388="","",TRIM(INDEX('Form Responses'!$D:$D,ROW())&amp;""))</f>
        <v/>
      </c>
      <c r="G388" s="32">
        <f>IF(B388="","",IF(LEFT(TRIM(INDEX('Form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8" s="32">
        <f>IF(B388="","",MAX(0,IFERROR(INT(--(INDEX('Form Responses'!$F:$F,ROW())&amp;"")),1)))</f>
        <v/>
      </c>
      <c r="I388" s="32">
        <f>IF(B388="","",MAX(0,IFERROR(INT(--(INDEX('Form Responses'!$G:$G,ROW())&amp;"")),0)))</f>
        <v/>
      </c>
      <c r="J388" s="32">
        <f>IF(B388="","",TRIM(INDEX('Form Responses'!$H:$H,ROW())&amp;""))</f>
        <v/>
      </c>
      <c r="K388" s="32">
        <f>IF(B388="","",TRIM(INDEX('Form Responses'!$I:$I,ROW())&amp;""))</f>
        <v/>
      </c>
      <c r="L388" s="32">
        <f>IF(B388="","",TRIM(INDEX('Form Responses'!$J:$J,ROW())&amp;""))</f>
        <v/>
      </c>
      <c r="M388" s="32">
        <f>IF(B388="","",TRIM(INDEX('Form Responses'!$K:$K,ROW())&amp;""))</f>
        <v/>
      </c>
      <c r="N388" s="32">
        <f>IF(B388="","",IF(E388&lt;&gt;"","P"&amp;E388,"N"&amp;B388))</f>
        <v/>
      </c>
      <c r="O388" s="32">
        <f>IF(N388="",0,IF(COUNTIF(N389:N$602,N388)=0,1,0))</f>
        <v/>
      </c>
      <c r="P388" s="32">
        <f>IF(AND(O388=1,E388&lt;&gt;""),E388,"")</f>
        <v/>
      </c>
      <c r="Q388" s="32">
        <f>IF(O388=1,B388,"")</f>
        <v/>
      </c>
      <c r="R388" s="32">
        <f>IF(O388&lt;&gt;1,"",IF(E388&lt;&gt;"",IFERROR(MATCH(E388,Guests!$S$6:$S$505,0)+5,IFERROR(MATCH(B388,Guests!$A$6:$A$505,0)+5,"")),IFERROR(MATCH(B388,Guests!$A$6:$A$505,0)+5,"")))</f>
        <v/>
      </c>
      <c r="S388" s="32">
        <f>IF(R388="","",TRIM(INDEX(Guests!$E$1:$E$505,R388)&amp;""))</f>
        <v/>
      </c>
      <c r="T388" s="32">
        <f>IF(R388="","",IF(S388="",1,COUNTIF(Guests!$E$6:$E$505,S388)))</f>
        <v/>
      </c>
      <c r="U388" s="32">
        <f>IF(R388="","",IF(S388="",1,IF(COUNTIF(S$1:S387,S388)=0,1,0)))</f>
        <v/>
      </c>
      <c r="V388" s="32">
        <f>IF(AND(R388&lt;&gt;"",G388="Attending",U388=1),MAX(0,H388+I388-T388),0)</f>
        <v/>
      </c>
      <c r="W388" s="32">
        <f>IF(AND(O388=1,R388=""),1,0)</f>
        <v/>
      </c>
      <c r="X388" s="32">
        <f>IF(B388="",0,H388+I388)</f>
        <v/>
      </c>
      <c r="Y388" s="32">
        <f>N(Y387)+O388</f>
        <v/>
      </c>
      <c r="Z388" s="32">
        <f>IF(O388=1,Y388,"")</f>
        <v/>
      </c>
      <c r="AA388" s="32">
        <f>IF(AND(W388=1,G388="Not sure yet"),1,0)</f>
        <v/>
      </c>
      <c r="AB388" s="32">
        <f>N(AB387)+AA388</f>
        <v/>
      </c>
      <c r="AC388" s="32">
        <f>IF(AA388=1,AB388,"")</f>
        <v/>
      </c>
      <c r="AD388" s="32">
        <f>IF(D388="","",IF(LEN(D388)=10,"+1"&amp;D388,IF(AND(LEN(D388)=11,LEFT(D388,1)="1"),"+"&amp;D388,IF(LEFT(C388,1)="+","+"&amp;D388,D388))))</f>
        <v/>
      </c>
      <c r="AE388" s="32">
        <f>IF(B388="","",PROPER(IFERROR(LEFT(B388,FIND(" ",B388)-1),B388)))</f>
        <v/>
      </c>
      <c r="AF388" s="32">
        <f>SUBSTITUTE(SUBSTITUTE(SUBSTITUTE(SUBSTITUTE(SUBSTITUTE(SUBSTITUTE(SUBSTITUTE(SUBSTITUTE(SUBSTITUTE(SUBSTITUTE(AE388,"%","%25"),"&amp;","%26"),"#","%23"),"+","%2B"),"=","%3D"),"?","%3F"),CHAR(34),"%22"),CHAR(10),"%0A"),CHAR(13),"")," ","+")</f>
        <v/>
      </c>
      <c r="AG388" s="32">
        <f>IF(OR(AD388="",AE388=""),"",'Start Here'!$B$20&amp;"#p="&amp;SUBSTITUTE(AD388,"+","%2B")&amp;"&amp;n="&amp;AF388&amp;"&amp;m="&amp;SUBSTITUTE('Start Here'!$B$24,"{name}",AF388))</f>
        <v/>
      </c>
      <c r="AH388" s="32">
        <f>N(AH387)+W388</f>
        <v/>
      </c>
      <c r="AI388" s="32">
        <f>IF(W388=1,AH388,"")</f>
        <v/>
      </c>
    </row>
    <row r="389">
      <c r="A389" s="32">
        <f>IF(INDEX('Form Responses'!$A:$A,ROW())="","",INDEX('Form Responses'!$A:$A,ROW()))</f>
        <v/>
      </c>
      <c r="B389" s="32">
        <f>TRIM(INDEX('Form Responses'!$B:$B,ROW())&amp;"")</f>
        <v/>
      </c>
      <c r="C389" s="32">
        <f>IF(B389="","",TRIM(INDEX('Form Responses'!$C:$C,ROW())&amp;""))</f>
        <v/>
      </c>
      <c r="D389" s="32">
        <f>SUBSTITUTE(SUBSTITUTE(SUBSTITUTE(SUBSTITUTE(SUBSTITUTE(SUBSTITUTE(SUBSTITUTE(SUBSTITUTE(C389," ",""),"-",""),"(",""),")",""),".",""),"+",""),"/",""),CHAR(160),"")</f>
        <v/>
      </c>
      <c r="E389" s="32">
        <f>IF(LEN(D389)&gt;=10,RIGHT(D389,10),D389)</f>
        <v/>
      </c>
      <c r="F389" s="32">
        <f>IF(B389="","",TRIM(INDEX('Form Responses'!$D:$D,ROW())&amp;""))</f>
        <v/>
      </c>
      <c r="G389" s="32">
        <f>IF(B389="","",IF(LEFT(TRIM(INDEX('Form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89" s="32">
        <f>IF(B389="","",MAX(0,IFERROR(INT(--(INDEX('Form Responses'!$F:$F,ROW())&amp;"")),1)))</f>
        <v/>
      </c>
      <c r="I389" s="32">
        <f>IF(B389="","",MAX(0,IFERROR(INT(--(INDEX('Form Responses'!$G:$G,ROW())&amp;"")),0)))</f>
        <v/>
      </c>
      <c r="J389" s="32">
        <f>IF(B389="","",TRIM(INDEX('Form Responses'!$H:$H,ROW())&amp;""))</f>
        <v/>
      </c>
      <c r="K389" s="32">
        <f>IF(B389="","",TRIM(INDEX('Form Responses'!$I:$I,ROW())&amp;""))</f>
        <v/>
      </c>
      <c r="L389" s="32">
        <f>IF(B389="","",TRIM(INDEX('Form Responses'!$J:$J,ROW())&amp;""))</f>
        <v/>
      </c>
      <c r="M389" s="32">
        <f>IF(B389="","",TRIM(INDEX('Form Responses'!$K:$K,ROW())&amp;""))</f>
        <v/>
      </c>
      <c r="N389" s="32">
        <f>IF(B389="","",IF(E389&lt;&gt;"","P"&amp;E389,"N"&amp;B389))</f>
        <v/>
      </c>
      <c r="O389" s="32">
        <f>IF(N389="",0,IF(COUNTIF(N390:N$602,N389)=0,1,0))</f>
        <v/>
      </c>
      <c r="P389" s="32">
        <f>IF(AND(O389=1,E389&lt;&gt;""),E389,"")</f>
        <v/>
      </c>
      <c r="Q389" s="32">
        <f>IF(O389=1,B389,"")</f>
        <v/>
      </c>
      <c r="R389" s="32">
        <f>IF(O389&lt;&gt;1,"",IF(E389&lt;&gt;"",IFERROR(MATCH(E389,Guests!$S$6:$S$505,0)+5,IFERROR(MATCH(B389,Guests!$A$6:$A$505,0)+5,"")),IFERROR(MATCH(B389,Guests!$A$6:$A$505,0)+5,"")))</f>
        <v/>
      </c>
      <c r="S389" s="32">
        <f>IF(R389="","",TRIM(INDEX(Guests!$E$1:$E$505,R389)&amp;""))</f>
        <v/>
      </c>
      <c r="T389" s="32">
        <f>IF(R389="","",IF(S389="",1,COUNTIF(Guests!$E$6:$E$505,S389)))</f>
        <v/>
      </c>
      <c r="U389" s="32">
        <f>IF(R389="","",IF(S389="",1,IF(COUNTIF(S$1:S388,S389)=0,1,0)))</f>
        <v/>
      </c>
      <c r="V389" s="32">
        <f>IF(AND(R389&lt;&gt;"",G389="Attending",U389=1),MAX(0,H389+I389-T389),0)</f>
        <v/>
      </c>
      <c r="W389" s="32">
        <f>IF(AND(O389=1,R389=""),1,0)</f>
        <v/>
      </c>
      <c r="X389" s="32">
        <f>IF(B389="",0,H389+I389)</f>
        <v/>
      </c>
      <c r="Y389" s="32">
        <f>N(Y388)+O389</f>
        <v/>
      </c>
      <c r="Z389" s="32">
        <f>IF(O389=1,Y389,"")</f>
        <v/>
      </c>
      <c r="AA389" s="32">
        <f>IF(AND(W389=1,G389="Not sure yet"),1,0)</f>
        <v/>
      </c>
      <c r="AB389" s="32">
        <f>N(AB388)+AA389</f>
        <v/>
      </c>
      <c r="AC389" s="32">
        <f>IF(AA389=1,AB389,"")</f>
        <v/>
      </c>
      <c r="AD389" s="32">
        <f>IF(D389="","",IF(LEN(D389)=10,"+1"&amp;D389,IF(AND(LEN(D389)=11,LEFT(D389,1)="1"),"+"&amp;D389,IF(LEFT(C389,1)="+","+"&amp;D389,D389))))</f>
        <v/>
      </c>
      <c r="AE389" s="32">
        <f>IF(B389="","",PROPER(IFERROR(LEFT(B389,FIND(" ",B389)-1),B389)))</f>
        <v/>
      </c>
      <c r="AF389" s="32">
        <f>SUBSTITUTE(SUBSTITUTE(SUBSTITUTE(SUBSTITUTE(SUBSTITUTE(SUBSTITUTE(SUBSTITUTE(SUBSTITUTE(SUBSTITUTE(SUBSTITUTE(AE389,"%","%25"),"&amp;","%26"),"#","%23"),"+","%2B"),"=","%3D"),"?","%3F"),CHAR(34),"%22"),CHAR(10),"%0A"),CHAR(13),"")," ","+")</f>
        <v/>
      </c>
      <c r="AG389" s="32">
        <f>IF(OR(AD389="",AE389=""),"",'Start Here'!$B$20&amp;"#p="&amp;SUBSTITUTE(AD389,"+","%2B")&amp;"&amp;n="&amp;AF389&amp;"&amp;m="&amp;SUBSTITUTE('Start Here'!$B$24,"{name}",AF389))</f>
        <v/>
      </c>
      <c r="AH389" s="32">
        <f>N(AH388)+W389</f>
        <v/>
      </c>
      <c r="AI389" s="32">
        <f>IF(W389=1,AH389,"")</f>
        <v/>
      </c>
    </row>
    <row r="390">
      <c r="A390" s="32">
        <f>IF(INDEX('Form Responses'!$A:$A,ROW())="","",INDEX('Form Responses'!$A:$A,ROW()))</f>
        <v/>
      </c>
      <c r="B390" s="32">
        <f>TRIM(INDEX('Form Responses'!$B:$B,ROW())&amp;"")</f>
        <v/>
      </c>
      <c r="C390" s="32">
        <f>IF(B390="","",TRIM(INDEX('Form Responses'!$C:$C,ROW())&amp;""))</f>
        <v/>
      </c>
      <c r="D390" s="32">
        <f>SUBSTITUTE(SUBSTITUTE(SUBSTITUTE(SUBSTITUTE(SUBSTITUTE(SUBSTITUTE(SUBSTITUTE(SUBSTITUTE(C390," ",""),"-",""),"(",""),")",""),".",""),"+",""),"/",""),CHAR(160),"")</f>
        <v/>
      </c>
      <c r="E390" s="32">
        <f>IF(LEN(D390)&gt;=10,RIGHT(D390,10),D390)</f>
        <v/>
      </c>
      <c r="F390" s="32">
        <f>IF(B390="","",TRIM(INDEX('Form Responses'!$D:$D,ROW())&amp;""))</f>
        <v/>
      </c>
      <c r="G390" s="32">
        <f>IF(B390="","",IF(LEFT(TRIM(INDEX('Form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0" s="32">
        <f>IF(B390="","",MAX(0,IFERROR(INT(--(INDEX('Form Responses'!$F:$F,ROW())&amp;"")),1)))</f>
        <v/>
      </c>
      <c r="I390" s="32">
        <f>IF(B390="","",MAX(0,IFERROR(INT(--(INDEX('Form Responses'!$G:$G,ROW())&amp;"")),0)))</f>
        <v/>
      </c>
      <c r="J390" s="32">
        <f>IF(B390="","",TRIM(INDEX('Form Responses'!$H:$H,ROW())&amp;""))</f>
        <v/>
      </c>
      <c r="K390" s="32">
        <f>IF(B390="","",TRIM(INDEX('Form Responses'!$I:$I,ROW())&amp;""))</f>
        <v/>
      </c>
      <c r="L390" s="32">
        <f>IF(B390="","",TRIM(INDEX('Form Responses'!$J:$J,ROW())&amp;""))</f>
        <v/>
      </c>
      <c r="M390" s="32">
        <f>IF(B390="","",TRIM(INDEX('Form Responses'!$K:$K,ROW())&amp;""))</f>
        <v/>
      </c>
      <c r="N390" s="32">
        <f>IF(B390="","",IF(E390&lt;&gt;"","P"&amp;E390,"N"&amp;B390))</f>
        <v/>
      </c>
      <c r="O390" s="32">
        <f>IF(N390="",0,IF(COUNTIF(N391:N$602,N390)=0,1,0))</f>
        <v/>
      </c>
      <c r="P390" s="32">
        <f>IF(AND(O390=1,E390&lt;&gt;""),E390,"")</f>
        <v/>
      </c>
      <c r="Q390" s="32">
        <f>IF(O390=1,B390,"")</f>
        <v/>
      </c>
      <c r="R390" s="32">
        <f>IF(O390&lt;&gt;1,"",IF(E390&lt;&gt;"",IFERROR(MATCH(E390,Guests!$S$6:$S$505,0)+5,IFERROR(MATCH(B390,Guests!$A$6:$A$505,0)+5,"")),IFERROR(MATCH(B390,Guests!$A$6:$A$505,0)+5,"")))</f>
        <v/>
      </c>
      <c r="S390" s="32">
        <f>IF(R390="","",TRIM(INDEX(Guests!$E$1:$E$505,R390)&amp;""))</f>
        <v/>
      </c>
      <c r="T390" s="32">
        <f>IF(R390="","",IF(S390="",1,COUNTIF(Guests!$E$6:$E$505,S390)))</f>
        <v/>
      </c>
      <c r="U390" s="32">
        <f>IF(R390="","",IF(S390="",1,IF(COUNTIF(S$1:S389,S390)=0,1,0)))</f>
        <v/>
      </c>
      <c r="V390" s="32">
        <f>IF(AND(R390&lt;&gt;"",G390="Attending",U390=1),MAX(0,H390+I390-T390),0)</f>
        <v/>
      </c>
      <c r="W390" s="32">
        <f>IF(AND(O390=1,R390=""),1,0)</f>
        <v/>
      </c>
      <c r="X390" s="32">
        <f>IF(B390="",0,H390+I390)</f>
        <v/>
      </c>
      <c r="Y390" s="32">
        <f>N(Y389)+O390</f>
        <v/>
      </c>
      <c r="Z390" s="32">
        <f>IF(O390=1,Y390,"")</f>
        <v/>
      </c>
      <c r="AA390" s="32">
        <f>IF(AND(W390=1,G390="Not sure yet"),1,0)</f>
        <v/>
      </c>
      <c r="AB390" s="32">
        <f>N(AB389)+AA390</f>
        <v/>
      </c>
      <c r="AC390" s="32">
        <f>IF(AA390=1,AB390,"")</f>
        <v/>
      </c>
      <c r="AD390" s="32">
        <f>IF(D390="","",IF(LEN(D390)=10,"+1"&amp;D390,IF(AND(LEN(D390)=11,LEFT(D390,1)="1"),"+"&amp;D390,IF(LEFT(C390,1)="+","+"&amp;D390,D390))))</f>
        <v/>
      </c>
      <c r="AE390" s="32">
        <f>IF(B390="","",PROPER(IFERROR(LEFT(B390,FIND(" ",B390)-1),B390)))</f>
        <v/>
      </c>
      <c r="AF390" s="32">
        <f>SUBSTITUTE(SUBSTITUTE(SUBSTITUTE(SUBSTITUTE(SUBSTITUTE(SUBSTITUTE(SUBSTITUTE(SUBSTITUTE(SUBSTITUTE(SUBSTITUTE(AE390,"%","%25"),"&amp;","%26"),"#","%23"),"+","%2B"),"=","%3D"),"?","%3F"),CHAR(34),"%22"),CHAR(10),"%0A"),CHAR(13),"")," ","+")</f>
        <v/>
      </c>
      <c r="AG390" s="32">
        <f>IF(OR(AD390="",AE390=""),"",'Start Here'!$B$20&amp;"#p="&amp;SUBSTITUTE(AD390,"+","%2B")&amp;"&amp;n="&amp;AF390&amp;"&amp;m="&amp;SUBSTITUTE('Start Here'!$B$24,"{name}",AF390))</f>
        <v/>
      </c>
      <c r="AH390" s="32">
        <f>N(AH389)+W390</f>
        <v/>
      </c>
      <c r="AI390" s="32">
        <f>IF(W390=1,AH390,"")</f>
        <v/>
      </c>
    </row>
    <row r="391">
      <c r="A391" s="32">
        <f>IF(INDEX('Form Responses'!$A:$A,ROW())="","",INDEX('Form Responses'!$A:$A,ROW()))</f>
        <v/>
      </c>
      <c r="B391" s="32">
        <f>TRIM(INDEX('Form Responses'!$B:$B,ROW())&amp;"")</f>
        <v/>
      </c>
      <c r="C391" s="32">
        <f>IF(B391="","",TRIM(INDEX('Form Responses'!$C:$C,ROW())&amp;""))</f>
        <v/>
      </c>
      <c r="D391" s="32">
        <f>SUBSTITUTE(SUBSTITUTE(SUBSTITUTE(SUBSTITUTE(SUBSTITUTE(SUBSTITUTE(SUBSTITUTE(SUBSTITUTE(C391," ",""),"-",""),"(",""),")",""),".",""),"+",""),"/",""),CHAR(160),"")</f>
        <v/>
      </c>
      <c r="E391" s="32">
        <f>IF(LEN(D391)&gt;=10,RIGHT(D391,10),D391)</f>
        <v/>
      </c>
      <c r="F391" s="32">
        <f>IF(B391="","",TRIM(INDEX('Form Responses'!$D:$D,ROW())&amp;""))</f>
        <v/>
      </c>
      <c r="G391" s="32">
        <f>IF(B391="","",IF(LEFT(TRIM(INDEX('Form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1" s="32">
        <f>IF(B391="","",MAX(0,IFERROR(INT(--(INDEX('Form Responses'!$F:$F,ROW())&amp;"")),1)))</f>
        <v/>
      </c>
      <c r="I391" s="32">
        <f>IF(B391="","",MAX(0,IFERROR(INT(--(INDEX('Form Responses'!$G:$G,ROW())&amp;"")),0)))</f>
        <v/>
      </c>
      <c r="J391" s="32">
        <f>IF(B391="","",TRIM(INDEX('Form Responses'!$H:$H,ROW())&amp;""))</f>
        <v/>
      </c>
      <c r="K391" s="32">
        <f>IF(B391="","",TRIM(INDEX('Form Responses'!$I:$I,ROW())&amp;""))</f>
        <v/>
      </c>
      <c r="L391" s="32">
        <f>IF(B391="","",TRIM(INDEX('Form Responses'!$J:$J,ROW())&amp;""))</f>
        <v/>
      </c>
      <c r="M391" s="32">
        <f>IF(B391="","",TRIM(INDEX('Form Responses'!$K:$K,ROW())&amp;""))</f>
        <v/>
      </c>
      <c r="N391" s="32">
        <f>IF(B391="","",IF(E391&lt;&gt;"","P"&amp;E391,"N"&amp;B391))</f>
        <v/>
      </c>
      <c r="O391" s="32">
        <f>IF(N391="",0,IF(COUNTIF(N392:N$602,N391)=0,1,0))</f>
        <v/>
      </c>
      <c r="P391" s="32">
        <f>IF(AND(O391=1,E391&lt;&gt;""),E391,"")</f>
        <v/>
      </c>
      <c r="Q391" s="32">
        <f>IF(O391=1,B391,"")</f>
        <v/>
      </c>
      <c r="R391" s="32">
        <f>IF(O391&lt;&gt;1,"",IF(E391&lt;&gt;"",IFERROR(MATCH(E391,Guests!$S$6:$S$505,0)+5,IFERROR(MATCH(B391,Guests!$A$6:$A$505,0)+5,"")),IFERROR(MATCH(B391,Guests!$A$6:$A$505,0)+5,"")))</f>
        <v/>
      </c>
      <c r="S391" s="32">
        <f>IF(R391="","",TRIM(INDEX(Guests!$E$1:$E$505,R391)&amp;""))</f>
        <v/>
      </c>
      <c r="T391" s="32">
        <f>IF(R391="","",IF(S391="",1,COUNTIF(Guests!$E$6:$E$505,S391)))</f>
        <v/>
      </c>
      <c r="U391" s="32">
        <f>IF(R391="","",IF(S391="",1,IF(COUNTIF(S$1:S390,S391)=0,1,0)))</f>
        <v/>
      </c>
      <c r="V391" s="32">
        <f>IF(AND(R391&lt;&gt;"",G391="Attending",U391=1),MAX(0,H391+I391-T391),0)</f>
        <v/>
      </c>
      <c r="W391" s="32">
        <f>IF(AND(O391=1,R391=""),1,0)</f>
        <v/>
      </c>
      <c r="X391" s="32">
        <f>IF(B391="",0,H391+I391)</f>
        <v/>
      </c>
      <c r="Y391" s="32">
        <f>N(Y390)+O391</f>
        <v/>
      </c>
      <c r="Z391" s="32">
        <f>IF(O391=1,Y391,"")</f>
        <v/>
      </c>
      <c r="AA391" s="32">
        <f>IF(AND(W391=1,G391="Not sure yet"),1,0)</f>
        <v/>
      </c>
      <c r="AB391" s="32">
        <f>N(AB390)+AA391</f>
        <v/>
      </c>
      <c r="AC391" s="32">
        <f>IF(AA391=1,AB391,"")</f>
        <v/>
      </c>
      <c r="AD391" s="32">
        <f>IF(D391="","",IF(LEN(D391)=10,"+1"&amp;D391,IF(AND(LEN(D391)=11,LEFT(D391,1)="1"),"+"&amp;D391,IF(LEFT(C391,1)="+","+"&amp;D391,D391))))</f>
        <v/>
      </c>
      <c r="AE391" s="32">
        <f>IF(B391="","",PROPER(IFERROR(LEFT(B391,FIND(" ",B391)-1),B391)))</f>
        <v/>
      </c>
      <c r="AF391" s="32">
        <f>SUBSTITUTE(SUBSTITUTE(SUBSTITUTE(SUBSTITUTE(SUBSTITUTE(SUBSTITUTE(SUBSTITUTE(SUBSTITUTE(SUBSTITUTE(SUBSTITUTE(AE391,"%","%25"),"&amp;","%26"),"#","%23"),"+","%2B"),"=","%3D"),"?","%3F"),CHAR(34),"%22"),CHAR(10),"%0A"),CHAR(13),"")," ","+")</f>
        <v/>
      </c>
      <c r="AG391" s="32">
        <f>IF(OR(AD391="",AE391=""),"",'Start Here'!$B$20&amp;"#p="&amp;SUBSTITUTE(AD391,"+","%2B")&amp;"&amp;n="&amp;AF391&amp;"&amp;m="&amp;SUBSTITUTE('Start Here'!$B$24,"{name}",AF391))</f>
        <v/>
      </c>
      <c r="AH391" s="32">
        <f>N(AH390)+W391</f>
        <v/>
      </c>
      <c r="AI391" s="32">
        <f>IF(W391=1,AH391,"")</f>
        <v/>
      </c>
    </row>
    <row r="392">
      <c r="A392" s="32">
        <f>IF(INDEX('Form Responses'!$A:$A,ROW())="","",INDEX('Form Responses'!$A:$A,ROW()))</f>
        <v/>
      </c>
      <c r="B392" s="32">
        <f>TRIM(INDEX('Form Responses'!$B:$B,ROW())&amp;"")</f>
        <v/>
      </c>
      <c r="C392" s="32">
        <f>IF(B392="","",TRIM(INDEX('Form Responses'!$C:$C,ROW())&amp;""))</f>
        <v/>
      </c>
      <c r="D392" s="32">
        <f>SUBSTITUTE(SUBSTITUTE(SUBSTITUTE(SUBSTITUTE(SUBSTITUTE(SUBSTITUTE(SUBSTITUTE(SUBSTITUTE(C392," ",""),"-",""),"(",""),")",""),".",""),"+",""),"/",""),CHAR(160),"")</f>
        <v/>
      </c>
      <c r="E392" s="32">
        <f>IF(LEN(D392)&gt;=10,RIGHT(D392,10),D392)</f>
        <v/>
      </c>
      <c r="F392" s="32">
        <f>IF(B392="","",TRIM(INDEX('Form Responses'!$D:$D,ROW())&amp;""))</f>
        <v/>
      </c>
      <c r="G392" s="32">
        <f>IF(B392="","",IF(LEFT(TRIM(INDEX('Form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2" s="32">
        <f>IF(B392="","",MAX(0,IFERROR(INT(--(INDEX('Form Responses'!$F:$F,ROW())&amp;"")),1)))</f>
        <v/>
      </c>
      <c r="I392" s="32">
        <f>IF(B392="","",MAX(0,IFERROR(INT(--(INDEX('Form Responses'!$G:$G,ROW())&amp;"")),0)))</f>
        <v/>
      </c>
      <c r="J392" s="32">
        <f>IF(B392="","",TRIM(INDEX('Form Responses'!$H:$H,ROW())&amp;""))</f>
        <v/>
      </c>
      <c r="K392" s="32">
        <f>IF(B392="","",TRIM(INDEX('Form Responses'!$I:$I,ROW())&amp;""))</f>
        <v/>
      </c>
      <c r="L392" s="32">
        <f>IF(B392="","",TRIM(INDEX('Form Responses'!$J:$J,ROW())&amp;""))</f>
        <v/>
      </c>
      <c r="M392" s="32">
        <f>IF(B392="","",TRIM(INDEX('Form Responses'!$K:$K,ROW())&amp;""))</f>
        <v/>
      </c>
      <c r="N392" s="32">
        <f>IF(B392="","",IF(E392&lt;&gt;"","P"&amp;E392,"N"&amp;B392))</f>
        <v/>
      </c>
      <c r="O392" s="32">
        <f>IF(N392="",0,IF(COUNTIF(N393:N$602,N392)=0,1,0))</f>
        <v/>
      </c>
      <c r="P392" s="32">
        <f>IF(AND(O392=1,E392&lt;&gt;""),E392,"")</f>
        <v/>
      </c>
      <c r="Q392" s="32">
        <f>IF(O392=1,B392,"")</f>
        <v/>
      </c>
      <c r="R392" s="32">
        <f>IF(O392&lt;&gt;1,"",IF(E392&lt;&gt;"",IFERROR(MATCH(E392,Guests!$S$6:$S$505,0)+5,IFERROR(MATCH(B392,Guests!$A$6:$A$505,0)+5,"")),IFERROR(MATCH(B392,Guests!$A$6:$A$505,0)+5,"")))</f>
        <v/>
      </c>
      <c r="S392" s="32">
        <f>IF(R392="","",TRIM(INDEX(Guests!$E$1:$E$505,R392)&amp;""))</f>
        <v/>
      </c>
      <c r="T392" s="32">
        <f>IF(R392="","",IF(S392="",1,COUNTIF(Guests!$E$6:$E$505,S392)))</f>
        <v/>
      </c>
      <c r="U392" s="32">
        <f>IF(R392="","",IF(S392="",1,IF(COUNTIF(S$1:S391,S392)=0,1,0)))</f>
        <v/>
      </c>
      <c r="V392" s="32">
        <f>IF(AND(R392&lt;&gt;"",G392="Attending",U392=1),MAX(0,H392+I392-T392),0)</f>
        <v/>
      </c>
      <c r="W392" s="32">
        <f>IF(AND(O392=1,R392=""),1,0)</f>
        <v/>
      </c>
      <c r="X392" s="32">
        <f>IF(B392="",0,H392+I392)</f>
        <v/>
      </c>
      <c r="Y392" s="32">
        <f>N(Y391)+O392</f>
        <v/>
      </c>
      <c r="Z392" s="32">
        <f>IF(O392=1,Y392,"")</f>
        <v/>
      </c>
      <c r="AA392" s="32">
        <f>IF(AND(W392=1,G392="Not sure yet"),1,0)</f>
        <v/>
      </c>
      <c r="AB392" s="32">
        <f>N(AB391)+AA392</f>
        <v/>
      </c>
      <c r="AC392" s="32">
        <f>IF(AA392=1,AB392,"")</f>
        <v/>
      </c>
      <c r="AD392" s="32">
        <f>IF(D392="","",IF(LEN(D392)=10,"+1"&amp;D392,IF(AND(LEN(D392)=11,LEFT(D392,1)="1"),"+"&amp;D392,IF(LEFT(C392,1)="+","+"&amp;D392,D392))))</f>
        <v/>
      </c>
      <c r="AE392" s="32">
        <f>IF(B392="","",PROPER(IFERROR(LEFT(B392,FIND(" ",B392)-1),B392)))</f>
        <v/>
      </c>
      <c r="AF392" s="32">
        <f>SUBSTITUTE(SUBSTITUTE(SUBSTITUTE(SUBSTITUTE(SUBSTITUTE(SUBSTITUTE(SUBSTITUTE(SUBSTITUTE(SUBSTITUTE(SUBSTITUTE(AE392,"%","%25"),"&amp;","%26"),"#","%23"),"+","%2B"),"=","%3D"),"?","%3F"),CHAR(34),"%22"),CHAR(10),"%0A"),CHAR(13),"")," ","+")</f>
        <v/>
      </c>
      <c r="AG392" s="32">
        <f>IF(OR(AD392="",AE392=""),"",'Start Here'!$B$20&amp;"#p="&amp;SUBSTITUTE(AD392,"+","%2B")&amp;"&amp;n="&amp;AF392&amp;"&amp;m="&amp;SUBSTITUTE('Start Here'!$B$24,"{name}",AF392))</f>
        <v/>
      </c>
      <c r="AH392" s="32">
        <f>N(AH391)+W392</f>
        <v/>
      </c>
      <c r="AI392" s="32">
        <f>IF(W392=1,AH392,"")</f>
        <v/>
      </c>
    </row>
    <row r="393">
      <c r="A393" s="32">
        <f>IF(INDEX('Form Responses'!$A:$A,ROW())="","",INDEX('Form Responses'!$A:$A,ROW()))</f>
        <v/>
      </c>
      <c r="B393" s="32">
        <f>TRIM(INDEX('Form Responses'!$B:$B,ROW())&amp;"")</f>
        <v/>
      </c>
      <c r="C393" s="32">
        <f>IF(B393="","",TRIM(INDEX('Form Responses'!$C:$C,ROW())&amp;""))</f>
        <v/>
      </c>
      <c r="D393" s="32">
        <f>SUBSTITUTE(SUBSTITUTE(SUBSTITUTE(SUBSTITUTE(SUBSTITUTE(SUBSTITUTE(SUBSTITUTE(SUBSTITUTE(C393," ",""),"-",""),"(",""),")",""),".",""),"+",""),"/",""),CHAR(160),"")</f>
        <v/>
      </c>
      <c r="E393" s="32">
        <f>IF(LEN(D393)&gt;=10,RIGHT(D393,10),D393)</f>
        <v/>
      </c>
      <c r="F393" s="32">
        <f>IF(B393="","",TRIM(INDEX('Form Responses'!$D:$D,ROW())&amp;""))</f>
        <v/>
      </c>
      <c r="G393" s="32">
        <f>IF(B393="","",IF(LEFT(TRIM(INDEX('Form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3" s="32">
        <f>IF(B393="","",MAX(0,IFERROR(INT(--(INDEX('Form Responses'!$F:$F,ROW())&amp;"")),1)))</f>
        <v/>
      </c>
      <c r="I393" s="32">
        <f>IF(B393="","",MAX(0,IFERROR(INT(--(INDEX('Form Responses'!$G:$G,ROW())&amp;"")),0)))</f>
        <v/>
      </c>
      <c r="J393" s="32">
        <f>IF(B393="","",TRIM(INDEX('Form Responses'!$H:$H,ROW())&amp;""))</f>
        <v/>
      </c>
      <c r="K393" s="32">
        <f>IF(B393="","",TRIM(INDEX('Form Responses'!$I:$I,ROW())&amp;""))</f>
        <v/>
      </c>
      <c r="L393" s="32">
        <f>IF(B393="","",TRIM(INDEX('Form Responses'!$J:$J,ROW())&amp;""))</f>
        <v/>
      </c>
      <c r="M393" s="32">
        <f>IF(B393="","",TRIM(INDEX('Form Responses'!$K:$K,ROW())&amp;""))</f>
        <v/>
      </c>
      <c r="N393" s="32">
        <f>IF(B393="","",IF(E393&lt;&gt;"","P"&amp;E393,"N"&amp;B393))</f>
        <v/>
      </c>
      <c r="O393" s="32">
        <f>IF(N393="",0,IF(COUNTIF(N394:N$602,N393)=0,1,0))</f>
        <v/>
      </c>
      <c r="P393" s="32">
        <f>IF(AND(O393=1,E393&lt;&gt;""),E393,"")</f>
        <v/>
      </c>
      <c r="Q393" s="32">
        <f>IF(O393=1,B393,"")</f>
        <v/>
      </c>
      <c r="R393" s="32">
        <f>IF(O393&lt;&gt;1,"",IF(E393&lt;&gt;"",IFERROR(MATCH(E393,Guests!$S$6:$S$505,0)+5,IFERROR(MATCH(B393,Guests!$A$6:$A$505,0)+5,"")),IFERROR(MATCH(B393,Guests!$A$6:$A$505,0)+5,"")))</f>
        <v/>
      </c>
      <c r="S393" s="32">
        <f>IF(R393="","",TRIM(INDEX(Guests!$E$1:$E$505,R393)&amp;""))</f>
        <v/>
      </c>
      <c r="T393" s="32">
        <f>IF(R393="","",IF(S393="",1,COUNTIF(Guests!$E$6:$E$505,S393)))</f>
        <v/>
      </c>
      <c r="U393" s="32">
        <f>IF(R393="","",IF(S393="",1,IF(COUNTIF(S$1:S392,S393)=0,1,0)))</f>
        <v/>
      </c>
      <c r="V393" s="32">
        <f>IF(AND(R393&lt;&gt;"",G393="Attending",U393=1),MAX(0,H393+I393-T393),0)</f>
        <v/>
      </c>
      <c r="W393" s="32">
        <f>IF(AND(O393=1,R393=""),1,0)</f>
        <v/>
      </c>
      <c r="X393" s="32">
        <f>IF(B393="",0,H393+I393)</f>
        <v/>
      </c>
      <c r="Y393" s="32">
        <f>N(Y392)+O393</f>
        <v/>
      </c>
      <c r="Z393" s="32">
        <f>IF(O393=1,Y393,"")</f>
        <v/>
      </c>
      <c r="AA393" s="32">
        <f>IF(AND(W393=1,G393="Not sure yet"),1,0)</f>
        <v/>
      </c>
      <c r="AB393" s="32">
        <f>N(AB392)+AA393</f>
        <v/>
      </c>
      <c r="AC393" s="32">
        <f>IF(AA393=1,AB393,"")</f>
        <v/>
      </c>
      <c r="AD393" s="32">
        <f>IF(D393="","",IF(LEN(D393)=10,"+1"&amp;D393,IF(AND(LEN(D393)=11,LEFT(D393,1)="1"),"+"&amp;D393,IF(LEFT(C393,1)="+","+"&amp;D393,D393))))</f>
        <v/>
      </c>
      <c r="AE393" s="32">
        <f>IF(B393="","",PROPER(IFERROR(LEFT(B393,FIND(" ",B393)-1),B393)))</f>
        <v/>
      </c>
      <c r="AF393" s="32">
        <f>SUBSTITUTE(SUBSTITUTE(SUBSTITUTE(SUBSTITUTE(SUBSTITUTE(SUBSTITUTE(SUBSTITUTE(SUBSTITUTE(SUBSTITUTE(SUBSTITUTE(AE393,"%","%25"),"&amp;","%26"),"#","%23"),"+","%2B"),"=","%3D"),"?","%3F"),CHAR(34),"%22"),CHAR(10),"%0A"),CHAR(13),"")," ","+")</f>
        <v/>
      </c>
      <c r="AG393" s="32">
        <f>IF(OR(AD393="",AE393=""),"",'Start Here'!$B$20&amp;"#p="&amp;SUBSTITUTE(AD393,"+","%2B")&amp;"&amp;n="&amp;AF393&amp;"&amp;m="&amp;SUBSTITUTE('Start Here'!$B$24,"{name}",AF393))</f>
        <v/>
      </c>
      <c r="AH393" s="32">
        <f>N(AH392)+W393</f>
        <v/>
      </c>
      <c r="AI393" s="32">
        <f>IF(W393=1,AH393,"")</f>
        <v/>
      </c>
    </row>
    <row r="394">
      <c r="A394" s="32">
        <f>IF(INDEX('Form Responses'!$A:$A,ROW())="","",INDEX('Form Responses'!$A:$A,ROW()))</f>
        <v/>
      </c>
      <c r="B394" s="32">
        <f>TRIM(INDEX('Form Responses'!$B:$B,ROW())&amp;"")</f>
        <v/>
      </c>
      <c r="C394" s="32">
        <f>IF(B394="","",TRIM(INDEX('Form Responses'!$C:$C,ROW())&amp;""))</f>
        <v/>
      </c>
      <c r="D394" s="32">
        <f>SUBSTITUTE(SUBSTITUTE(SUBSTITUTE(SUBSTITUTE(SUBSTITUTE(SUBSTITUTE(SUBSTITUTE(SUBSTITUTE(C394," ",""),"-",""),"(",""),")",""),".",""),"+",""),"/",""),CHAR(160),"")</f>
        <v/>
      </c>
      <c r="E394" s="32">
        <f>IF(LEN(D394)&gt;=10,RIGHT(D394,10),D394)</f>
        <v/>
      </c>
      <c r="F394" s="32">
        <f>IF(B394="","",TRIM(INDEX('Form Responses'!$D:$D,ROW())&amp;""))</f>
        <v/>
      </c>
      <c r="G394" s="32">
        <f>IF(B394="","",IF(LEFT(TRIM(INDEX('Form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4" s="32">
        <f>IF(B394="","",MAX(0,IFERROR(INT(--(INDEX('Form Responses'!$F:$F,ROW())&amp;"")),1)))</f>
        <v/>
      </c>
      <c r="I394" s="32">
        <f>IF(B394="","",MAX(0,IFERROR(INT(--(INDEX('Form Responses'!$G:$G,ROW())&amp;"")),0)))</f>
        <v/>
      </c>
      <c r="J394" s="32">
        <f>IF(B394="","",TRIM(INDEX('Form Responses'!$H:$H,ROW())&amp;""))</f>
        <v/>
      </c>
      <c r="K394" s="32">
        <f>IF(B394="","",TRIM(INDEX('Form Responses'!$I:$I,ROW())&amp;""))</f>
        <v/>
      </c>
      <c r="L394" s="32">
        <f>IF(B394="","",TRIM(INDEX('Form Responses'!$J:$J,ROW())&amp;""))</f>
        <v/>
      </c>
      <c r="M394" s="32">
        <f>IF(B394="","",TRIM(INDEX('Form Responses'!$K:$K,ROW())&amp;""))</f>
        <v/>
      </c>
      <c r="N394" s="32">
        <f>IF(B394="","",IF(E394&lt;&gt;"","P"&amp;E394,"N"&amp;B394))</f>
        <v/>
      </c>
      <c r="O394" s="32">
        <f>IF(N394="",0,IF(COUNTIF(N395:N$602,N394)=0,1,0))</f>
        <v/>
      </c>
      <c r="P394" s="32">
        <f>IF(AND(O394=1,E394&lt;&gt;""),E394,"")</f>
        <v/>
      </c>
      <c r="Q394" s="32">
        <f>IF(O394=1,B394,"")</f>
        <v/>
      </c>
      <c r="R394" s="32">
        <f>IF(O394&lt;&gt;1,"",IF(E394&lt;&gt;"",IFERROR(MATCH(E394,Guests!$S$6:$S$505,0)+5,IFERROR(MATCH(B394,Guests!$A$6:$A$505,0)+5,"")),IFERROR(MATCH(B394,Guests!$A$6:$A$505,0)+5,"")))</f>
        <v/>
      </c>
      <c r="S394" s="32">
        <f>IF(R394="","",TRIM(INDEX(Guests!$E$1:$E$505,R394)&amp;""))</f>
        <v/>
      </c>
      <c r="T394" s="32">
        <f>IF(R394="","",IF(S394="",1,COUNTIF(Guests!$E$6:$E$505,S394)))</f>
        <v/>
      </c>
      <c r="U394" s="32">
        <f>IF(R394="","",IF(S394="",1,IF(COUNTIF(S$1:S393,S394)=0,1,0)))</f>
        <v/>
      </c>
      <c r="V394" s="32">
        <f>IF(AND(R394&lt;&gt;"",G394="Attending",U394=1),MAX(0,H394+I394-T394),0)</f>
        <v/>
      </c>
      <c r="W394" s="32">
        <f>IF(AND(O394=1,R394=""),1,0)</f>
        <v/>
      </c>
      <c r="X394" s="32">
        <f>IF(B394="",0,H394+I394)</f>
        <v/>
      </c>
      <c r="Y394" s="32">
        <f>N(Y393)+O394</f>
        <v/>
      </c>
      <c r="Z394" s="32">
        <f>IF(O394=1,Y394,"")</f>
        <v/>
      </c>
      <c r="AA394" s="32">
        <f>IF(AND(W394=1,G394="Not sure yet"),1,0)</f>
        <v/>
      </c>
      <c r="AB394" s="32">
        <f>N(AB393)+AA394</f>
        <v/>
      </c>
      <c r="AC394" s="32">
        <f>IF(AA394=1,AB394,"")</f>
        <v/>
      </c>
      <c r="AD394" s="32">
        <f>IF(D394="","",IF(LEN(D394)=10,"+1"&amp;D394,IF(AND(LEN(D394)=11,LEFT(D394,1)="1"),"+"&amp;D394,IF(LEFT(C394,1)="+","+"&amp;D394,D394))))</f>
        <v/>
      </c>
      <c r="AE394" s="32">
        <f>IF(B394="","",PROPER(IFERROR(LEFT(B394,FIND(" ",B394)-1),B394)))</f>
        <v/>
      </c>
      <c r="AF394" s="32">
        <f>SUBSTITUTE(SUBSTITUTE(SUBSTITUTE(SUBSTITUTE(SUBSTITUTE(SUBSTITUTE(SUBSTITUTE(SUBSTITUTE(SUBSTITUTE(SUBSTITUTE(AE394,"%","%25"),"&amp;","%26"),"#","%23"),"+","%2B"),"=","%3D"),"?","%3F"),CHAR(34),"%22"),CHAR(10),"%0A"),CHAR(13),"")," ","+")</f>
        <v/>
      </c>
      <c r="AG394" s="32">
        <f>IF(OR(AD394="",AE394=""),"",'Start Here'!$B$20&amp;"#p="&amp;SUBSTITUTE(AD394,"+","%2B")&amp;"&amp;n="&amp;AF394&amp;"&amp;m="&amp;SUBSTITUTE('Start Here'!$B$24,"{name}",AF394))</f>
        <v/>
      </c>
      <c r="AH394" s="32">
        <f>N(AH393)+W394</f>
        <v/>
      </c>
      <c r="AI394" s="32">
        <f>IF(W394=1,AH394,"")</f>
        <v/>
      </c>
    </row>
    <row r="395">
      <c r="A395" s="32">
        <f>IF(INDEX('Form Responses'!$A:$A,ROW())="","",INDEX('Form Responses'!$A:$A,ROW()))</f>
        <v/>
      </c>
      <c r="B395" s="32">
        <f>TRIM(INDEX('Form Responses'!$B:$B,ROW())&amp;"")</f>
        <v/>
      </c>
      <c r="C395" s="32">
        <f>IF(B395="","",TRIM(INDEX('Form Responses'!$C:$C,ROW())&amp;""))</f>
        <v/>
      </c>
      <c r="D395" s="32">
        <f>SUBSTITUTE(SUBSTITUTE(SUBSTITUTE(SUBSTITUTE(SUBSTITUTE(SUBSTITUTE(SUBSTITUTE(SUBSTITUTE(C395," ",""),"-",""),"(",""),")",""),".",""),"+",""),"/",""),CHAR(160),"")</f>
        <v/>
      </c>
      <c r="E395" s="32">
        <f>IF(LEN(D395)&gt;=10,RIGHT(D395,10),D395)</f>
        <v/>
      </c>
      <c r="F395" s="32">
        <f>IF(B395="","",TRIM(INDEX('Form Responses'!$D:$D,ROW())&amp;""))</f>
        <v/>
      </c>
      <c r="G395" s="32">
        <f>IF(B395="","",IF(LEFT(TRIM(INDEX('Form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5" s="32">
        <f>IF(B395="","",MAX(0,IFERROR(INT(--(INDEX('Form Responses'!$F:$F,ROW())&amp;"")),1)))</f>
        <v/>
      </c>
      <c r="I395" s="32">
        <f>IF(B395="","",MAX(0,IFERROR(INT(--(INDEX('Form Responses'!$G:$G,ROW())&amp;"")),0)))</f>
        <v/>
      </c>
      <c r="J395" s="32">
        <f>IF(B395="","",TRIM(INDEX('Form Responses'!$H:$H,ROW())&amp;""))</f>
        <v/>
      </c>
      <c r="K395" s="32">
        <f>IF(B395="","",TRIM(INDEX('Form Responses'!$I:$I,ROW())&amp;""))</f>
        <v/>
      </c>
      <c r="L395" s="32">
        <f>IF(B395="","",TRIM(INDEX('Form Responses'!$J:$J,ROW())&amp;""))</f>
        <v/>
      </c>
      <c r="M395" s="32">
        <f>IF(B395="","",TRIM(INDEX('Form Responses'!$K:$K,ROW())&amp;""))</f>
        <v/>
      </c>
      <c r="N395" s="32">
        <f>IF(B395="","",IF(E395&lt;&gt;"","P"&amp;E395,"N"&amp;B395))</f>
        <v/>
      </c>
      <c r="O395" s="32">
        <f>IF(N395="",0,IF(COUNTIF(N396:N$602,N395)=0,1,0))</f>
        <v/>
      </c>
      <c r="P395" s="32">
        <f>IF(AND(O395=1,E395&lt;&gt;""),E395,"")</f>
        <v/>
      </c>
      <c r="Q395" s="32">
        <f>IF(O395=1,B395,"")</f>
        <v/>
      </c>
      <c r="R395" s="32">
        <f>IF(O395&lt;&gt;1,"",IF(E395&lt;&gt;"",IFERROR(MATCH(E395,Guests!$S$6:$S$505,0)+5,IFERROR(MATCH(B395,Guests!$A$6:$A$505,0)+5,"")),IFERROR(MATCH(B395,Guests!$A$6:$A$505,0)+5,"")))</f>
        <v/>
      </c>
      <c r="S395" s="32">
        <f>IF(R395="","",TRIM(INDEX(Guests!$E$1:$E$505,R395)&amp;""))</f>
        <v/>
      </c>
      <c r="T395" s="32">
        <f>IF(R395="","",IF(S395="",1,COUNTIF(Guests!$E$6:$E$505,S395)))</f>
        <v/>
      </c>
      <c r="U395" s="32">
        <f>IF(R395="","",IF(S395="",1,IF(COUNTIF(S$1:S394,S395)=0,1,0)))</f>
        <v/>
      </c>
      <c r="V395" s="32">
        <f>IF(AND(R395&lt;&gt;"",G395="Attending",U395=1),MAX(0,H395+I395-T395),0)</f>
        <v/>
      </c>
      <c r="W395" s="32">
        <f>IF(AND(O395=1,R395=""),1,0)</f>
        <v/>
      </c>
      <c r="X395" s="32">
        <f>IF(B395="",0,H395+I395)</f>
        <v/>
      </c>
      <c r="Y395" s="32">
        <f>N(Y394)+O395</f>
        <v/>
      </c>
      <c r="Z395" s="32">
        <f>IF(O395=1,Y395,"")</f>
        <v/>
      </c>
      <c r="AA395" s="32">
        <f>IF(AND(W395=1,G395="Not sure yet"),1,0)</f>
        <v/>
      </c>
      <c r="AB395" s="32">
        <f>N(AB394)+AA395</f>
        <v/>
      </c>
      <c r="AC395" s="32">
        <f>IF(AA395=1,AB395,"")</f>
        <v/>
      </c>
      <c r="AD395" s="32">
        <f>IF(D395="","",IF(LEN(D395)=10,"+1"&amp;D395,IF(AND(LEN(D395)=11,LEFT(D395,1)="1"),"+"&amp;D395,IF(LEFT(C395,1)="+","+"&amp;D395,D395))))</f>
        <v/>
      </c>
      <c r="AE395" s="32">
        <f>IF(B395="","",PROPER(IFERROR(LEFT(B395,FIND(" ",B395)-1),B395)))</f>
        <v/>
      </c>
      <c r="AF395" s="32">
        <f>SUBSTITUTE(SUBSTITUTE(SUBSTITUTE(SUBSTITUTE(SUBSTITUTE(SUBSTITUTE(SUBSTITUTE(SUBSTITUTE(SUBSTITUTE(SUBSTITUTE(AE395,"%","%25"),"&amp;","%26"),"#","%23"),"+","%2B"),"=","%3D"),"?","%3F"),CHAR(34),"%22"),CHAR(10),"%0A"),CHAR(13),"")," ","+")</f>
        <v/>
      </c>
      <c r="AG395" s="32">
        <f>IF(OR(AD395="",AE395=""),"",'Start Here'!$B$20&amp;"#p="&amp;SUBSTITUTE(AD395,"+","%2B")&amp;"&amp;n="&amp;AF395&amp;"&amp;m="&amp;SUBSTITUTE('Start Here'!$B$24,"{name}",AF395))</f>
        <v/>
      </c>
      <c r="AH395" s="32">
        <f>N(AH394)+W395</f>
        <v/>
      </c>
      <c r="AI395" s="32">
        <f>IF(W395=1,AH395,"")</f>
        <v/>
      </c>
    </row>
    <row r="396">
      <c r="A396" s="32">
        <f>IF(INDEX('Form Responses'!$A:$A,ROW())="","",INDEX('Form Responses'!$A:$A,ROW()))</f>
        <v/>
      </c>
      <c r="B396" s="32">
        <f>TRIM(INDEX('Form Responses'!$B:$B,ROW())&amp;"")</f>
        <v/>
      </c>
      <c r="C396" s="32">
        <f>IF(B396="","",TRIM(INDEX('Form Responses'!$C:$C,ROW())&amp;""))</f>
        <v/>
      </c>
      <c r="D396" s="32">
        <f>SUBSTITUTE(SUBSTITUTE(SUBSTITUTE(SUBSTITUTE(SUBSTITUTE(SUBSTITUTE(SUBSTITUTE(SUBSTITUTE(C396," ",""),"-",""),"(",""),")",""),".",""),"+",""),"/",""),CHAR(160),"")</f>
        <v/>
      </c>
      <c r="E396" s="32">
        <f>IF(LEN(D396)&gt;=10,RIGHT(D396,10),D396)</f>
        <v/>
      </c>
      <c r="F396" s="32">
        <f>IF(B396="","",TRIM(INDEX('Form Responses'!$D:$D,ROW())&amp;""))</f>
        <v/>
      </c>
      <c r="G396" s="32">
        <f>IF(B396="","",IF(LEFT(TRIM(INDEX('Form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6" s="32">
        <f>IF(B396="","",MAX(0,IFERROR(INT(--(INDEX('Form Responses'!$F:$F,ROW())&amp;"")),1)))</f>
        <v/>
      </c>
      <c r="I396" s="32">
        <f>IF(B396="","",MAX(0,IFERROR(INT(--(INDEX('Form Responses'!$G:$G,ROW())&amp;"")),0)))</f>
        <v/>
      </c>
      <c r="J396" s="32">
        <f>IF(B396="","",TRIM(INDEX('Form Responses'!$H:$H,ROW())&amp;""))</f>
        <v/>
      </c>
      <c r="K396" s="32">
        <f>IF(B396="","",TRIM(INDEX('Form Responses'!$I:$I,ROW())&amp;""))</f>
        <v/>
      </c>
      <c r="L396" s="32">
        <f>IF(B396="","",TRIM(INDEX('Form Responses'!$J:$J,ROW())&amp;""))</f>
        <v/>
      </c>
      <c r="M396" s="32">
        <f>IF(B396="","",TRIM(INDEX('Form Responses'!$K:$K,ROW())&amp;""))</f>
        <v/>
      </c>
      <c r="N396" s="32">
        <f>IF(B396="","",IF(E396&lt;&gt;"","P"&amp;E396,"N"&amp;B396))</f>
        <v/>
      </c>
      <c r="O396" s="32">
        <f>IF(N396="",0,IF(COUNTIF(N397:N$602,N396)=0,1,0))</f>
        <v/>
      </c>
      <c r="P396" s="32">
        <f>IF(AND(O396=1,E396&lt;&gt;""),E396,"")</f>
        <v/>
      </c>
      <c r="Q396" s="32">
        <f>IF(O396=1,B396,"")</f>
        <v/>
      </c>
      <c r="R396" s="32">
        <f>IF(O396&lt;&gt;1,"",IF(E396&lt;&gt;"",IFERROR(MATCH(E396,Guests!$S$6:$S$505,0)+5,IFERROR(MATCH(B396,Guests!$A$6:$A$505,0)+5,"")),IFERROR(MATCH(B396,Guests!$A$6:$A$505,0)+5,"")))</f>
        <v/>
      </c>
      <c r="S396" s="32">
        <f>IF(R396="","",TRIM(INDEX(Guests!$E$1:$E$505,R396)&amp;""))</f>
        <v/>
      </c>
      <c r="T396" s="32">
        <f>IF(R396="","",IF(S396="",1,COUNTIF(Guests!$E$6:$E$505,S396)))</f>
        <v/>
      </c>
      <c r="U396" s="32">
        <f>IF(R396="","",IF(S396="",1,IF(COUNTIF(S$1:S395,S396)=0,1,0)))</f>
        <v/>
      </c>
      <c r="V396" s="32">
        <f>IF(AND(R396&lt;&gt;"",G396="Attending",U396=1),MAX(0,H396+I396-T396),0)</f>
        <v/>
      </c>
      <c r="W396" s="32">
        <f>IF(AND(O396=1,R396=""),1,0)</f>
        <v/>
      </c>
      <c r="X396" s="32">
        <f>IF(B396="",0,H396+I396)</f>
        <v/>
      </c>
      <c r="Y396" s="32">
        <f>N(Y395)+O396</f>
        <v/>
      </c>
      <c r="Z396" s="32">
        <f>IF(O396=1,Y396,"")</f>
        <v/>
      </c>
      <c r="AA396" s="32">
        <f>IF(AND(W396=1,G396="Not sure yet"),1,0)</f>
        <v/>
      </c>
      <c r="AB396" s="32">
        <f>N(AB395)+AA396</f>
        <v/>
      </c>
      <c r="AC396" s="32">
        <f>IF(AA396=1,AB396,"")</f>
        <v/>
      </c>
      <c r="AD396" s="32">
        <f>IF(D396="","",IF(LEN(D396)=10,"+1"&amp;D396,IF(AND(LEN(D396)=11,LEFT(D396,1)="1"),"+"&amp;D396,IF(LEFT(C396,1)="+","+"&amp;D396,D396))))</f>
        <v/>
      </c>
      <c r="AE396" s="32">
        <f>IF(B396="","",PROPER(IFERROR(LEFT(B396,FIND(" ",B396)-1),B396)))</f>
        <v/>
      </c>
      <c r="AF396" s="32">
        <f>SUBSTITUTE(SUBSTITUTE(SUBSTITUTE(SUBSTITUTE(SUBSTITUTE(SUBSTITUTE(SUBSTITUTE(SUBSTITUTE(SUBSTITUTE(SUBSTITUTE(AE396,"%","%25"),"&amp;","%26"),"#","%23"),"+","%2B"),"=","%3D"),"?","%3F"),CHAR(34),"%22"),CHAR(10),"%0A"),CHAR(13),"")," ","+")</f>
        <v/>
      </c>
      <c r="AG396" s="32">
        <f>IF(OR(AD396="",AE396=""),"",'Start Here'!$B$20&amp;"#p="&amp;SUBSTITUTE(AD396,"+","%2B")&amp;"&amp;n="&amp;AF396&amp;"&amp;m="&amp;SUBSTITUTE('Start Here'!$B$24,"{name}",AF396))</f>
        <v/>
      </c>
      <c r="AH396" s="32">
        <f>N(AH395)+W396</f>
        <v/>
      </c>
      <c r="AI396" s="32">
        <f>IF(W396=1,AH396,"")</f>
        <v/>
      </c>
    </row>
    <row r="397">
      <c r="A397" s="32">
        <f>IF(INDEX('Form Responses'!$A:$A,ROW())="","",INDEX('Form Responses'!$A:$A,ROW()))</f>
        <v/>
      </c>
      <c r="B397" s="32">
        <f>TRIM(INDEX('Form Responses'!$B:$B,ROW())&amp;"")</f>
        <v/>
      </c>
      <c r="C397" s="32">
        <f>IF(B397="","",TRIM(INDEX('Form Responses'!$C:$C,ROW())&amp;""))</f>
        <v/>
      </c>
      <c r="D397" s="32">
        <f>SUBSTITUTE(SUBSTITUTE(SUBSTITUTE(SUBSTITUTE(SUBSTITUTE(SUBSTITUTE(SUBSTITUTE(SUBSTITUTE(C397," ",""),"-",""),"(",""),")",""),".",""),"+",""),"/",""),CHAR(160),"")</f>
        <v/>
      </c>
      <c r="E397" s="32">
        <f>IF(LEN(D397)&gt;=10,RIGHT(D397,10),D397)</f>
        <v/>
      </c>
      <c r="F397" s="32">
        <f>IF(B397="","",TRIM(INDEX('Form Responses'!$D:$D,ROW())&amp;""))</f>
        <v/>
      </c>
      <c r="G397" s="32">
        <f>IF(B397="","",IF(LEFT(TRIM(INDEX('Form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7" s="32">
        <f>IF(B397="","",MAX(0,IFERROR(INT(--(INDEX('Form Responses'!$F:$F,ROW())&amp;"")),1)))</f>
        <v/>
      </c>
      <c r="I397" s="32">
        <f>IF(B397="","",MAX(0,IFERROR(INT(--(INDEX('Form Responses'!$G:$G,ROW())&amp;"")),0)))</f>
        <v/>
      </c>
      <c r="J397" s="32">
        <f>IF(B397="","",TRIM(INDEX('Form Responses'!$H:$H,ROW())&amp;""))</f>
        <v/>
      </c>
      <c r="K397" s="32">
        <f>IF(B397="","",TRIM(INDEX('Form Responses'!$I:$I,ROW())&amp;""))</f>
        <v/>
      </c>
      <c r="L397" s="32">
        <f>IF(B397="","",TRIM(INDEX('Form Responses'!$J:$J,ROW())&amp;""))</f>
        <v/>
      </c>
      <c r="M397" s="32">
        <f>IF(B397="","",TRIM(INDEX('Form Responses'!$K:$K,ROW())&amp;""))</f>
        <v/>
      </c>
      <c r="N397" s="32">
        <f>IF(B397="","",IF(E397&lt;&gt;"","P"&amp;E397,"N"&amp;B397))</f>
        <v/>
      </c>
      <c r="O397" s="32">
        <f>IF(N397="",0,IF(COUNTIF(N398:N$602,N397)=0,1,0))</f>
        <v/>
      </c>
      <c r="P397" s="32">
        <f>IF(AND(O397=1,E397&lt;&gt;""),E397,"")</f>
        <v/>
      </c>
      <c r="Q397" s="32">
        <f>IF(O397=1,B397,"")</f>
        <v/>
      </c>
      <c r="R397" s="32">
        <f>IF(O397&lt;&gt;1,"",IF(E397&lt;&gt;"",IFERROR(MATCH(E397,Guests!$S$6:$S$505,0)+5,IFERROR(MATCH(B397,Guests!$A$6:$A$505,0)+5,"")),IFERROR(MATCH(B397,Guests!$A$6:$A$505,0)+5,"")))</f>
        <v/>
      </c>
      <c r="S397" s="32">
        <f>IF(R397="","",TRIM(INDEX(Guests!$E$1:$E$505,R397)&amp;""))</f>
        <v/>
      </c>
      <c r="T397" s="32">
        <f>IF(R397="","",IF(S397="",1,COUNTIF(Guests!$E$6:$E$505,S397)))</f>
        <v/>
      </c>
      <c r="U397" s="32">
        <f>IF(R397="","",IF(S397="",1,IF(COUNTIF(S$1:S396,S397)=0,1,0)))</f>
        <v/>
      </c>
      <c r="V397" s="32">
        <f>IF(AND(R397&lt;&gt;"",G397="Attending",U397=1),MAX(0,H397+I397-T397),0)</f>
        <v/>
      </c>
      <c r="W397" s="32">
        <f>IF(AND(O397=1,R397=""),1,0)</f>
        <v/>
      </c>
      <c r="X397" s="32">
        <f>IF(B397="",0,H397+I397)</f>
        <v/>
      </c>
      <c r="Y397" s="32">
        <f>N(Y396)+O397</f>
        <v/>
      </c>
      <c r="Z397" s="32">
        <f>IF(O397=1,Y397,"")</f>
        <v/>
      </c>
      <c r="AA397" s="32">
        <f>IF(AND(W397=1,G397="Not sure yet"),1,0)</f>
        <v/>
      </c>
      <c r="AB397" s="32">
        <f>N(AB396)+AA397</f>
        <v/>
      </c>
      <c r="AC397" s="32">
        <f>IF(AA397=1,AB397,"")</f>
        <v/>
      </c>
      <c r="AD397" s="32">
        <f>IF(D397="","",IF(LEN(D397)=10,"+1"&amp;D397,IF(AND(LEN(D397)=11,LEFT(D397,1)="1"),"+"&amp;D397,IF(LEFT(C397,1)="+","+"&amp;D397,D397))))</f>
        <v/>
      </c>
      <c r="AE397" s="32">
        <f>IF(B397="","",PROPER(IFERROR(LEFT(B397,FIND(" ",B397)-1),B397)))</f>
        <v/>
      </c>
      <c r="AF397" s="32">
        <f>SUBSTITUTE(SUBSTITUTE(SUBSTITUTE(SUBSTITUTE(SUBSTITUTE(SUBSTITUTE(SUBSTITUTE(SUBSTITUTE(SUBSTITUTE(SUBSTITUTE(AE397,"%","%25"),"&amp;","%26"),"#","%23"),"+","%2B"),"=","%3D"),"?","%3F"),CHAR(34),"%22"),CHAR(10),"%0A"),CHAR(13),"")," ","+")</f>
        <v/>
      </c>
      <c r="AG397" s="32">
        <f>IF(OR(AD397="",AE397=""),"",'Start Here'!$B$20&amp;"#p="&amp;SUBSTITUTE(AD397,"+","%2B")&amp;"&amp;n="&amp;AF397&amp;"&amp;m="&amp;SUBSTITUTE('Start Here'!$B$24,"{name}",AF397))</f>
        <v/>
      </c>
      <c r="AH397" s="32">
        <f>N(AH396)+W397</f>
        <v/>
      </c>
      <c r="AI397" s="32">
        <f>IF(W397=1,AH397,"")</f>
        <v/>
      </c>
    </row>
    <row r="398">
      <c r="A398" s="32">
        <f>IF(INDEX('Form Responses'!$A:$A,ROW())="","",INDEX('Form Responses'!$A:$A,ROW()))</f>
        <v/>
      </c>
      <c r="B398" s="32">
        <f>TRIM(INDEX('Form Responses'!$B:$B,ROW())&amp;"")</f>
        <v/>
      </c>
      <c r="C398" s="32">
        <f>IF(B398="","",TRIM(INDEX('Form Responses'!$C:$C,ROW())&amp;""))</f>
        <v/>
      </c>
      <c r="D398" s="32">
        <f>SUBSTITUTE(SUBSTITUTE(SUBSTITUTE(SUBSTITUTE(SUBSTITUTE(SUBSTITUTE(SUBSTITUTE(SUBSTITUTE(C398," ",""),"-",""),"(",""),")",""),".",""),"+",""),"/",""),CHAR(160),"")</f>
        <v/>
      </c>
      <c r="E398" s="32">
        <f>IF(LEN(D398)&gt;=10,RIGHT(D398,10),D398)</f>
        <v/>
      </c>
      <c r="F398" s="32">
        <f>IF(B398="","",TRIM(INDEX('Form Responses'!$D:$D,ROW())&amp;""))</f>
        <v/>
      </c>
      <c r="G398" s="32">
        <f>IF(B398="","",IF(LEFT(TRIM(INDEX('Form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8" s="32">
        <f>IF(B398="","",MAX(0,IFERROR(INT(--(INDEX('Form Responses'!$F:$F,ROW())&amp;"")),1)))</f>
        <v/>
      </c>
      <c r="I398" s="32">
        <f>IF(B398="","",MAX(0,IFERROR(INT(--(INDEX('Form Responses'!$G:$G,ROW())&amp;"")),0)))</f>
        <v/>
      </c>
      <c r="J398" s="32">
        <f>IF(B398="","",TRIM(INDEX('Form Responses'!$H:$H,ROW())&amp;""))</f>
        <v/>
      </c>
      <c r="K398" s="32">
        <f>IF(B398="","",TRIM(INDEX('Form Responses'!$I:$I,ROW())&amp;""))</f>
        <v/>
      </c>
      <c r="L398" s="32">
        <f>IF(B398="","",TRIM(INDEX('Form Responses'!$J:$J,ROW())&amp;""))</f>
        <v/>
      </c>
      <c r="M398" s="32">
        <f>IF(B398="","",TRIM(INDEX('Form Responses'!$K:$K,ROW())&amp;""))</f>
        <v/>
      </c>
      <c r="N398" s="32">
        <f>IF(B398="","",IF(E398&lt;&gt;"","P"&amp;E398,"N"&amp;B398))</f>
        <v/>
      </c>
      <c r="O398" s="32">
        <f>IF(N398="",0,IF(COUNTIF(N399:N$602,N398)=0,1,0))</f>
        <v/>
      </c>
      <c r="P398" s="32">
        <f>IF(AND(O398=1,E398&lt;&gt;""),E398,"")</f>
        <v/>
      </c>
      <c r="Q398" s="32">
        <f>IF(O398=1,B398,"")</f>
        <v/>
      </c>
      <c r="R398" s="32">
        <f>IF(O398&lt;&gt;1,"",IF(E398&lt;&gt;"",IFERROR(MATCH(E398,Guests!$S$6:$S$505,0)+5,IFERROR(MATCH(B398,Guests!$A$6:$A$505,0)+5,"")),IFERROR(MATCH(B398,Guests!$A$6:$A$505,0)+5,"")))</f>
        <v/>
      </c>
      <c r="S398" s="32">
        <f>IF(R398="","",TRIM(INDEX(Guests!$E$1:$E$505,R398)&amp;""))</f>
        <v/>
      </c>
      <c r="T398" s="32">
        <f>IF(R398="","",IF(S398="",1,COUNTIF(Guests!$E$6:$E$505,S398)))</f>
        <v/>
      </c>
      <c r="U398" s="32">
        <f>IF(R398="","",IF(S398="",1,IF(COUNTIF(S$1:S397,S398)=0,1,0)))</f>
        <v/>
      </c>
      <c r="V398" s="32">
        <f>IF(AND(R398&lt;&gt;"",G398="Attending",U398=1),MAX(0,H398+I398-T398),0)</f>
        <v/>
      </c>
      <c r="W398" s="32">
        <f>IF(AND(O398=1,R398=""),1,0)</f>
        <v/>
      </c>
      <c r="X398" s="32">
        <f>IF(B398="",0,H398+I398)</f>
        <v/>
      </c>
      <c r="Y398" s="32">
        <f>N(Y397)+O398</f>
        <v/>
      </c>
      <c r="Z398" s="32">
        <f>IF(O398=1,Y398,"")</f>
        <v/>
      </c>
      <c r="AA398" s="32">
        <f>IF(AND(W398=1,G398="Not sure yet"),1,0)</f>
        <v/>
      </c>
      <c r="AB398" s="32">
        <f>N(AB397)+AA398</f>
        <v/>
      </c>
      <c r="AC398" s="32">
        <f>IF(AA398=1,AB398,"")</f>
        <v/>
      </c>
      <c r="AD398" s="32">
        <f>IF(D398="","",IF(LEN(D398)=10,"+1"&amp;D398,IF(AND(LEN(D398)=11,LEFT(D398,1)="1"),"+"&amp;D398,IF(LEFT(C398,1)="+","+"&amp;D398,D398))))</f>
        <v/>
      </c>
      <c r="AE398" s="32">
        <f>IF(B398="","",PROPER(IFERROR(LEFT(B398,FIND(" ",B398)-1),B398)))</f>
        <v/>
      </c>
      <c r="AF398" s="32">
        <f>SUBSTITUTE(SUBSTITUTE(SUBSTITUTE(SUBSTITUTE(SUBSTITUTE(SUBSTITUTE(SUBSTITUTE(SUBSTITUTE(SUBSTITUTE(SUBSTITUTE(AE398,"%","%25"),"&amp;","%26"),"#","%23"),"+","%2B"),"=","%3D"),"?","%3F"),CHAR(34),"%22"),CHAR(10),"%0A"),CHAR(13),"")," ","+")</f>
        <v/>
      </c>
      <c r="AG398" s="32">
        <f>IF(OR(AD398="",AE398=""),"",'Start Here'!$B$20&amp;"#p="&amp;SUBSTITUTE(AD398,"+","%2B")&amp;"&amp;n="&amp;AF398&amp;"&amp;m="&amp;SUBSTITUTE('Start Here'!$B$24,"{name}",AF398))</f>
        <v/>
      </c>
      <c r="AH398" s="32">
        <f>N(AH397)+W398</f>
        <v/>
      </c>
      <c r="AI398" s="32">
        <f>IF(W398=1,AH398,"")</f>
        <v/>
      </c>
    </row>
    <row r="399">
      <c r="A399" s="32">
        <f>IF(INDEX('Form Responses'!$A:$A,ROW())="","",INDEX('Form Responses'!$A:$A,ROW()))</f>
        <v/>
      </c>
      <c r="B399" s="32">
        <f>TRIM(INDEX('Form Responses'!$B:$B,ROW())&amp;"")</f>
        <v/>
      </c>
      <c r="C399" s="32">
        <f>IF(B399="","",TRIM(INDEX('Form Responses'!$C:$C,ROW())&amp;""))</f>
        <v/>
      </c>
      <c r="D399" s="32">
        <f>SUBSTITUTE(SUBSTITUTE(SUBSTITUTE(SUBSTITUTE(SUBSTITUTE(SUBSTITUTE(SUBSTITUTE(SUBSTITUTE(C399," ",""),"-",""),"(",""),")",""),".",""),"+",""),"/",""),CHAR(160),"")</f>
        <v/>
      </c>
      <c r="E399" s="32">
        <f>IF(LEN(D399)&gt;=10,RIGHT(D399,10),D399)</f>
        <v/>
      </c>
      <c r="F399" s="32">
        <f>IF(B399="","",TRIM(INDEX('Form Responses'!$D:$D,ROW())&amp;""))</f>
        <v/>
      </c>
      <c r="G399" s="32">
        <f>IF(B399="","",IF(LEFT(TRIM(INDEX('Form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399" s="32">
        <f>IF(B399="","",MAX(0,IFERROR(INT(--(INDEX('Form Responses'!$F:$F,ROW())&amp;"")),1)))</f>
        <v/>
      </c>
      <c r="I399" s="32">
        <f>IF(B399="","",MAX(0,IFERROR(INT(--(INDEX('Form Responses'!$G:$G,ROW())&amp;"")),0)))</f>
        <v/>
      </c>
      <c r="J399" s="32">
        <f>IF(B399="","",TRIM(INDEX('Form Responses'!$H:$H,ROW())&amp;""))</f>
        <v/>
      </c>
      <c r="K399" s="32">
        <f>IF(B399="","",TRIM(INDEX('Form Responses'!$I:$I,ROW())&amp;""))</f>
        <v/>
      </c>
      <c r="L399" s="32">
        <f>IF(B399="","",TRIM(INDEX('Form Responses'!$J:$J,ROW())&amp;""))</f>
        <v/>
      </c>
      <c r="M399" s="32">
        <f>IF(B399="","",TRIM(INDEX('Form Responses'!$K:$K,ROW())&amp;""))</f>
        <v/>
      </c>
      <c r="N399" s="32">
        <f>IF(B399="","",IF(E399&lt;&gt;"","P"&amp;E399,"N"&amp;B399))</f>
        <v/>
      </c>
      <c r="O399" s="32">
        <f>IF(N399="",0,IF(COUNTIF(N400:N$602,N399)=0,1,0))</f>
        <v/>
      </c>
      <c r="P399" s="32">
        <f>IF(AND(O399=1,E399&lt;&gt;""),E399,"")</f>
        <v/>
      </c>
      <c r="Q399" s="32">
        <f>IF(O399=1,B399,"")</f>
        <v/>
      </c>
      <c r="R399" s="32">
        <f>IF(O399&lt;&gt;1,"",IF(E399&lt;&gt;"",IFERROR(MATCH(E399,Guests!$S$6:$S$505,0)+5,IFERROR(MATCH(B399,Guests!$A$6:$A$505,0)+5,"")),IFERROR(MATCH(B399,Guests!$A$6:$A$505,0)+5,"")))</f>
        <v/>
      </c>
      <c r="S399" s="32">
        <f>IF(R399="","",TRIM(INDEX(Guests!$E$1:$E$505,R399)&amp;""))</f>
        <v/>
      </c>
      <c r="T399" s="32">
        <f>IF(R399="","",IF(S399="",1,COUNTIF(Guests!$E$6:$E$505,S399)))</f>
        <v/>
      </c>
      <c r="U399" s="32">
        <f>IF(R399="","",IF(S399="",1,IF(COUNTIF(S$1:S398,S399)=0,1,0)))</f>
        <v/>
      </c>
      <c r="V399" s="32">
        <f>IF(AND(R399&lt;&gt;"",G399="Attending",U399=1),MAX(0,H399+I399-T399),0)</f>
        <v/>
      </c>
      <c r="W399" s="32">
        <f>IF(AND(O399=1,R399=""),1,0)</f>
        <v/>
      </c>
      <c r="X399" s="32">
        <f>IF(B399="",0,H399+I399)</f>
        <v/>
      </c>
      <c r="Y399" s="32">
        <f>N(Y398)+O399</f>
        <v/>
      </c>
      <c r="Z399" s="32">
        <f>IF(O399=1,Y399,"")</f>
        <v/>
      </c>
      <c r="AA399" s="32">
        <f>IF(AND(W399=1,G399="Not sure yet"),1,0)</f>
        <v/>
      </c>
      <c r="AB399" s="32">
        <f>N(AB398)+AA399</f>
        <v/>
      </c>
      <c r="AC399" s="32">
        <f>IF(AA399=1,AB399,"")</f>
        <v/>
      </c>
      <c r="AD399" s="32">
        <f>IF(D399="","",IF(LEN(D399)=10,"+1"&amp;D399,IF(AND(LEN(D399)=11,LEFT(D399,1)="1"),"+"&amp;D399,IF(LEFT(C399,1)="+","+"&amp;D399,D399))))</f>
        <v/>
      </c>
      <c r="AE399" s="32">
        <f>IF(B399="","",PROPER(IFERROR(LEFT(B399,FIND(" ",B399)-1),B399)))</f>
        <v/>
      </c>
      <c r="AF399" s="32">
        <f>SUBSTITUTE(SUBSTITUTE(SUBSTITUTE(SUBSTITUTE(SUBSTITUTE(SUBSTITUTE(SUBSTITUTE(SUBSTITUTE(SUBSTITUTE(SUBSTITUTE(AE399,"%","%25"),"&amp;","%26"),"#","%23"),"+","%2B"),"=","%3D"),"?","%3F"),CHAR(34),"%22"),CHAR(10),"%0A"),CHAR(13),"")," ","+")</f>
        <v/>
      </c>
      <c r="AG399" s="32">
        <f>IF(OR(AD399="",AE399=""),"",'Start Here'!$B$20&amp;"#p="&amp;SUBSTITUTE(AD399,"+","%2B")&amp;"&amp;n="&amp;AF399&amp;"&amp;m="&amp;SUBSTITUTE('Start Here'!$B$24,"{name}",AF399))</f>
        <v/>
      </c>
      <c r="AH399" s="32">
        <f>N(AH398)+W399</f>
        <v/>
      </c>
      <c r="AI399" s="32">
        <f>IF(W399=1,AH399,"")</f>
        <v/>
      </c>
    </row>
    <row r="400">
      <c r="A400" s="32">
        <f>IF(INDEX('Form Responses'!$A:$A,ROW())="","",INDEX('Form Responses'!$A:$A,ROW()))</f>
        <v/>
      </c>
      <c r="B400" s="32">
        <f>TRIM(INDEX('Form Responses'!$B:$B,ROW())&amp;"")</f>
        <v/>
      </c>
      <c r="C400" s="32">
        <f>IF(B400="","",TRIM(INDEX('Form Responses'!$C:$C,ROW())&amp;""))</f>
        <v/>
      </c>
      <c r="D400" s="32">
        <f>SUBSTITUTE(SUBSTITUTE(SUBSTITUTE(SUBSTITUTE(SUBSTITUTE(SUBSTITUTE(SUBSTITUTE(SUBSTITUTE(C400," ",""),"-",""),"(",""),")",""),".",""),"+",""),"/",""),CHAR(160),"")</f>
        <v/>
      </c>
      <c r="E400" s="32">
        <f>IF(LEN(D400)&gt;=10,RIGHT(D400,10),D400)</f>
        <v/>
      </c>
      <c r="F400" s="32">
        <f>IF(B400="","",TRIM(INDEX('Form Responses'!$D:$D,ROW())&amp;""))</f>
        <v/>
      </c>
      <c r="G400" s="32">
        <f>IF(B400="","",IF(LEFT(TRIM(INDEX('Form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0" s="32">
        <f>IF(B400="","",MAX(0,IFERROR(INT(--(INDEX('Form Responses'!$F:$F,ROW())&amp;"")),1)))</f>
        <v/>
      </c>
      <c r="I400" s="32">
        <f>IF(B400="","",MAX(0,IFERROR(INT(--(INDEX('Form Responses'!$G:$G,ROW())&amp;"")),0)))</f>
        <v/>
      </c>
      <c r="J400" s="32">
        <f>IF(B400="","",TRIM(INDEX('Form Responses'!$H:$H,ROW())&amp;""))</f>
        <v/>
      </c>
      <c r="K400" s="32">
        <f>IF(B400="","",TRIM(INDEX('Form Responses'!$I:$I,ROW())&amp;""))</f>
        <v/>
      </c>
      <c r="L400" s="32">
        <f>IF(B400="","",TRIM(INDEX('Form Responses'!$J:$J,ROW())&amp;""))</f>
        <v/>
      </c>
      <c r="M400" s="32">
        <f>IF(B400="","",TRIM(INDEX('Form Responses'!$K:$K,ROW())&amp;""))</f>
        <v/>
      </c>
      <c r="N400" s="32">
        <f>IF(B400="","",IF(E400&lt;&gt;"","P"&amp;E400,"N"&amp;B400))</f>
        <v/>
      </c>
      <c r="O400" s="32">
        <f>IF(N400="",0,IF(COUNTIF(N401:N$602,N400)=0,1,0))</f>
        <v/>
      </c>
      <c r="P400" s="32">
        <f>IF(AND(O400=1,E400&lt;&gt;""),E400,"")</f>
        <v/>
      </c>
      <c r="Q400" s="32">
        <f>IF(O400=1,B400,"")</f>
        <v/>
      </c>
      <c r="R400" s="32">
        <f>IF(O400&lt;&gt;1,"",IF(E400&lt;&gt;"",IFERROR(MATCH(E400,Guests!$S$6:$S$505,0)+5,IFERROR(MATCH(B400,Guests!$A$6:$A$505,0)+5,"")),IFERROR(MATCH(B400,Guests!$A$6:$A$505,0)+5,"")))</f>
        <v/>
      </c>
      <c r="S400" s="32">
        <f>IF(R400="","",TRIM(INDEX(Guests!$E$1:$E$505,R400)&amp;""))</f>
        <v/>
      </c>
      <c r="T400" s="32">
        <f>IF(R400="","",IF(S400="",1,COUNTIF(Guests!$E$6:$E$505,S400)))</f>
        <v/>
      </c>
      <c r="U400" s="32">
        <f>IF(R400="","",IF(S400="",1,IF(COUNTIF(S$1:S399,S400)=0,1,0)))</f>
        <v/>
      </c>
      <c r="V400" s="32">
        <f>IF(AND(R400&lt;&gt;"",G400="Attending",U400=1),MAX(0,H400+I400-T400),0)</f>
        <v/>
      </c>
      <c r="W400" s="32">
        <f>IF(AND(O400=1,R400=""),1,0)</f>
        <v/>
      </c>
      <c r="X400" s="32">
        <f>IF(B400="",0,H400+I400)</f>
        <v/>
      </c>
      <c r="Y400" s="32">
        <f>N(Y399)+O400</f>
        <v/>
      </c>
      <c r="Z400" s="32">
        <f>IF(O400=1,Y400,"")</f>
        <v/>
      </c>
      <c r="AA400" s="32">
        <f>IF(AND(W400=1,G400="Not sure yet"),1,0)</f>
        <v/>
      </c>
      <c r="AB400" s="32">
        <f>N(AB399)+AA400</f>
        <v/>
      </c>
      <c r="AC400" s="32">
        <f>IF(AA400=1,AB400,"")</f>
        <v/>
      </c>
      <c r="AD400" s="32">
        <f>IF(D400="","",IF(LEN(D400)=10,"+1"&amp;D400,IF(AND(LEN(D400)=11,LEFT(D400,1)="1"),"+"&amp;D400,IF(LEFT(C400,1)="+","+"&amp;D400,D400))))</f>
        <v/>
      </c>
      <c r="AE400" s="32">
        <f>IF(B400="","",PROPER(IFERROR(LEFT(B400,FIND(" ",B400)-1),B400)))</f>
        <v/>
      </c>
      <c r="AF400" s="32">
        <f>SUBSTITUTE(SUBSTITUTE(SUBSTITUTE(SUBSTITUTE(SUBSTITUTE(SUBSTITUTE(SUBSTITUTE(SUBSTITUTE(SUBSTITUTE(SUBSTITUTE(AE400,"%","%25"),"&amp;","%26"),"#","%23"),"+","%2B"),"=","%3D"),"?","%3F"),CHAR(34),"%22"),CHAR(10),"%0A"),CHAR(13),"")," ","+")</f>
        <v/>
      </c>
      <c r="AG400" s="32">
        <f>IF(OR(AD400="",AE400=""),"",'Start Here'!$B$20&amp;"#p="&amp;SUBSTITUTE(AD400,"+","%2B")&amp;"&amp;n="&amp;AF400&amp;"&amp;m="&amp;SUBSTITUTE('Start Here'!$B$24,"{name}",AF400))</f>
        <v/>
      </c>
      <c r="AH400" s="32">
        <f>N(AH399)+W400</f>
        <v/>
      </c>
      <c r="AI400" s="32">
        <f>IF(W400=1,AH400,"")</f>
        <v/>
      </c>
    </row>
    <row r="401">
      <c r="A401" s="32">
        <f>IF(INDEX('Form Responses'!$A:$A,ROW())="","",INDEX('Form Responses'!$A:$A,ROW()))</f>
        <v/>
      </c>
      <c r="B401" s="32">
        <f>TRIM(INDEX('Form Responses'!$B:$B,ROW())&amp;"")</f>
        <v/>
      </c>
      <c r="C401" s="32">
        <f>IF(B401="","",TRIM(INDEX('Form Responses'!$C:$C,ROW())&amp;""))</f>
        <v/>
      </c>
      <c r="D401" s="32">
        <f>SUBSTITUTE(SUBSTITUTE(SUBSTITUTE(SUBSTITUTE(SUBSTITUTE(SUBSTITUTE(SUBSTITUTE(SUBSTITUTE(C401," ",""),"-",""),"(",""),")",""),".",""),"+",""),"/",""),CHAR(160),"")</f>
        <v/>
      </c>
      <c r="E401" s="32">
        <f>IF(LEN(D401)&gt;=10,RIGHT(D401,10),D401)</f>
        <v/>
      </c>
      <c r="F401" s="32">
        <f>IF(B401="","",TRIM(INDEX('Form Responses'!$D:$D,ROW())&amp;""))</f>
        <v/>
      </c>
      <c r="G401" s="32">
        <f>IF(B401="","",IF(LEFT(TRIM(INDEX('Form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1" s="32">
        <f>IF(B401="","",MAX(0,IFERROR(INT(--(INDEX('Form Responses'!$F:$F,ROW())&amp;"")),1)))</f>
        <v/>
      </c>
      <c r="I401" s="32">
        <f>IF(B401="","",MAX(0,IFERROR(INT(--(INDEX('Form Responses'!$G:$G,ROW())&amp;"")),0)))</f>
        <v/>
      </c>
      <c r="J401" s="32">
        <f>IF(B401="","",TRIM(INDEX('Form Responses'!$H:$H,ROW())&amp;""))</f>
        <v/>
      </c>
      <c r="K401" s="32">
        <f>IF(B401="","",TRIM(INDEX('Form Responses'!$I:$I,ROW())&amp;""))</f>
        <v/>
      </c>
      <c r="L401" s="32">
        <f>IF(B401="","",TRIM(INDEX('Form Responses'!$J:$J,ROW())&amp;""))</f>
        <v/>
      </c>
      <c r="M401" s="32">
        <f>IF(B401="","",TRIM(INDEX('Form Responses'!$K:$K,ROW())&amp;""))</f>
        <v/>
      </c>
      <c r="N401" s="32">
        <f>IF(B401="","",IF(E401&lt;&gt;"","P"&amp;E401,"N"&amp;B401))</f>
        <v/>
      </c>
      <c r="O401" s="32">
        <f>IF(N401="",0,IF(COUNTIF(N402:N$602,N401)=0,1,0))</f>
        <v/>
      </c>
      <c r="P401" s="32">
        <f>IF(AND(O401=1,E401&lt;&gt;""),E401,"")</f>
        <v/>
      </c>
      <c r="Q401" s="32">
        <f>IF(O401=1,B401,"")</f>
        <v/>
      </c>
      <c r="R401" s="32">
        <f>IF(O401&lt;&gt;1,"",IF(E401&lt;&gt;"",IFERROR(MATCH(E401,Guests!$S$6:$S$505,0)+5,IFERROR(MATCH(B401,Guests!$A$6:$A$505,0)+5,"")),IFERROR(MATCH(B401,Guests!$A$6:$A$505,0)+5,"")))</f>
        <v/>
      </c>
      <c r="S401" s="32">
        <f>IF(R401="","",TRIM(INDEX(Guests!$E$1:$E$505,R401)&amp;""))</f>
        <v/>
      </c>
      <c r="T401" s="32">
        <f>IF(R401="","",IF(S401="",1,COUNTIF(Guests!$E$6:$E$505,S401)))</f>
        <v/>
      </c>
      <c r="U401" s="32">
        <f>IF(R401="","",IF(S401="",1,IF(COUNTIF(S$1:S400,S401)=0,1,0)))</f>
        <v/>
      </c>
      <c r="V401" s="32">
        <f>IF(AND(R401&lt;&gt;"",G401="Attending",U401=1),MAX(0,H401+I401-T401),0)</f>
        <v/>
      </c>
      <c r="W401" s="32">
        <f>IF(AND(O401=1,R401=""),1,0)</f>
        <v/>
      </c>
      <c r="X401" s="32">
        <f>IF(B401="",0,H401+I401)</f>
        <v/>
      </c>
      <c r="Y401" s="32">
        <f>N(Y400)+O401</f>
        <v/>
      </c>
      <c r="Z401" s="32">
        <f>IF(O401=1,Y401,"")</f>
        <v/>
      </c>
      <c r="AA401" s="32">
        <f>IF(AND(W401=1,G401="Not sure yet"),1,0)</f>
        <v/>
      </c>
      <c r="AB401" s="32">
        <f>N(AB400)+AA401</f>
        <v/>
      </c>
      <c r="AC401" s="32">
        <f>IF(AA401=1,AB401,"")</f>
        <v/>
      </c>
      <c r="AD401" s="32">
        <f>IF(D401="","",IF(LEN(D401)=10,"+1"&amp;D401,IF(AND(LEN(D401)=11,LEFT(D401,1)="1"),"+"&amp;D401,IF(LEFT(C401,1)="+","+"&amp;D401,D401))))</f>
        <v/>
      </c>
      <c r="AE401" s="32">
        <f>IF(B401="","",PROPER(IFERROR(LEFT(B401,FIND(" ",B401)-1),B401)))</f>
        <v/>
      </c>
      <c r="AF401" s="32">
        <f>SUBSTITUTE(SUBSTITUTE(SUBSTITUTE(SUBSTITUTE(SUBSTITUTE(SUBSTITUTE(SUBSTITUTE(SUBSTITUTE(SUBSTITUTE(SUBSTITUTE(AE401,"%","%25"),"&amp;","%26"),"#","%23"),"+","%2B"),"=","%3D"),"?","%3F"),CHAR(34),"%22"),CHAR(10),"%0A"),CHAR(13),"")," ","+")</f>
        <v/>
      </c>
      <c r="AG401" s="32">
        <f>IF(OR(AD401="",AE401=""),"",'Start Here'!$B$20&amp;"#p="&amp;SUBSTITUTE(AD401,"+","%2B")&amp;"&amp;n="&amp;AF401&amp;"&amp;m="&amp;SUBSTITUTE('Start Here'!$B$24,"{name}",AF401))</f>
        <v/>
      </c>
      <c r="AH401" s="32">
        <f>N(AH400)+W401</f>
        <v/>
      </c>
      <c r="AI401" s="32">
        <f>IF(W401=1,AH401,"")</f>
        <v/>
      </c>
    </row>
    <row r="402">
      <c r="A402" s="32">
        <f>IF(INDEX('Form Responses'!$A:$A,ROW())="","",INDEX('Form Responses'!$A:$A,ROW()))</f>
        <v/>
      </c>
      <c r="B402" s="32">
        <f>TRIM(INDEX('Form Responses'!$B:$B,ROW())&amp;"")</f>
        <v/>
      </c>
      <c r="C402" s="32">
        <f>IF(B402="","",TRIM(INDEX('Form Responses'!$C:$C,ROW())&amp;""))</f>
        <v/>
      </c>
      <c r="D402" s="32">
        <f>SUBSTITUTE(SUBSTITUTE(SUBSTITUTE(SUBSTITUTE(SUBSTITUTE(SUBSTITUTE(SUBSTITUTE(SUBSTITUTE(C402," ",""),"-",""),"(",""),")",""),".",""),"+",""),"/",""),CHAR(160),"")</f>
        <v/>
      </c>
      <c r="E402" s="32">
        <f>IF(LEN(D402)&gt;=10,RIGHT(D402,10),D402)</f>
        <v/>
      </c>
      <c r="F402" s="32">
        <f>IF(B402="","",TRIM(INDEX('Form Responses'!$D:$D,ROW())&amp;""))</f>
        <v/>
      </c>
      <c r="G402" s="32">
        <f>IF(B402="","",IF(LEFT(TRIM(INDEX('Form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2" s="32">
        <f>IF(B402="","",MAX(0,IFERROR(INT(--(INDEX('Form Responses'!$F:$F,ROW())&amp;"")),1)))</f>
        <v/>
      </c>
      <c r="I402" s="32">
        <f>IF(B402="","",MAX(0,IFERROR(INT(--(INDEX('Form Responses'!$G:$G,ROW())&amp;"")),0)))</f>
        <v/>
      </c>
      <c r="J402" s="32">
        <f>IF(B402="","",TRIM(INDEX('Form Responses'!$H:$H,ROW())&amp;""))</f>
        <v/>
      </c>
      <c r="K402" s="32">
        <f>IF(B402="","",TRIM(INDEX('Form Responses'!$I:$I,ROW())&amp;""))</f>
        <v/>
      </c>
      <c r="L402" s="32">
        <f>IF(B402="","",TRIM(INDEX('Form Responses'!$J:$J,ROW())&amp;""))</f>
        <v/>
      </c>
      <c r="M402" s="32">
        <f>IF(B402="","",TRIM(INDEX('Form Responses'!$K:$K,ROW())&amp;""))</f>
        <v/>
      </c>
      <c r="N402" s="32">
        <f>IF(B402="","",IF(E402&lt;&gt;"","P"&amp;E402,"N"&amp;B402))</f>
        <v/>
      </c>
      <c r="O402" s="32">
        <f>IF(N402="",0,IF(COUNTIF(N403:N$602,N402)=0,1,0))</f>
        <v/>
      </c>
      <c r="P402" s="32">
        <f>IF(AND(O402=1,E402&lt;&gt;""),E402,"")</f>
        <v/>
      </c>
      <c r="Q402" s="32">
        <f>IF(O402=1,B402,"")</f>
        <v/>
      </c>
      <c r="R402" s="32">
        <f>IF(O402&lt;&gt;1,"",IF(E402&lt;&gt;"",IFERROR(MATCH(E402,Guests!$S$6:$S$505,0)+5,IFERROR(MATCH(B402,Guests!$A$6:$A$505,0)+5,"")),IFERROR(MATCH(B402,Guests!$A$6:$A$505,0)+5,"")))</f>
        <v/>
      </c>
      <c r="S402" s="32">
        <f>IF(R402="","",TRIM(INDEX(Guests!$E$1:$E$505,R402)&amp;""))</f>
        <v/>
      </c>
      <c r="T402" s="32">
        <f>IF(R402="","",IF(S402="",1,COUNTIF(Guests!$E$6:$E$505,S402)))</f>
        <v/>
      </c>
      <c r="U402" s="32">
        <f>IF(R402="","",IF(S402="",1,IF(COUNTIF(S$1:S401,S402)=0,1,0)))</f>
        <v/>
      </c>
      <c r="V402" s="32">
        <f>IF(AND(R402&lt;&gt;"",G402="Attending",U402=1),MAX(0,H402+I402-T402),0)</f>
        <v/>
      </c>
      <c r="W402" s="32">
        <f>IF(AND(O402=1,R402=""),1,0)</f>
        <v/>
      </c>
      <c r="X402" s="32">
        <f>IF(B402="",0,H402+I402)</f>
        <v/>
      </c>
      <c r="Y402" s="32">
        <f>N(Y401)+O402</f>
        <v/>
      </c>
      <c r="Z402" s="32">
        <f>IF(O402=1,Y402,"")</f>
        <v/>
      </c>
      <c r="AA402" s="32">
        <f>IF(AND(W402=1,G402="Not sure yet"),1,0)</f>
        <v/>
      </c>
      <c r="AB402" s="32">
        <f>N(AB401)+AA402</f>
        <v/>
      </c>
      <c r="AC402" s="32">
        <f>IF(AA402=1,AB402,"")</f>
        <v/>
      </c>
      <c r="AD402" s="32">
        <f>IF(D402="","",IF(LEN(D402)=10,"+1"&amp;D402,IF(AND(LEN(D402)=11,LEFT(D402,1)="1"),"+"&amp;D402,IF(LEFT(C402,1)="+","+"&amp;D402,D402))))</f>
        <v/>
      </c>
      <c r="AE402" s="32">
        <f>IF(B402="","",PROPER(IFERROR(LEFT(B402,FIND(" ",B402)-1),B402)))</f>
        <v/>
      </c>
      <c r="AF402" s="32">
        <f>SUBSTITUTE(SUBSTITUTE(SUBSTITUTE(SUBSTITUTE(SUBSTITUTE(SUBSTITUTE(SUBSTITUTE(SUBSTITUTE(SUBSTITUTE(SUBSTITUTE(AE402,"%","%25"),"&amp;","%26"),"#","%23"),"+","%2B"),"=","%3D"),"?","%3F"),CHAR(34),"%22"),CHAR(10),"%0A"),CHAR(13),"")," ","+")</f>
        <v/>
      </c>
      <c r="AG402" s="32">
        <f>IF(OR(AD402="",AE402=""),"",'Start Here'!$B$20&amp;"#p="&amp;SUBSTITUTE(AD402,"+","%2B")&amp;"&amp;n="&amp;AF402&amp;"&amp;m="&amp;SUBSTITUTE('Start Here'!$B$24,"{name}",AF402))</f>
        <v/>
      </c>
      <c r="AH402" s="32">
        <f>N(AH401)+W402</f>
        <v/>
      </c>
      <c r="AI402" s="32">
        <f>IF(W402=1,AH402,"")</f>
        <v/>
      </c>
    </row>
    <row r="403">
      <c r="A403" s="32">
        <f>IF(INDEX('Form Responses'!$A:$A,ROW())="","",INDEX('Form Responses'!$A:$A,ROW()))</f>
        <v/>
      </c>
      <c r="B403" s="32">
        <f>TRIM(INDEX('Form Responses'!$B:$B,ROW())&amp;"")</f>
        <v/>
      </c>
      <c r="C403" s="32">
        <f>IF(B403="","",TRIM(INDEX('Form Responses'!$C:$C,ROW())&amp;""))</f>
        <v/>
      </c>
      <c r="D403" s="32">
        <f>SUBSTITUTE(SUBSTITUTE(SUBSTITUTE(SUBSTITUTE(SUBSTITUTE(SUBSTITUTE(SUBSTITUTE(SUBSTITUTE(C403," ",""),"-",""),"(",""),")",""),".",""),"+",""),"/",""),CHAR(160),"")</f>
        <v/>
      </c>
      <c r="E403" s="32">
        <f>IF(LEN(D403)&gt;=10,RIGHT(D403,10),D403)</f>
        <v/>
      </c>
      <c r="F403" s="32">
        <f>IF(B403="","",TRIM(INDEX('Form Responses'!$D:$D,ROW())&amp;""))</f>
        <v/>
      </c>
      <c r="G403" s="32">
        <f>IF(B403="","",IF(LEFT(TRIM(INDEX('Form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3" s="32">
        <f>IF(B403="","",MAX(0,IFERROR(INT(--(INDEX('Form Responses'!$F:$F,ROW())&amp;"")),1)))</f>
        <v/>
      </c>
      <c r="I403" s="32">
        <f>IF(B403="","",MAX(0,IFERROR(INT(--(INDEX('Form Responses'!$G:$G,ROW())&amp;"")),0)))</f>
        <v/>
      </c>
      <c r="J403" s="32">
        <f>IF(B403="","",TRIM(INDEX('Form Responses'!$H:$H,ROW())&amp;""))</f>
        <v/>
      </c>
      <c r="K403" s="32">
        <f>IF(B403="","",TRIM(INDEX('Form Responses'!$I:$I,ROW())&amp;""))</f>
        <v/>
      </c>
      <c r="L403" s="32">
        <f>IF(B403="","",TRIM(INDEX('Form Responses'!$J:$J,ROW())&amp;""))</f>
        <v/>
      </c>
      <c r="M403" s="32">
        <f>IF(B403="","",TRIM(INDEX('Form Responses'!$K:$K,ROW())&amp;""))</f>
        <v/>
      </c>
      <c r="N403" s="32">
        <f>IF(B403="","",IF(E403&lt;&gt;"","P"&amp;E403,"N"&amp;B403))</f>
        <v/>
      </c>
      <c r="O403" s="32">
        <f>IF(N403="",0,IF(COUNTIF(N404:N$602,N403)=0,1,0))</f>
        <v/>
      </c>
      <c r="P403" s="32">
        <f>IF(AND(O403=1,E403&lt;&gt;""),E403,"")</f>
        <v/>
      </c>
      <c r="Q403" s="32">
        <f>IF(O403=1,B403,"")</f>
        <v/>
      </c>
      <c r="R403" s="32">
        <f>IF(O403&lt;&gt;1,"",IF(E403&lt;&gt;"",IFERROR(MATCH(E403,Guests!$S$6:$S$505,0)+5,IFERROR(MATCH(B403,Guests!$A$6:$A$505,0)+5,"")),IFERROR(MATCH(B403,Guests!$A$6:$A$505,0)+5,"")))</f>
        <v/>
      </c>
      <c r="S403" s="32">
        <f>IF(R403="","",TRIM(INDEX(Guests!$E$1:$E$505,R403)&amp;""))</f>
        <v/>
      </c>
      <c r="T403" s="32">
        <f>IF(R403="","",IF(S403="",1,COUNTIF(Guests!$E$6:$E$505,S403)))</f>
        <v/>
      </c>
      <c r="U403" s="32">
        <f>IF(R403="","",IF(S403="",1,IF(COUNTIF(S$1:S402,S403)=0,1,0)))</f>
        <v/>
      </c>
      <c r="V403" s="32">
        <f>IF(AND(R403&lt;&gt;"",G403="Attending",U403=1),MAX(0,H403+I403-T403),0)</f>
        <v/>
      </c>
      <c r="W403" s="32">
        <f>IF(AND(O403=1,R403=""),1,0)</f>
        <v/>
      </c>
      <c r="X403" s="32">
        <f>IF(B403="",0,H403+I403)</f>
        <v/>
      </c>
      <c r="Y403" s="32">
        <f>N(Y402)+O403</f>
        <v/>
      </c>
      <c r="Z403" s="32">
        <f>IF(O403=1,Y403,"")</f>
        <v/>
      </c>
      <c r="AA403" s="32">
        <f>IF(AND(W403=1,G403="Not sure yet"),1,0)</f>
        <v/>
      </c>
      <c r="AB403" s="32">
        <f>N(AB402)+AA403</f>
        <v/>
      </c>
      <c r="AC403" s="32">
        <f>IF(AA403=1,AB403,"")</f>
        <v/>
      </c>
      <c r="AD403" s="32">
        <f>IF(D403="","",IF(LEN(D403)=10,"+1"&amp;D403,IF(AND(LEN(D403)=11,LEFT(D403,1)="1"),"+"&amp;D403,IF(LEFT(C403,1)="+","+"&amp;D403,D403))))</f>
        <v/>
      </c>
      <c r="AE403" s="32">
        <f>IF(B403="","",PROPER(IFERROR(LEFT(B403,FIND(" ",B403)-1),B403)))</f>
        <v/>
      </c>
      <c r="AF403" s="32">
        <f>SUBSTITUTE(SUBSTITUTE(SUBSTITUTE(SUBSTITUTE(SUBSTITUTE(SUBSTITUTE(SUBSTITUTE(SUBSTITUTE(SUBSTITUTE(SUBSTITUTE(AE403,"%","%25"),"&amp;","%26"),"#","%23"),"+","%2B"),"=","%3D"),"?","%3F"),CHAR(34),"%22"),CHAR(10),"%0A"),CHAR(13),"")," ","+")</f>
        <v/>
      </c>
      <c r="AG403" s="32">
        <f>IF(OR(AD403="",AE403=""),"",'Start Here'!$B$20&amp;"#p="&amp;SUBSTITUTE(AD403,"+","%2B")&amp;"&amp;n="&amp;AF403&amp;"&amp;m="&amp;SUBSTITUTE('Start Here'!$B$24,"{name}",AF403))</f>
        <v/>
      </c>
      <c r="AH403" s="32">
        <f>N(AH402)+W403</f>
        <v/>
      </c>
      <c r="AI403" s="32">
        <f>IF(W403=1,AH403,"")</f>
        <v/>
      </c>
    </row>
    <row r="404">
      <c r="A404" s="32">
        <f>IF(INDEX('Form Responses'!$A:$A,ROW())="","",INDEX('Form Responses'!$A:$A,ROW()))</f>
        <v/>
      </c>
      <c r="B404" s="32">
        <f>TRIM(INDEX('Form Responses'!$B:$B,ROW())&amp;"")</f>
        <v/>
      </c>
      <c r="C404" s="32">
        <f>IF(B404="","",TRIM(INDEX('Form Responses'!$C:$C,ROW())&amp;""))</f>
        <v/>
      </c>
      <c r="D404" s="32">
        <f>SUBSTITUTE(SUBSTITUTE(SUBSTITUTE(SUBSTITUTE(SUBSTITUTE(SUBSTITUTE(SUBSTITUTE(SUBSTITUTE(C404," ",""),"-",""),"(",""),")",""),".",""),"+",""),"/",""),CHAR(160),"")</f>
        <v/>
      </c>
      <c r="E404" s="32">
        <f>IF(LEN(D404)&gt;=10,RIGHT(D404,10),D404)</f>
        <v/>
      </c>
      <c r="F404" s="32">
        <f>IF(B404="","",TRIM(INDEX('Form Responses'!$D:$D,ROW())&amp;""))</f>
        <v/>
      </c>
      <c r="G404" s="32">
        <f>IF(B404="","",IF(LEFT(TRIM(INDEX('Form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4" s="32">
        <f>IF(B404="","",MAX(0,IFERROR(INT(--(INDEX('Form Responses'!$F:$F,ROW())&amp;"")),1)))</f>
        <v/>
      </c>
      <c r="I404" s="32">
        <f>IF(B404="","",MAX(0,IFERROR(INT(--(INDEX('Form Responses'!$G:$G,ROW())&amp;"")),0)))</f>
        <v/>
      </c>
      <c r="J404" s="32">
        <f>IF(B404="","",TRIM(INDEX('Form Responses'!$H:$H,ROW())&amp;""))</f>
        <v/>
      </c>
      <c r="K404" s="32">
        <f>IF(B404="","",TRIM(INDEX('Form Responses'!$I:$I,ROW())&amp;""))</f>
        <v/>
      </c>
      <c r="L404" s="32">
        <f>IF(B404="","",TRIM(INDEX('Form Responses'!$J:$J,ROW())&amp;""))</f>
        <v/>
      </c>
      <c r="M404" s="32">
        <f>IF(B404="","",TRIM(INDEX('Form Responses'!$K:$K,ROW())&amp;""))</f>
        <v/>
      </c>
      <c r="N404" s="32">
        <f>IF(B404="","",IF(E404&lt;&gt;"","P"&amp;E404,"N"&amp;B404))</f>
        <v/>
      </c>
      <c r="O404" s="32">
        <f>IF(N404="",0,IF(COUNTIF(N405:N$602,N404)=0,1,0))</f>
        <v/>
      </c>
      <c r="P404" s="32">
        <f>IF(AND(O404=1,E404&lt;&gt;""),E404,"")</f>
        <v/>
      </c>
      <c r="Q404" s="32">
        <f>IF(O404=1,B404,"")</f>
        <v/>
      </c>
      <c r="R404" s="32">
        <f>IF(O404&lt;&gt;1,"",IF(E404&lt;&gt;"",IFERROR(MATCH(E404,Guests!$S$6:$S$505,0)+5,IFERROR(MATCH(B404,Guests!$A$6:$A$505,0)+5,"")),IFERROR(MATCH(B404,Guests!$A$6:$A$505,0)+5,"")))</f>
        <v/>
      </c>
      <c r="S404" s="32">
        <f>IF(R404="","",TRIM(INDEX(Guests!$E$1:$E$505,R404)&amp;""))</f>
        <v/>
      </c>
      <c r="T404" s="32">
        <f>IF(R404="","",IF(S404="",1,COUNTIF(Guests!$E$6:$E$505,S404)))</f>
        <v/>
      </c>
      <c r="U404" s="32">
        <f>IF(R404="","",IF(S404="",1,IF(COUNTIF(S$1:S403,S404)=0,1,0)))</f>
        <v/>
      </c>
      <c r="V404" s="32">
        <f>IF(AND(R404&lt;&gt;"",G404="Attending",U404=1),MAX(0,H404+I404-T404),0)</f>
        <v/>
      </c>
      <c r="W404" s="32">
        <f>IF(AND(O404=1,R404=""),1,0)</f>
        <v/>
      </c>
      <c r="X404" s="32">
        <f>IF(B404="",0,H404+I404)</f>
        <v/>
      </c>
      <c r="Y404" s="32">
        <f>N(Y403)+O404</f>
        <v/>
      </c>
      <c r="Z404" s="32">
        <f>IF(O404=1,Y404,"")</f>
        <v/>
      </c>
      <c r="AA404" s="32">
        <f>IF(AND(W404=1,G404="Not sure yet"),1,0)</f>
        <v/>
      </c>
      <c r="AB404" s="32">
        <f>N(AB403)+AA404</f>
        <v/>
      </c>
      <c r="AC404" s="32">
        <f>IF(AA404=1,AB404,"")</f>
        <v/>
      </c>
      <c r="AD404" s="32">
        <f>IF(D404="","",IF(LEN(D404)=10,"+1"&amp;D404,IF(AND(LEN(D404)=11,LEFT(D404,1)="1"),"+"&amp;D404,IF(LEFT(C404,1)="+","+"&amp;D404,D404))))</f>
        <v/>
      </c>
      <c r="AE404" s="32">
        <f>IF(B404="","",PROPER(IFERROR(LEFT(B404,FIND(" ",B404)-1),B404)))</f>
        <v/>
      </c>
      <c r="AF404" s="32">
        <f>SUBSTITUTE(SUBSTITUTE(SUBSTITUTE(SUBSTITUTE(SUBSTITUTE(SUBSTITUTE(SUBSTITUTE(SUBSTITUTE(SUBSTITUTE(SUBSTITUTE(AE404,"%","%25"),"&amp;","%26"),"#","%23"),"+","%2B"),"=","%3D"),"?","%3F"),CHAR(34),"%22"),CHAR(10),"%0A"),CHAR(13),"")," ","+")</f>
        <v/>
      </c>
      <c r="AG404" s="32">
        <f>IF(OR(AD404="",AE404=""),"",'Start Here'!$B$20&amp;"#p="&amp;SUBSTITUTE(AD404,"+","%2B")&amp;"&amp;n="&amp;AF404&amp;"&amp;m="&amp;SUBSTITUTE('Start Here'!$B$24,"{name}",AF404))</f>
        <v/>
      </c>
      <c r="AH404" s="32">
        <f>N(AH403)+W404</f>
        <v/>
      </c>
      <c r="AI404" s="32">
        <f>IF(W404=1,AH404,"")</f>
        <v/>
      </c>
    </row>
    <row r="405">
      <c r="A405" s="32">
        <f>IF(INDEX('Form Responses'!$A:$A,ROW())="","",INDEX('Form Responses'!$A:$A,ROW()))</f>
        <v/>
      </c>
      <c r="B405" s="32">
        <f>TRIM(INDEX('Form Responses'!$B:$B,ROW())&amp;"")</f>
        <v/>
      </c>
      <c r="C405" s="32">
        <f>IF(B405="","",TRIM(INDEX('Form Responses'!$C:$C,ROW())&amp;""))</f>
        <v/>
      </c>
      <c r="D405" s="32">
        <f>SUBSTITUTE(SUBSTITUTE(SUBSTITUTE(SUBSTITUTE(SUBSTITUTE(SUBSTITUTE(SUBSTITUTE(SUBSTITUTE(C405," ",""),"-",""),"(",""),")",""),".",""),"+",""),"/",""),CHAR(160),"")</f>
        <v/>
      </c>
      <c r="E405" s="32">
        <f>IF(LEN(D405)&gt;=10,RIGHT(D405,10),D405)</f>
        <v/>
      </c>
      <c r="F405" s="32">
        <f>IF(B405="","",TRIM(INDEX('Form Responses'!$D:$D,ROW())&amp;""))</f>
        <v/>
      </c>
      <c r="G405" s="32">
        <f>IF(B405="","",IF(LEFT(TRIM(INDEX('Form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5" s="32">
        <f>IF(B405="","",MAX(0,IFERROR(INT(--(INDEX('Form Responses'!$F:$F,ROW())&amp;"")),1)))</f>
        <v/>
      </c>
      <c r="I405" s="32">
        <f>IF(B405="","",MAX(0,IFERROR(INT(--(INDEX('Form Responses'!$G:$G,ROW())&amp;"")),0)))</f>
        <v/>
      </c>
      <c r="J405" s="32">
        <f>IF(B405="","",TRIM(INDEX('Form Responses'!$H:$H,ROW())&amp;""))</f>
        <v/>
      </c>
      <c r="K405" s="32">
        <f>IF(B405="","",TRIM(INDEX('Form Responses'!$I:$I,ROW())&amp;""))</f>
        <v/>
      </c>
      <c r="L405" s="32">
        <f>IF(B405="","",TRIM(INDEX('Form Responses'!$J:$J,ROW())&amp;""))</f>
        <v/>
      </c>
      <c r="M405" s="32">
        <f>IF(B405="","",TRIM(INDEX('Form Responses'!$K:$K,ROW())&amp;""))</f>
        <v/>
      </c>
      <c r="N405" s="32">
        <f>IF(B405="","",IF(E405&lt;&gt;"","P"&amp;E405,"N"&amp;B405))</f>
        <v/>
      </c>
      <c r="O405" s="32">
        <f>IF(N405="",0,IF(COUNTIF(N406:N$602,N405)=0,1,0))</f>
        <v/>
      </c>
      <c r="P405" s="32">
        <f>IF(AND(O405=1,E405&lt;&gt;""),E405,"")</f>
        <v/>
      </c>
      <c r="Q405" s="32">
        <f>IF(O405=1,B405,"")</f>
        <v/>
      </c>
      <c r="R405" s="32">
        <f>IF(O405&lt;&gt;1,"",IF(E405&lt;&gt;"",IFERROR(MATCH(E405,Guests!$S$6:$S$505,0)+5,IFERROR(MATCH(B405,Guests!$A$6:$A$505,0)+5,"")),IFERROR(MATCH(B405,Guests!$A$6:$A$505,0)+5,"")))</f>
        <v/>
      </c>
      <c r="S405" s="32">
        <f>IF(R405="","",TRIM(INDEX(Guests!$E$1:$E$505,R405)&amp;""))</f>
        <v/>
      </c>
      <c r="T405" s="32">
        <f>IF(R405="","",IF(S405="",1,COUNTIF(Guests!$E$6:$E$505,S405)))</f>
        <v/>
      </c>
      <c r="U405" s="32">
        <f>IF(R405="","",IF(S405="",1,IF(COUNTIF(S$1:S404,S405)=0,1,0)))</f>
        <v/>
      </c>
      <c r="V405" s="32">
        <f>IF(AND(R405&lt;&gt;"",G405="Attending",U405=1),MAX(0,H405+I405-T405),0)</f>
        <v/>
      </c>
      <c r="W405" s="32">
        <f>IF(AND(O405=1,R405=""),1,0)</f>
        <v/>
      </c>
      <c r="X405" s="32">
        <f>IF(B405="",0,H405+I405)</f>
        <v/>
      </c>
      <c r="Y405" s="32">
        <f>N(Y404)+O405</f>
        <v/>
      </c>
      <c r="Z405" s="32">
        <f>IF(O405=1,Y405,"")</f>
        <v/>
      </c>
      <c r="AA405" s="32">
        <f>IF(AND(W405=1,G405="Not sure yet"),1,0)</f>
        <v/>
      </c>
      <c r="AB405" s="32">
        <f>N(AB404)+AA405</f>
        <v/>
      </c>
      <c r="AC405" s="32">
        <f>IF(AA405=1,AB405,"")</f>
        <v/>
      </c>
      <c r="AD405" s="32">
        <f>IF(D405="","",IF(LEN(D405)=10,"+1"&amp;D405,IF(AND(LEN(D405)=11,LEFT(D405,1)="1"),"+"&amp;D405,IF(LEFT(C405,1)="+","+"&amp;D405,D405))))</f>
        <v/>
      </c>
      <c r="AE405" s="32">
        <f>IF(B405="","",PROPER(IFERROR(LEFT(B405,FIND(" ",B405)-1),B405)))</f>
        <v/>
      </c>
      <c r="AF405" s="32">
        <f>SUBSTITUTE(SUBSTITUTE(SUBSTITUTE(SUBSTITUTE(SUBSTITUTE(SUBSTITUTE(SUBSTITUTE(SUBSTITUTE(SUBSTITUTE(SUBSTITUTE(AE405,"%","%25"),"&amp;","%26"),"#","%23"),"+","%2B"),"=","%3D"),"?","%3F"),CHAR(34),"%22"),CHAR(10),"%0A"),CHAR(13),"")," ","+")</f>
        <v/>
      </c>
      <c r="AG405" s="32">
        <f>IF(OR(AD405="",AE405=""),"",'Start Here'!$B$20&amp;"#p="&amp;SUBSTITUTE(AD405,"+","%2B")&amp;"&amp;n="&amp;AF405&amp;"&amp;m="&amp;SUBSTITUTE('Start Here'!$B$24,"{name}",AF405))</f>
        <v/>
      </c>
      <c r="AH405" s="32">
        <f>N(AH404)+W405</f>
        <v/>
      </c>
      <c r="AI405" s="32">
        <f>IF(W405=1,AH405,"")</f>
        <v/>
      </c>
    </row>
    <row r="406">
      <c r="A406" s="32">
        <f>IF(INDEX('Form Responses'!$A:$A,ROW())="","",INDEX('Form Responses'!$A:$A,ROW()))</f>
        <v/>
      </c>
      <c r="B406" s="32">
        <f>TRIM(INDEX('Form Responses'!$B:$B,ROW())&amp;"")</f>
        <v/>
      </c>
      <c r="C406" s="32">
        <f>IF(B406="","",TRIM(INDEX('Form Responses'!$C:$C,ROW())&amp;""))</f>
        <v/>
      </c>
      <c r="D406" s="32">
        <f>SUBSTITUTE(SUBSTITUTE(SUBSTITUTE(SUBSTITUTE(SUBSTITUTE(SUBSTITUTE(SUBSTITUTE(SUBSTITUTE(C406," ",""),"-",""),"(",""),")",""),".",""),"+",""),"/",""),CHAR(160),"")</f>
        <v/>
      </c>
      <c r="E406" s="32">
        <f>IF(LEN(D406)&gt;=10,RIGHT(D406,10),D406)</f>
        <v/>
      </c>
      <c r="F406" s="32">
        <f>IF(B406="","",TRIM(INDEX('Form Responses'!$D:$D,ROW())&amp;""))</f>
        <v/>
      </c>
      <c r="G406" s="32">
        <f>IF(B406="","",IF(LEFT(TRIM(INDEX('Form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6" s="32">
        <f>IF(B406="","",MAX(0,IFERROR(INT(--(INDEX('Form Responses'!$F:$F,ROW())&amp;"")),1)))</f>
        <v/>
      </c>
      <c r="I406" s="32">
        <f>IF(B406="","",MAX(0,IFERROR(INT(--(INDEX('Form Responses'!$G:$G,ROW())&amp;"")),0)))</f>
        <v/>
      </c>
      <c r="J406" s="32">
        <f>IF(B406="","",TRIM(INDEX('Form Responses'!$H:$H,ROW())&amp;""))</f>
        <v/>
      </c>
      <c r="K406" s="32">
        <f>IF(B406="","",TRIM(INDEX('Form Responses'!$I:$I,ROW())&amp;""))</f>
        <v/>
      </c>
      <c r="L406" s="32">
        <f>IF(B406="","",TRIM(INDEX('Form Responses'!$J:$J,ROW())&amp;""))</f>
        <v/>
      </c>
      <c r="M406" s="32">
        <f>IF(B406="","",TRIM(INDEX('Form Responses'!$K:$K,ROW())&amp;""))</f>
        <v/>
      </c>
      <c r="N406" s="32">
        <f>IF(B406="","",IF(E406&lt;&gt;"","P"&amp;E406,"N"&amp;B406))</f>
        <v/>
      </c>
      <c r="O406" s="32">
        <f>IF(N406="",0,IF(COUNTIF(N407:N$602,N406)=0,1,0))</f>
        <v/>
      </c>
      <c r="P406" s="32">
        <f>IF(AND(O406=1,E406&lt;&gt;""),E406,"")</f>
        <v/>
      </c>
      <c r="Q406" s="32">
        <f>IF(O406=1,B406,"")</f>
        <v/>
      </c>
      <c r="R406" s="32">
        <f>IF(O406&lt;&gt;1,"",IF(E406&lt;&gt;"",IFERROR(MATCH(E406,Guests!$S$6:$S$505,0)+5,IFERROR(MATCH(B406,Guests!$A$6:$A$505,0)+5,"")),IFERROR(MATCH(B406,Guests!$A$6:$A$505,0)+5,"")))</f>
        <v/>
      </c>
      <c r="S406" s="32">
        <f>IF(R406="","",TRIM(INDEX(Guests!$E$1:$E$505,R406)&amp;""))</f>
        <v/>
      </c>
      <c r="T406" s="32">
        <f>IF(R406="","",IF(S406="",1,COUNTIF(Guests!$E$6:$E$505,S406)))</f>
        <v/>
      </c>
      <c r="U406" s="32">
        <f>IF(R406="","",IF(S406="",1,IF(COUNTIF(S$1:S405,S406)=0,1,0)))</f>
        <v/>
      </c>
      <c r="V406" s="32">
        <f>IF(AND(R406&lt;&gt;"",G406="Attending",U406=1),MAX(0,H406+I406-T406),0)</f>
        <v/>
      </c>
      <c r="W406" s="32">
        <f>IF(AND(O406=1,R406=""),1,0)</f>
        <v/>
      </c>
      <c r="X406" s="32">
        <f>IF(B406="",0,H406+I406)</f>
        <v/>
      </c>
      <c r="Y406" s="32">
        <f>N(Y405)+O406</f>
        <v/>
      </c>
      <c r="Z406" s="32">
        <f>IF(O406=1,Y406,"")</f>
        <v/>
      </c>
      <c r="AA406" s="32">
        <f>IF(AND(W406=1,G406="Not sure yet"),1,0)</f>
        <v/>
      </c>
      <c r="AB406" s="32">
        <f>N(AB405)+AA406</f>
        <v/>
      </c>
      <c r="AC406" s="32">
        <f>IF(AA406=1,AB406,"")</f>
        <v/>
      </c>
      <c r="AD406" s="32">
        <f>IF(D406="","",IF(LEN(D406)=10,"+1"&amp;D406,IF(AND(LEN(D406)=11,LEFT(D406,1)="1"),"+"&amp;D406,IF(LEFT(C406,1)="+","+"&amp;D406,D406))))</f>
        <v/>
      </c>
      <c r="AE406" s="32">
        <f>IF(B406="","",PROPER(IFERROR(LEFT(B406,FIND(" ",B406)-1),B406)))</f>
        <v/>
      </c>
      <c r="AF406" s="32">
        <f>SUBSTITUTE(SUBSTITUTE(SUBSTITUTE(SUBSTITUTE(SUBSTITUTE(SUBSTITUTE(SUBSTITUTE(SUBSTITUTE(SUBSTITUTE(SUBSTITUTE(AE406,"%","%25"),"&amp;","%26"),"#","%23"),"+","%2B"),"=","%3D"),"?","%3F"),CHAR(34),"%22"),CHAR(10),"%0A"),CHAR(13),"")," ","+")</f>
        <v/>
      </c>
      <c r="AG406" s="32">
        <f>IF(OR(AD406="",AE406=""),"",'Start Here'!$B$20&amp;"#p="&amp;SUBSTITUTE(AD406,"+","%2B")&amp;"&amp;n="&amp;AF406&amp;"&amp;m="&amp;SUBSTITUTE('Start Here'!$B$24,"{name}",AF406))</f>
        <v/>
      </c>
      <c r="AH406" s="32">
        <f>N(AH405)+W406</f>
        <v/>
      </c>
      <c r="AI406" s="32">
        <f>IF(W406=1,AH406,"")</f>
        <v/>
      </c>
    </row>
    <row r="407">
      <c r="A407" s="32">
        <f>IF(INDEX('Form Responses'!$A:$A,ROW())="","",INDEX('Form Responses'!$A:$A,ROW()))</f>
        <v/>
      </c>
      <c r="B407" s="32">
        <f>TRIM(INDEX('Form Responses'!$B:$B,ROW())&amp;"")</f>
        <v/>
      </c>
      <c r="C407" s="32">
        <f>IF(B407="","",TRIM(INDEX('Form Responses'!$C:$C,ROW())&amp;""))</f>
        <v/>
      </c>
      <c r="D407" s="32">
        <f>SUBSTITUTE(SUBSTITUTE(SUBSTITUTE(SUBSTITUTE(SUBSTITUTE(SUBSTITUTE(SUBSTITUTE(SUBSTITUTE(C407," ",""),"-",""),"(",""),")",""),".",""),"+",""),"/",""),CHAR(160),"")</f>
        <v/>
      </c>
      <c r="E407" s="32">
        <f>IF(LEN(D407)&gt;=10,RIGHT(D407,10),D407)</f>
        <v/>
      </c>
      <c r="F407" s="32">
        <f>IF(B407="","",TRIM(INDEX('Form Responses'!$D:$D,ROW())&amp;""))</f>
        <v/>
      </c>
      <c r="G407" s="32">
        <f>IF(B407="","",IF(LEFT(TRIM(INDEX('Form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7" s="32">
        <f>IF(B407="","",MAX(0,IFERROR(INT(--(INDEX('Form Responses'!$F:$F,ROW())&amp;"")),1)))</f>
        <v/>
      </c>
      <c r="I407" s="32">
        <f>IF(B407="","",MAX(0,IFERROR(INT(--(INDEX('Form Responses'!$G:$G,ROW())&amp;"")),0)))</f>
        <v/>
      </c>
      <c r="J407" s="32">
        <f>IF(B407="","",TRIM(INDEX('Form Responses'!$H:$H,ROW())&amp;""))</f>
        <v/>
      </c>
      <c r="K407" s="32">
        <f>IF(B407="","",TRIM(INDEX('Form Responses'!$I:$I,ROW())&amp;""))</f>
        <v/>
      </c>
      <c r="L407" s="32">
        <f>IF(B407="","",TRIM(INDEX('Form Responses'!$J:$J,ROW())&amp;""))</f>
        <v/>
      </c>
      <c r="M407" s="32">
        <f>IF(B407="","",TRIM(INDEX('Form Responses'!$K:$K,ROW())&amp;""))</f>
        <v/>
      </c>
      <c r="N407" s="32">
        <f>IF(B407="","",IF(E407&lt;&gt;"","P"&amp;E407,"N"&amp;B407))</f>
        <v/>
      </c>
      <c r="O407" s="32">
        <f>IF(N407="",0,IF(COUNTIF(N408:N$602,N407)=0,1,0))</f>
        <v/>
      </c>
      <c r="P407" s="32">
        <f>IF(AND(O407=1,E407&lt;&gt;""),E407,"")</f>
        <v/>
      </c>
      <c r="Q407" s="32">
        <f>IF(O407=1,B407,"")</f>
        <v/>
      </c>
      <c r="R407" s="32">
        <f>IF(O407&lt;&gt;1,"",IF(E407&lt;&gt;"",IFERROR(MATCH(E407,Guests!$S$6:$S$505,0)+5,IFERROR(MATCH(B407,Guests!$A$6:$A$505,0)+5,"")),IFERROR(MATCH(B407,Guests!$A$6:$A$505,0)+5,"")))</f>
        <v/>
      </c>
      <c r="S407" s="32">
        <f>IF(R407="","",TRIM(INDEX(Guests!$E$1:$E$505,R407)&amp;""))</f>
        <v/>
      </c>
      <c r="T407" s="32">
        <f>IF(R407="","",IF(S407="",1,COUNTIF(Guests!$E$6:$E$505,S407)))</f>
        <v/>
      </c>
      <c r="U407" s="32">
        <f>IF(R407="","",IF(S407="",1,IF(COUNTIF(S$1:S406,S407)=0,1,0)))</f>
        <v/>
      </c>
      <c r="V407" s="32">
        <f>IF(AND(R407&lt;&gt;"",G407="Attending",U407=1),MAX(0,H407+I407-T407),0)</f>
        <v/>
      </c>
      <c r="W407" s="32">
        <f>IF(AND(O407=1,R407=""),1,0)</f>
        <v/>
      </c>
      <c r="X407" s="32">
        <f>IF(B407="",0,H407+I407)</f>
        <v/>
      </c>
      <c r="Y407" s="32">
        <f>N(Y406)+O407</f>
        <v/>
      </c>
      <c r="Z407" s="32">
        <f>IF(O407=1,Y407,"")</f>
        <v/>
      </c>
      <c r="AA407" s="32">
        <f>IF(AND(W407=1,G407="Not sure yet"),1,0)</f>
        <v/>
      </c>
      <c r="AB407" s="32">
        <f>N(AB406)+AA407</f>
        <v/>
      </c>
      <c r="AC407" s="32">
        <f>IF(AA407=1,AB407,"")</f>
        <v/>
      </c>
      <c r="AD407" s="32">
        <f>IF(D407="","",IF(LEN(D407)=10,"+1"&amp;D407,IF(AND(LEN(D407)=11,LEFT(D407,1)="1"),"+"&amp;D407,IF(LEFT(C407,1)="+","+"&amp;D407,D407))))</f>
        <v/>
      </c>
      <c r="AE407" s="32">
        <f>IF(B407="","",PROPER(IFERROR(LEFT(B407,FIND(" ",B407)-1),B407)))</f>
        <v/>
      </c>
      <c r="AF407" s="32">
        <f>SUBSTITUTE(SUBSTITUTE(SUBSTITUTE(SUBSTITUTE(SUBSTITUTE(SUBSTITUTE(SUBSTITUTE(SUBSTITUTE(SUBSTITUTE(SUBSTITUTE(AE407,"%","%25"),"&amp;","%26"),"#","%23"),"+","%2B"),"=","%3D"),"?","%3F"),CHAR(34),"%22"),CHAR(10),"%0A"),CHAR(13),"")," ","+")</f>
        <v/>
      </c>
      <c r="AG407" s="32">
        <f>IF(OR(AD407="",AE407=""),"",'Start Here'!$B$20&amp;"#p="&amp;SUBSTITUTE(AD407,"+","%2B")&amp;"&amp;n="&amp;AF407&amp;"&amp;m="&amp;SUBSTITUTE('Start Here'!$B$24,"{name}",AF407))</f>
        <v/>
      </c>
      <c r="AH407" s="32">
        <f>N(AH406)+W407</f>
        <v/>
      </c>
      <c r="AI407" s="32">
        <f>IF(W407=1,AH407,"")</f>
        <v/>
      </c>
    </row>
    <row r="408">
      <c r="A408" s="32">
        <f>IF(INDEX('Form Responses'!$A:$A,ROW())="","",INDEX('Form Responses'!$A:$A,ROW()))</f>
        <v/>
      </c>
      <c r="B408" s="32">
        <f>TRIM(INDEX('Form Responses'!$B:$B,ROW())&amp;"")</f>
        <v/>
      </c>
      <c r="C408" s="32">
        <f>IF(B408="","",TRIM(INDEX('Form Responses'!$C:$C,ROW())&amp;""))</f>
        <v/>
      </c>
      <c r="D408" s="32">
        <f>SUBSTITUTE(SUBSTITUTE(SUBSTITUTE(SUBSTITUTE(SUBSTITUTE(SUBSTITUTE(SUBSTITUTE(SUBSTITUTE(C408," ",""),"-",""),"(",""),")",""),".",""),"+",""),"/",""),CHAR(160),"")</f>
        <v/>
      </c>
      <c r="E408" s="32">
        <f>IF(LEN(D408)&gt;=10,RIGHT(D408,10),D408)</f>
        <v/>
      </c>
      <c r="F408" s="32">
        <f>IF(B408="","",TRIM(INDEX('Form Responses'!$D:$D,ROW())&amp;""))</f>
        <v/>
      </c>
      <c r="G408" s="32">
        <f>IF(B408="","",IF(LEFT(TRIM(INDEX('Form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8" s="32">
        <f>IF(B408="","",MAX(0,IFERROR(INT(--(INDEX('Form Responses'!$F:$F,ROW())&amp;"")),1)))</f>
        <v/>
      </c>
      <c r="I408" s="32">
        <f>IF(B408="","",MAX(0,IFERROR(INT(--(INDEX('Form Responses'!$G:$G,ROW())&amp;"")),0)))</f>
        <v/>
      </c>
      <c r="J408" s="32">
        <f>IF(B408="","",TRIM(INDEX('Form Responses'!$H:$H,ROW())&amp;""))</f>
        <v/>
      </c>
      <c r="K408" s="32">
        <f>IF(B408="","",TRIM(INDEX('Form Responses'!$I:$I,ROW())&amp;""))</f>
        <v/>
      </c>
      <c r="L408" s="32">
        <f>IF(B408="","",TRIM(INDEX('Form Responses'!$J:$J,ROW())&amp;""))</f>
        <v/>
      </c>
      <c r="M408" s="32">
        <f>IF(B408="","",TRIM(INDEX('Form Responses'!$K:$K,ROW())&amp;""))</f>
        <v/>
      </c>
      <c r="N408" s="32">
        <f>IF(B408="","",IF(E408&lt;&gt;"","P"&amp;E408,"N"&amp;B408))</f>
        <v/>
      </c>
      <c r="O408" s="32">
        <f>IF(N408="",0,IF(COUNTIF(N409:N$602,N408)=0,1,0))</f>
        <v/>
      </c>
      <c r="P408" s="32">
        <f>IF(AND(O408=1,E408&lt;&gt;""),E408,"")</f>
        <v/>
      </c>
      <c r="Q408" s="32">
        <f>IF(O408=1,B408,"")</f>
        <v/>
      </c>
      <c r="R408" s="32">
        <f>IF(O408&lt;&gt;1,"",IF(E408&lt;&gt;"",IFERROR(MATCH(E408,Guests!$S$6:$S$505,0)+5,IFERROR(MATCH(B408,Guests!$A$6:$A$505,0)+5,"")),IFERROR(MATCH(B408,Guests!$A$6:$A$505,0)+5,"")))</f>
        <v/>
      </c>
      <c r="S408" s="32">
        <f>IF(R408="","",TRIM(INDEX(Guests!$E$1:$E$505,R408)&amp;""))</f>
        <v/>
      </c>
      <c r="T408" s="32">
        <f>IF(R408="","",IF(S408="",1,COUNTIF(Guests!$E$6:$E$505,S408)))</f>
        <v/>
      </c>
      <c r="U408" s="32">
        <f>IF(R408="","",IF(S408="",1,IF(COUNTIF(S$1:S407,S408)=0,1,0)))</f>
        <v/>
      </c>
      <c r="V408" s="32">
        <f>IF(AND(R408&lt;&gt;"",G408="Attending",U408=1),MAX(0,H408+I408-T408),0)</f>
        <v/>
      </c>
      <c r="W408" s="32">
        <f>IF(AND(O408=1,R408=""),1,0)</f>
        <v/>
      </c>
      <c r="X408" s="32">
        <f>IF(B408="",0,H408+I408)</f>
        <v/>
      </c>
      <c r="Y408" s="32">
        <f>N(Y407)+O408</f>
        <v/>
      </c>
      <c r="Z408" s="32">
        <f>IF(O408=1,Y408,"")</f>
        <v/>
      </c>
      <c r="AA408" s="32">
        <f>IF(AND(W408=1,G408="Not sure yet"),1,0)</f>
        <v/>
      </c>
      <c r="AB408" s="32">
        <f>N(AB407)+AA408</f>
        <v/>
      </c>
      <c r="AC408" s="32">
        <f>IF(AA408=1,AB408,"")</f>
        <v/>
      </c>
      <c r="AD408" s="32">
        <f>IF(D408="","",IF(LEN(D408)=10,"+1"&amp;D408,IF(AND(LEN(D408)=11,LEFT(D408,1)="1"),"+"&amp;D408,IF(LEFT(C408,1)="+","+"&amp;D408,D408))))</f>
        <v/>
      </c>
      <c r="AE408" s="32">
        <f>IF(B408="","",PROPER(IFERROR(LEFT(B408,FIND(" ",B408)-1),B408)))</f>
        <v/>
      </c>
      <c r="AF408" s="32">
        <f>SUBSTITUTE(SUBSTITUTE(SUBSTITUTE(SUBSTITUTE(SUBSTITUTE(SUBSTITUTE(SUBSTITUTE(SUBSTITUTE(SUBSTITUTE(SUBSTITUTE(AE408,"%","%25"),"&amp;","%26"),"#","%23"),"+","%2B"),"=","%3D"),"?","%3F"),CHAR(34),"%22"),CHAR(10),"%0A"),CHAR(13),"")," ","+")</f>
        <v/>
      </c>
      <c r="AG408" s="32">
        <f>IF(OR(AD408="",AE408=""),"",'Start Here'!$B$20&amp;"#p="&amp;SUBSTITUTE(AD408,"+","%2B")&amp;"&amp;n="&amp;AF408&amp;"&amp;m="&amp;SUBSTITUTE('Start Here'!$B$24,"{name}",AF408))</f>
        <v/>
      </c>
      <c r="AH408" s="32">
        <f>N(AH407)+W408</f>
        <v/>
      </c>
      <c r="AI408" s="32">
        <f>IF(W408=1,AH408,"")</f>
        <v/>
      </c>
    </row>
    <row r="409">
      <c r="A409" s="32">
        <f>IF(INDEX('Form Responses'!$A:$A,ROW())="","",INDEX('Form Responses'!$A:$A,ROW()))</f>
        <v/>
      </c>
      <c r="B409" s="32">
        <f>TRIM(INDEX('Form Responses'!$B:$B,ROW())&amp;"")</f>
        <v/>
      </c>
      <c r="C409" s="32">
        <f>IF(B409="","",TRIM(INDEX('Form Responses'!$C:$C,ROW())&amp;""))</f>
        <v/>
      </c>
      <c r="D409" s="32">
        <f>SUBSTITUTE(SUBSTITUTE(SUBSTITUTE(SUBSTITUTE(SUBSTITUTE(SUBSTITUTE(SUBSTITUTE(SUBSTITUTE(C409," ",""),"-",""),"(",""),")",""),".",""),"+",""),"/",""),CHAR(160),"")</f>
        <v/>
      </c>
      <c r="E409" s="32">
        <f>IF(LEN(D409)&gt;=10,RIGHT(D409,10),D409)</f>
        <v/>
      </c>
      <c r="F409" s="32">
        <f>IF(B409="","",TRIM(INDEX('Form Responses'!$D:$D,ROW())&amp;""))</f>
        <v/>
      </c>
      <c r="G409" s="32">
        <f>IF(B409="","",IF(LEFT(TRIM(INDEX('Form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09" s="32">
        <f>IF(B409="","",MAX(0,IFERROR(INT(--(INDEX('Form Responses'!$F:$F,ROW())&amp;"")),1)))</f>
        <v/>
      </c>
      <c r="I409" s="32">
        <f>IF(B409="","",MAX(0,IFERROR(INT(--(INDEX('Form Responses'!$G:$G,ROW())&amp;"")),0)))</f>
        <v/>
      </c>
      <c r="J409" s="32">
        <f>IF(B409="","",TRIM(INDEX('Form Responses'!$H:$H,ROW())&amp;""))</f>
        <v/>
      </c>
      <c r="K409" s="32">
        <f>IF(B409="","",TRIM(INDEX('Form Responses'!$I:$I,ROW())&amp;""))</f>
        <v/>
      </c>
      <c r="L409" s="32">
        <f>IF(B409="","",TRIM(INDEX('Form Responses'!$J:$J,ROW())&amp;""))</f>
        <v/>
      </c>
      <c r="M409" s="32">
        <f>IF(B409="","",TRIM(INDEX('Form Responses'!$K:$K,ROW())&amp;""))</f>
        <v/>
      </c>
      <c r="N409" s="32">
        <f>IF(B409="","",IF(E409&lt;&gt;"","P"&amp;E409,"N"&amp;B409))</f>
        <v/>
      </c>
      <c r="O409" s="32">
        <f>IF(N409="",0,IF(COUNTIF(N410:N$602,N409)=0,1,0))</f>
        <v/>
      </c>
      <c r="P409" s="32">
        <f>IF(AND(O409=1,E409&lt;&gt;""),E409,"")</f>
        <v/>
      </c>
      <c r="Q409" s="32">
        <f>IF(O409=1,B409,"")</f>
        <v/>
      </c>
      <c r="R409" s="32">
        <f>IF(O409&lt;&gt;1,"",IF(E409&lt;&gt;"",IFERROR(MATCH(E409,Guests!$S$6:$S$505,0)+5,IFERROR(MATCH(B409,Guests!$A$6:$A$505,0)+5,"")),IFERROR(MATCH(B409,Guests!$A$6:$A$505,0)+5,"")))</f>
        <v/>
      </c>
      <c r="S409" s="32">
        <f>IF(R409="","",TRIM(INDEX(Guests!$E$1:$E$505,R409)&amp;""))</f>
        <v/>
      </c>
      <c r="T409" s="32">
        <f>IF(R409="","",IF(S409="",1,COUNTIF(Guests!$E$6:$E$505,S409)))</f>
        <v/>
      </c>
      <c r="U409" s="32">
        <f>IF(R409="","",IF(S409="",1,IF(COUNTIF(S$1:S408,S409)=0,1,0)))</f>
        <v/>
      </c>
      <c r="V409" s="32">
        <f>IF(AND(R409&lt;&gt;"",G409="Attending",U409=1),MAX(0,H409+I409-T409),0)</f>
        <v/>
      </c>
      <c r="W409" s="32">
        <f>IF(AND(O409=1,R409=""),1,0)</f>
        <v/>
      </c>
      <c r="X409" s="32">
        <f>IF(B409="",0,H409+I409)</f>
        <v/>
      </c>
      <c r="Y409" s="32">
        <f>N(Y408)+O409</f>
        <v/>
      </c>
      <c r="Z409" s="32">
        <f>IF(O409=1,Y409,"")</f>
        <v/>
      </c>
      <c r="AA409" s="32">
        <f>IF(AND(W409=1,G409="Not sure yet"),1,0)</f>
        <v/>
      </c>
      <c r="AB409" s="32">
        <f>N(AB408)+AA409</f>
        <v/>
      </c>
      <c r="AC409" s="32">
        <f>IF(AA409=1,AB409,"")</f>
        <v/>
      </c>
      <c r="AD409" s="32">
        <f>IF(D409="","",IF(LEN(D409)=10,"+1"&amp;D409,IF(AND(LEN(D409)=11,LEFT(D409,1)="1"),"+"&amp;D409,IF(LEFT(C409,1)="+","+"&amp;D409,D409))))</f>
        <v/>
      </c>
      <c r="AE409" s="32">
        <f>IF(B409="","",PROPER(IFERROR(LEFT(B409,FIND(" ",B409)-1),B409)))</f>
        <v/>
      </c>
      <c r="AF409" s="32">
        <f>SUBSTITUTE(SUBSTITUTE(SUBSTITUTE(SUBSTITUTE(SUBSTITUTE(SUBSTITUTE(SUBSTITUTE(SUBSTITUTE(SUBSTITUTE(SUBSTITUTE(AE409,"%","%25"),"&amp;","%26"),"#","%23"),"+","%2B"),"=","%3D"),"?","%3F"),CHAR(34),"%22"),CHAR(10),"%0A"),CHAR(13),"")," ","+")</f>
        <v/>
      </c>
      <c r="AG409" s="32">
        <f>IF(OR(AD409="",AE409=""),"",'Start Here'!$B$20&amp;"#p="&amp;SUBSTITUTE(AD409,"+","%2B")&amp;"&amp;n="&amp;AF409&amp;"&amp;m="&amp;SUBSTITUTE('Start Here'!$B$24,"{name}",AF409))</f>
        <v/>
      </c>
      <c r="AH409" s="32">
        <f>N(AH408)+W409</f>
        <v/>
      </c>
      <c r="AI409" s="32">
        <f>IF(W409=1,AH409,"")</f>
        <v/>
      </c>
    </row>
    <row r="410">
      <c r="A410" s="32">
        <f>IF(INDEX('Form Responses'!$A:$A,ROW())="","",INDEX('Form Responses'!$A:$A,ROW()))</f>
        <v/>
      </c>
      <c r="B410" s="32">
        <f>TRIM(INDEX('Form Responses'!$B:$B,ROW())&amp;"")</f>
        <v/>
      </c>
      <c r="C410" s="32">
        <f>IF(B410="","",TRIM(INDEX('Form Responses'!$C:$C,ROW())&amp;""))</f>
        <v/>
      </c>
      <c r="D410" s="32">
        <f>SUBSTITUTE(SUBSTITUTE(SUBSTITUTE(SUBSTITUTE(SUBSTITUTE(SUBSTITUTE(SUBSTITUTE(SUBSTITUTE(C410," ",""),"-",""),"(",""),")",""),".",""),"+",""),"/",""),CHAR(160),"")</f>
        <v/>
      </c>
      <c r="E410" s="32">
        <f>IF(LEN(D410)&gt;=10,RIGHT(D410,10),D410)</f>
        <v/>
      </c>
      <c r="F410" s="32">
        <f>IF(B410="","",TRIM(INDEX('Form Responses'!$D:$D,ROW())&amp;""))</f>
        <v/>
      </c>
      <c r="G410" s="32">
        <f>IF(B410="","",IF(LEFT(TRIM(INDEX('Form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0" s="32">
        <f>IF(B410="","",MAX(0,IFERROR(INT(--(INDEX('Form Responses'!$F:$F,ROW())&amp;"")),1)))</f>
        <v/>
      </c>
      <c r="I410" s="32">
        <f>IF(B410="","",MAX(0,IFERROR(INT(--(INDEX('Form Responses'!$G:$G,ROW())&amp;"")),0)))</f>
        <v/>
      </c>
      <c r="J410" s="32">
        <f>IF(B410="","",TRIM(INDEX('Form Responses'!$H:$H,ROW())&amp;""))</f>
        <v/>
      </c>
      <c r="K410" s="32">
        <f>IF(B410="","",TRIM(INDEX('Form Responses'!$I:$I,ROW())&amp;""))</f>
        <v/>
      </c>
      <c r="L410" s="32">
        <f>IF(B410="","",TRIM(INDEX('Form Responses'!$J:$J,ROW())&amp;""))</f>
        <v/>
      </c>
      <c r="M410" s="32">
        <f>IF(B410="","",TRIM(INDEX('Form Responses'!$K:$K,ROW())&amp;""))</f>
        <v/>
      </c>
      <c r="N410" s="32">
        <f>IF(B410="","",IF(E410&lt;&gt;"","P"&amp;E410,"N"&amp;B410))</f>
        <v/>
      </c>
      <c r="O410" s="32">
        <f>IF(N410="",0,IF(COUNTIF(N411:N$602,N410)=0,1,0))</f>
        <v/>
      </c>
      <c r="P410" s="32">
        <f>IF(AND(O410=1,E410&lt;&gt;""),E410,"")</f>
        <v/>
      </c>
      <c r="Q410" s="32">
        <f>IF(O410=1,B410,"")</f>
        <v/>
      </c>
      <c r="R410" s="32">
        <f>IF(O410&lt;&gt;1,"",IF(E410&lt;&gt;"",IFERROR(MATCH(E410,Guests!$S$6:$S$505,0)+5,IFERROR(MATCH(B410,Guests!$A$6:$A$505,0)+5,"")),IFERROR(MATCH(B410,Guests!$A$6:$A$505,0)+5,"")))</f>
        <v/>
      </c>
      <c r="S410" s="32">
        <f>IF(R410="","",TRIM(INDEX(Guests!$E$1:$E$505,R410)&amp;""))</f>
        <v/>
      </c>
      <c r="T410" s="32">
        <f>IF(R410="","",IF(S410="",1,COUNTIF(Guests!$E$6:$E$505,S410)))</f>
        <v/>
      </c>
      <c r="U410" s="32">
        <f>IF(R410="","",IF(S410="",1,IF(COUNTIF(S$1:S409,S410)=0,1,0)))</f>
        <v/>
      </c>
      <c r="V410" s="32">
        <f>IF(AND(R410&lt;&gt;"",G410="Attending",U410=1),MAX(0,H410+I410-T410),0)</f>
        <v/>
      </c>
      <c r="W410" s="32">
        <f>IF(AND(O410=1,R410=""),1,0)</f>
        <v/>
      </c>
      <c r="X410" s="32">
        <f>IF(B410="",0,H410+I410)</f>
        <v/>
      </c>
      <c r="Y410" s="32">
        <f>N(Y409)+O410</f>
        <v/>
      </c>
      <c r="Z410" s="32">
        <f>IF(O410=1,Y410,"")</f>
        <v/>
      </c>
      <c r="AA410" s="32">
        <f>IF(AND(W410=1,G410="Not sure yet"),1,0)</f>
        <v/>
      </c>
      <c r="AB410" s="32">
        <f>N(AB409)+AA410</f>
        <v/>
      </c>
      <c r="AC410" s="32">
        <f>IF(AA410=1,AB410,"")</f>
        <v/>
      </c>
      <c r="AD410" s="32">
        <f>IF(D410="","",IF(LEN(D410)=10,"+1"&amp;D410,IF(AND(LEN(D410)=11,LEFT(D410,1)="1"),"+"&amp;D410,IF(LEFT(C410,1)="+","+"&amp;D410,D410))))</f>
        <v/>
      </c>
      <c r="AE410" s="32">
        <f>IF(B410="","",PROPER(IFERROR(LEFT(B410,FIND(" ",B410)-1),B410)))</f>
        <v/>
      </c>
      <c r="AF410" s="32">
        <f>SUBSTITUTE(SUBSTITUTE(SUBSTITUTE(SUBSTITUTE(SUBSTITUTE(SUBSTITUTE(SUBSTITUTE(SUBSTITUTE(SUBSTITUTE(SUBSTITUTE(AE410,"%","%25"),"&amp;","%26"),"#","%23"),"+","%2B"),"=","%3D"),"?","%3F"),CHAR(34),"%22"),CHAR(10),"%0A"),CHAR(13),"")," ","+")</f>
        <v/>
      </c>
      <c r="AG410" s="32">
        <f>IF(OR(AD410="",AE410=""),"",'Start Here'!$B$20&amp;"#p="&amp;SUBSTITUTE(AD410,"+","%2B")&amp;"&amp;n="&amp;AF410&amp;"&amp;m="&amp;SUBSTITUTE('Start Here'!$B$24,"{name}",AF410))</f>
        <v/>
      </c>
      <c r="AH410" s="32">
        <f>N(AH409)+W410</f>
        <v/>
      </c>
      <c r="AI410" s="32">
        <f>IF(W410=1,AH410,"")</f>
        <v/>
      </c>
    </row>
    <row r="411">
      <c r="A411" s="32">
        <f>IF(INDEX('Form Responses'!$A:$A,ROW())="","",INDEX('Form Responses'!$A:$A,ROW()))</f>
        <v/>
      </c>
      <c r="B411" s="32">
        <f>TRIM(INDEX('Form Responses'!$B:$B,ROW())&amp;"")</f>
        <v/>
      </c>
      <c r="C411" s="32">
        <f>IF(B411="","",TRIM(INDEX('Form Responses'!$C:$C,ROW())&amp;""))</f>
        <v/>
      </c>
      <c r="D411" s="32">
        <f>SUBSTITUTE(SUBSTITUTE(SUBSTITUTE(SUBSTITUTE(SUBSTITUTE(SUBSTITUTE(SUBSTITUTE(SUBSTITUTE(C411," ",""),"-",""),"(",""),")",""),".",""),"+",""),"/",""),CHAR(160),"")</f>
        <v/>
      </c>
      <c r="E411" s="32">
        <f>IF(LEN(D411)&gt;=10,RIGHT(D411,10),D411)</f>
        <v/>
      </c>
      <c r="F411" s="32">
        <f>IF(B411="","",TRIM(INDEX('Form Responses'!$D:$D,ROW())&amp;""))</f>
        <v/>
      </c>
      <c r="G411" s="32">
        <f>IF(B411="","",IF(LEFT(TRIM(INDEX('Form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1" s="32">
        <f>IF(B411="","",MAX(0,IFERROR(INT(--(INDEX('Form Responses'!$F:$F,ROW())&amp;"")),1)))</f>
        <v/>
      </c>
      <c r="I411" s="32">
        <f>IF(B411="","",MAX(0,IFERROR(INT(--(INDEX('Form Responses'!$G:$G,ROW())&amp;"")),0)))</f>
        <v/>
      </c>
      <c r="J411" s="32">
        <f>IF(B411="","",TRIM(INDEX('Form Responses'!$H:$H,ROW())&amp;""))</f>
        <v/>
      </c>
      <c r="K411" s="32">
        <f>IF(B411="","",TRIM(INDEX('Form Responses'!$I:$I,ROW())&amp;""))</f>
        <v/>
      </c>
      <c r="L411" s="32">
        <f>IF(B411="","",TRIM(INDEX('Form Responses'!$J:$J,ROW())&amp;""))</f>
        <v/>
      </c>
      <c r="M411" s="32">
        <f>IF(B411="","",TRIM(INDEX('Form Responses'!$K:$K,ROW())&amp;""))</f>
        <v/>
      </c>
      <c r="N411" s="32">
        <f>IF(B411="","",IF(E411&lt;&gt;"","P"&amp;E411,"N"&amp;B411))</f>
        <v/>
      </c>
      <c r="O411" s="32">
        <f>IF(N411="",0,IF(COUNTIF(N412:N$602,N411)=0,1,0))</f>
        <v/>
      </c>
      <c r="P411" s="32">
        <f>IF(AND(O411=1,E411&lt;&gt;""),E411,"")</f>
        <v/>
      </c>
      <c r="Q411" s="32">
        <f>IF(O411=1,B411,"")</f>
        <v/>
      </c>
      <c r="R411" s="32">
        <f>IF(O411&lt;&gt;1,"",IF(E411&lt;&gt;"",IFERROR(MATCH(E411,Guests!$S$6:$S$505,0)+5,IFERROR(MATCH(B411,Guests!$A$6:$A$505,0)+5,"")),IFERROR(MATCH(B411,Guests!$A$6:$A$505,0)+5,"")))</f>
        <v/>
      </c>
      <c r="S411" s="32">
        <f>IF(R411="","",TRIM(INDEX(Guests!$E$1:$E$505,R411)&amp;""))</f>
        <v/>
      </c>
      <c r="T411" s="32">
        <f>IF(R411="","",IF(S411="",1,COUNTIF(Guests!$E$6:$E$505,S411)))</f>
        <v/>
      </c>
      <c r="U411" s="32">
        <f>IF(R411="","",IF(S411="",1,IF(COUNTIF(S$1:S410,S411)=0,1,0)))</f>
        <v/>
      </c>
      <c r="V411" s="32">
        <f>IF(AND(R411&lt;&gt;"",G411="Attending",U411=1),MAX(0,H411+I411-T411),0)</f>
        <v/>
      </c>
      <c r="W411" s="32">
        <f>IF(AND(O411=1,R411=""),1,0)</f>
        <v/>
      </c>
      <c r="X411" s="32">
        <f>IF(B411="",0,H411+I411)</f>
        <v/>
      </c>
      <c r="Y411" s="32">
        <f>N(Y410)+O411</f>
        <v/>
      </c>
      <c r="Z411" s="32">
        <f>IF(O411=1,Y411,"")</f>
        <v/>
      </c>
      <c r="AA411" s="32">
        <f>IF(AND(W411=1,G411="Not sure yet"),1,0)</f>
        <v/>
      </c>
      <c r="AB411" s="32">
        <f>N(AB410)+AA411</f>
        <v/>
      </c>
      <c r="AC411" s="32">
        <f>IF(AA411=1,AB411,"")</f>
        <v/>
      </c>
      <c r="AD411" s="32">
        <f>IF(D411="","",IF(LEN(D411)=10,"+1"&amp;D411,IF(AND(LEN(D411)=11,LEFT(D411,1)="1"),"+"&amp;D411,IF(LEFT(C411,1)="+","+"&amp;D411,D411))))</f>
        <v/>
      </c>
      <c r="AE411" s="32">
        <f>IF(B411="","",PROPER(IFERROR(LEFT(B411,FIND(" ",B411)-1),B411)))</f>
        <v/>
      </c>
      <c r="AF411" s="32">
        <f>SUBSTITUTE(SUBSTITUTE(SUBSTITUTE(SUBSTITUTE(SUBSTITUTE(SUBSTITUTE(SUBSTITUTE(SUBSTITUTE(SUBSTITUTE(SUBSTITUTE(AE411,"%","%25"),"&amp;","%26"),"#","%23"),"+","%2B"),"=","%3D"),"?","%3F"),CHAR(34),"%22"),CHAR(10),"%0A"),CHAR(13),"")," ","+")</f>
        <v/>
      </c>
      <c r="AG411" s="32">
        <f>IF(OR(AD411="",AE411=""),"",'Start Here'!$B$20&amp;"#p="&amp;SUBSTITUTE(AD411,"+","%2B")&amp;"&amp;n="&amp;AF411&amp;"&amp;m="&amp;SUBSTITUTE('Start Here'!$B$24,"{name}",AF411))</f>
        <v/>
      </c>
      <c r="AH411" s="32">
        <f>N(AH410)+W411</f>
        <v/>
      </c>
      <c r="AI411" s="32">
        <f>IF(W411=1,AH411,"")</f>
        <v/>
      </c>
    </row>
    <row r="412">
      <c r="A412" s="32">
        <f>IF(INDEX('Form Responses'!$A:$A,ROW())="","",INDEX('Form Responses'!$A:$A,ROW()))</f>
        <v/>
      </c>
      <c r="B412" s="32">
        <f>TRIM(INDEX('Form Responses'!$B:$B,ROW())&amp;"")</f>
        <v/>
      </c>
      <c r="C412" s="32">
        <f>IF(B412="","",TRIM(INDEX('Form Responses'!$C:$C,ROW())&amp;""))</f>
        <v/>
      </c>
      <c r="D412" s="32">
        <f>SUBSTITUTE(SUBSTITUTE(SUBSTITUTE(SUBSTITUTE(SUBSTITUTE(SUBSTITUTE(SUBSTITUTE(SUBSTITUTE(C412," ",""),"-",""),"(",""),")",""),".",""),"+",""),"/",""),CHAR(160),"")</f>
        <v/>
      </c>
      <c r="E412" s="32">
        <f>IF(LEN(D412)&gt;=10,RIGHT(D412,10),D412)</f>
        <v/>
      </c>
      <c r="F412" s="32">
        <f>IF(B412="","",TRIM(INDEX('Form Responses'!$D:$D,ROW())&amp;""))</f>
        <v/>
      </c>
      <c r="G412" s="32">
        <f>IF(B412="","",IF(LEFT(TRIM(INDEX('Form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2" s="32">
        <f>IF(B412="","",MAX(0,IFERROR(INT(--(INDEX('Form Responses'!$F:$F,ROW())&amp;"")),1)))</f>
        <v/>
      </c>
      <c r="I412" s="32">
        <f>IF(B412="","",MAX(0,IFERROR(INT(--(INDEX('Form Responses'!$G:$G,ROW())&amp;"")),0)))</f>
        <v/>
      </c>
      <c r="J412" s="32">
        <f>IF(B412="","",TRIM(INDEX('Form Responses'!$H:$H,ROW())&amp;""))</f>
        <v/>
      </c>
      <c r="K412" s="32">
        <f>IF(B412="","",TRIM(INDEX('Form Responses'!$I:$I,ROW())&amp;""))</f>
        <v/>
      </c>
      <c r="L412" s="32">
        <f>IF(B412="","",TRIM(INDEX('Form Responses'!$J:$J,ROW())&amp;""))</f>
        <v/>
      </c>
      <c r="M412" s="32">
        <f>IF(B412="","",TRIM(INDEX('Form Responses'!$K:$K,ROW())&amp;""))</f>
        <v/>
      </c>
      <c r="N412" s="32">
        <f>IF(B412="","",IF(E412&lt;&gt;"","P"&amp;E412,"N"&amp;B412))</f>
        <v/>
      </c>
      <c r="O412" s="32">
        <f>IF(N412="",0,IF(COUNTIF(N413:N$602,N412)=0,1,0))</f>
        <v/>
      </c>
      <c r="P412" s="32">
        <f>IF(AND(O412=1,E412&lt;&gt;""),E412,"")</f>
        <v/>
      </c>
      <c r="Q412" s="32">
        <f>IF(O412=1,B412,"")</f>
        <v/>
      </c>
      <c r="R412" s="32">
        <f>IF(O412&lt;&gt;1,"",IF(E412&lt;&gt;"",IFERROR(MATCH(E412,Guests!$S$6:$S$505,0)+5,IFERROR(MATCH(B412,Guests!$A$6:$A$505,0)+5,"")),IFERROR(MATCH(B412,Guests!$A$6:$A$505,0)+5,"")))</f>
        <v/>
      </c>
      <c r="S412" s="32">
        <f>IF(R412="","",TRIM(INDEX(Guests!$E$1:$E$505,R412)&amp;""))</f>
        <v/>
      </c>
      <c r="T412" s="32">
        <f>IF(R412="","",IF(S412="",1,COUNTIF(Guests!$E$6:$E$505,S412)))</f>
        <v/>
      </c>
      <c r="U412" s="32">
        <f>IF(R412="","",IF(S412="",1,IF(COUNTIF(S$1:S411,S412)=0,1,0)))</f>
        <v/>
      </c>
      <c r="V412" s="32">
        <f>IF(AND(R412&lt;&gt;"",G412="Attending",U412=1),MAX(0,H412+I412-T412),0)</f>
        <v/>
      </c>
      <c r="W412" s="32">
        <f>IF(AND(O412=1,R412=""),1,0)</f>
        <v/>
      </c>
      <c r="X412" s="32">
        <f>IF(B412="",0,H412+I412)</f>
        <v/>
      </c>
      <c r="Y412" s="32">
        <f>N(Y411)+O412</f>
        <v/>
      </c>
      <c r="Z412" s="32">
        <f>IF(O412=1,Y412,"")</f>
        <v/>
      </c>
      <c r="AA412" s="32">
        <f>IF(AND(W412=1,G412="Not sure yet"),1,0)</f>
        <v/>
      </c>
      <c r="AB412" s="32">
        <f>N(AB411)+AA412</f>
        <v/>
      </c>
      <c r="AC412" s="32">
        <f>IF(AA412=1,AB412,"")</f>
        <v/>
      </c>
      <c r="AD412" s="32">
        <f>IF(D412="","",IF(LEN(D412)=10,"+1"&amp;D412,IF(AND(LEN(D412)=11,LEFT(D412,1)="1"),"+"&amp;D412,IF(LEFT(C412,1)="+","+"&amp;D412,D412))))</f>
        <v/>
      </c>
      <c r="AE412" s="32">
        <f>IF(B412="","",PROPER(IFERROR(LEFT(B412,FIND(" ",B412)-1),B412)))</f>
        <v/>
      </c>
      <c r="AF412" s="32">
        <f>SUBSTITUTE(SUBSTITUTE(SUBSTITUTE(SUBSTITUTE(SUBSTITUTE(SUBSTITUTE(SUBSTITUTE(SUBSTITUTE(SUBSTITUTE(SUBSTITUTE(AE412,"%","%25"),"&amp;","%26"),"#","%23"),"+","%2B"),"=","%3D"),"?","%3F"),CHAR(34),"%22"),CHAR(10),"%0A"),CHAR(13),"")," ","+")</f>
        <v/>
      </c>
      <c r="AG412" s="32">
        <f>IF(OR(AD412="",AE412=""),"",'Start Here'!$B$20&amp;"#p="&amp;SUBSTITUTE(AD412,"+","%2B")&amp;"&amp;n="&amp;AF412&amp;"&amp;m="&amp;SUBSTITUTE('Start Here'!$B$24,"{name}",AF412))</f>
        <v/>
      </c>
      <c r="AH412" s="32">
        <f>N(AH411)+W412</f>
        <v/>
      </c>
      <c r="AI412" s="32">
        <f>IF(W412=1,AH412,"")</f>
        <v/>
      </c>
    </row>
    <row r="413">
      <c r="A413" s="32">
        <f>IF(INDEX('Form Responses'!$A:$A,ROW())="","",INDEX('Form Responses'!$A:$A,ROW()))</f>
        <v/>
      </c>
      <c r="B413" s="32">
        <f>TRIM(INDEX('Form Responses'!$B:$B,ROW())&amp;"")</f>
        <v/>
      </c>
      <c r="C413" s="32">
        <f>IF(B413="","",TRIM(INDEX('Form Responses'!$C:$C,ROW())&amp;""))</f>
        <v/>
      </c>
      <c r="D413" s="32">
        <f>SUBSTITUTE(SUBSTITUTE(SUBSTITUTE(SUBSTITUTE(SUBSTITUTE(SUBSTITUTE(SUBSTITUTE(SUBSTITUTE(C413," ",""),"-",""),"(",""),")",""),".",""),"+",""),"/",""),CHAR(160),"")</f>
        <v/>
      </c>
      <c r="E413" s="32">
        <f>IF(LEN(D413)&gt;=10,RIGHT(D413,10),D413)</f>
        <v/>
      </c>
      <c r="F413" s="32">
        <f>IF(B413="","",TRIM(INDEX('Form Responses'!$D:$D,ROW())&amp;""))</f>
        <v/>
      </c>
      <c r="G413" s="32">
        <f>IF(B413="","",IF(LEFT(TRIM(INDEX('Form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3" s="32">
        <f>IF(B413="","",MAX(0,IFERROR(INT(--(INDEX('Form Responses'!$F:$F,ROW())&amp;"")),1)))</f>
        <v/>
      </c>
      <c r="I413" s="32">
        <f>IF(B413="","",MAX(0,IFERROR(INT(--(INDEX('Form Responses'!$G:$G,ROW())&amp;"")),0)))</f>
        <v/>
      </c>
      <c r="J413" s="32">
        <f>IF(B413="","",TRIM(INDEX('Form Responses'!$H:$H,ROW())&amp;""))</f>
        <v/>
      </c>
      <c r="K413" s="32">
        <f>IF(B413="","",TRIM(INDEX('Form Responses'!$I:$I,ROW())&amp;""))</f>
        <v/>
      </c>
      <c r="L413" s="32">
        <f>IF(B413="","",TRIM(INDEX('Form Responses'!$J:$J,ROW())&amp;""))</f>
        <v/>
      </c>
      <c r="M413" s="32">
        <f>IF(B413="","",TRIM(INDEX('Form Responses'!$K:$K,ROW())&amp;""))</f>
        <v/>
      </c>
      <c r="N413" s="32">
        <f>IF(B413="","",IF(E413&lt;&gt;"","P"&amp;E413,"N"&amp;B413))</f>
        <v/>
      </c>
      <c r="O413" s="32">
        <f>IF(N413="",0,IF(COUNTIF(N414:N$602,N413)=0,1,0))</f>
        <v/>
      </c>
      <c r="P413" s="32">
        <f>IF(AND(O413=1,E413&lt;&gt;""),E413,"")</f>
        <v/>
      </c>
      <c r="Q413" s="32">
        <f>IF(O413=1,B413,"")</f>
        <v/>
      </c>
      <c r="R413" s="32">
        <f>IF(O413&lt;&gt;1,"",IF(E413&lt;&gt;"",IFERROR(MATCH(E413,Guests!$S$6:$S$505,0)+5,IFERROR(MATCH(B413,Guests!$A$6:$A$505,0)+5,"")),IFERROR(MATCH(B413,Guests!$A$6:$A$505,0)+5,"")))</f>
        <v/>
      </c>
      <c r="S413" s="32">
        <f>IF(R413="","",TRIM(INDEX(Guests!$E$1:$E$505,R413)&amp;""))</f>
        <v/>
      </c>
      <c r="T413" s="32">
        <f>IF(R413="","",IF(S413="",1,COUNTIF(Guests!$E$6:$E$505,S413)))</f>
        <v/>
      </c>
      <c r="U413" s="32">
        <f>IF(R413="","",IF(S413="",1,IF(COUNTIF(S$1:S412,S413)=0,1,0)))</f>
        <v/>
      </c>
      <c r="V413" s="32">
        <f>IF(AND(R413&lt;&gt;"",G413="Attending",U413=1),MAX(0,H413+I413-T413),0)</f>
        <v/>
      </c>
      <c r="W413" s="32">
        <f>IF(AND(O413=1,R413=""),1,0)</f>
        <v/>
      </c>
      <c r="X413" s="32">
        <f>IF(B413="",0,H413+I413)</f>
        <v/>
      </c>
      <c r="Y413" s="32">
        <f>N(Y412)+O413</f>
        <v/>
      </c>
      <c r="Z413" s="32">
        <f>IF(O413=1,Y413,"")</f>
        <v/>
      </c>
      <c r="AA413" s="32">
        <f>IF(AND(W413=1,G413="Not sure yet"),1,0)</f>
        <v/>
      </c>
      <c r="AB413" s="32">
        <f>N(AB412)+AA413</f>
        <v/>
      </c>
      <c r="AC413" s="32">
        <f>IF(AA413=1,AB413,"")</f>
        <v/>
      </c>
      <c r="AD413" s="32">
        <f>IF(D413="","",IF(LEN(D413)=10,"+1"&amp;D413,IF(AND(LEN(D413)=11,LEFT(D413,1)="1"),"+"&amp;D413,IF(LEFT(C413,1)="+","+"&amp;D413,D413))))</f>
        <v/>
      </c>
      <c r="AE413" s="32">
        <f>IF(B413="","",PROPER(IFERROR(LEFT(B413,FIND(" ",B413)-1),B413)))</f>
        <v/>
      </c>
      <c r="AF413" s="32">
        <f>SUBSTITUTE(SUBSTITUTE(SUBSTITUTE(SUBSTITUTE(SUBSTITUTE(SUBSTITUTE(SUBSTITUTE(SUBSTITUTE(SUBSTITUTE(SUBSTITUTE(AE413,"%","%25"),"&amp;","%26"),"#","%23"),"+","%2B"),"=","%3D"),"?","%3F"),CHAR(34),"%22"),CHAR(10),"%0A"),CHAR(13),"")," ","+")</f>
        <v/>
      </c>
      <c r="AG413" s="32">
        <f>IF(OR(AD413="",AE413=""),"",'Start Here'!$B$20&amp;"#p="&amp;SUBSTITUTE(AD413,"+","%2B")&amp;"&amp;n="&amp;AF413&amp;"&amp;m="&amp;SUBSTITUTE('Start Here'!$B$24,"{name}",AF413))</f>
        <v/>
      </c>
      <c r="AH413" s="32">
        <f>N(AH412)+W413</f>
        <v/>
      </c>
      <c r="AI413" s="32">
        <f>IF(W413=1,AH413,"")</f>
        <v/>
      </c>
    </row>
    <row r="414">
      <c r="A414" s="32">
        <f>IF(INDEX('Form Responses'!$A:$A,ROW())="","",INDEX('Form Responses'!$A:$A,ROW()))</f>
        <v/>
      </c>
      <c r="B414" s="32">
        <f>TRIM(INDEX('Form Responses'!$B:$B,ROW())&amp;"")</f>
        <v/>
      </c>
      <c r="C414" s="32">
        <f>IF(B414="","",TRIM(INDEX('Form Responses'!$C:$C,ROW())&amp;""))</f>
        <v/>
      </c>
      <c r="D414" s="32">
        <f>SUBSTITUTE(SUBSTITUTE(SUBSTITUTE(SUBSTITUTE(SUBSTITUTE(SUBSTITUTE(SUBSTITUTE(SUBSTITUTE(C414," ",""),"-",""),"(",""),")",""),".",""),"+",""),"/",""),CHAR(160),"")</f>
        <v/>
      </c>
      <c r="E414" s="32">
        <f>IF(LEN(D414)&gt;=10,RIGHT(D414,10),D414)</f>
        <v/>
      </c>
      <c r="F414" s="32">
        <f>IF(B414="","",TRIM(INDEX('Form Responses'!$D:$D,ROW())&amp;""))</f>
        <v/>
      </c>
      <c r="G414" s="32">
        <f>IF(B414="","",IF(LEFT(TRIM(INDEX('Form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4" s="32">
        <f>IF(B414="","",MAX(0,IFERROR(INT(--(INDEX('Form Responses'!$F:$F,ROW())&amp;"")),1)))</f>
        <v/>
      </c>
      <c r="I414" s="32">
        <f>IF(B414="","",MAX(0,IFERROR(INT(--(INDEX('Form Responses'!$G:$G,ROW())&amp;"")),0)))</f>
        <v/>
      </c>
      <c r="J414" s="32">
        <f>IF(B414="","",TRIM(INDEX('Form Responses'!$H:$H,ROW())&amp;""))</f>
        <v/>
      </c>
      <c r="K414" s="32">
        <f>IF(B414="","",TRIM(INDEX('Form Responses'!$I:$I,ROW())&amp;""))</f>
        <v/>
      </c>
      <c r="L414" s="32">
        <f>IF(B414="","",TRIM(INDEX('Form Responses'!$J:$J,ROW())&amp;""))</f>
        <v/>
      </c>
      <c r="M414" s="32">
        <f>IF(B414="","",TRIM(INDEX('Form Responses'!$K:$K,ROW())&amp;""))</f>
        <v/>
      </c>
      <c r="N414" s="32">
        <f>IF(B414="","",IF(E414&lt;&gt;"","P"&amp;E414,"N"&amp;B414))</f>
        <v/>
      </c>
      <c r="O414" s="32">
        <f>IF(N414="",0,IF(COUNTIF(N415:N$602,N414)=0,1,0))</f>
        <v/>
      </c>
      <c r="P414" s="32">
        <f>IF(AND(O414=1,E414&lt;&gt;""),E414,"")</f>
        <v/>
      </c>
      <c r="Q414" s="32">
        <f>IF(O414=1,B414,"")</f>
        <v/>
      </c>
      <c r="R414" s="32">
        <f>IF(O414&lt;&gt;1,"",IF(E414&lt;&gt;"",IFERROR(MATCH(E414,Guests!$S$6:$S$505,0)+5,IFERROR(MATCH(B414,Guests!$A$6:$A$505,0)+5,"")),IFERROR(MATCH(B414,Guests!$A$6:$A$505,0)+5,"")))</f>
        <v/>
      </c>
      <c r="S414" s="32">
        <f>IF(R414="","",TRIM(INDEX(Guests!$E$1:$E$505,R414)&amp;""))</f>
        <v/>
      </c>
      <c r="T414" s="32">
        <f>IF(R414="","",IF(S414="",1,COUNTIF(Guests!$E$6:$E$505,S414)))</f>
        <v/>
      </c>
      <c r="U414" s="32">
        <f>IF(R414="","",IF(S414="",1,IF(COUNTIF(S$1:S413,S414)=0,1,0)))</f>
        <v/>
      </c>
      <c r="V414" s="32">
        <f>IF(AND(R414&lt;&gt;"",G414="Attending",U414=1),MAX(0,H414+I414-T414),0)</f>
        <v/>
      </c>
      <c r="W414" s="32">
        <f>IF(AND(O414=1,R414=""),1,0)</f>
        <v/>
      </c>
      <c r="X414" s="32">
        <f>IF(B414="",0,H414+I414)</f>
        <v/>
      </c>
      <c r="Y414" s="32">
        <f>N(Y413)+O414</f>
        <v/>
      </c>
      <c r="Z414" s="32">
        <f>IF(O414=1,Y414,"")</f>
        <v/>
      </c>
      <c r="AA414" s="32">
        <f>IF(AND(W414=1,G414="Not sure yet"),1,0)</f>
        <v/>
      </c>
      <c r="AB414" s="32">
        <f>N(AB413)+AA414</f>
        <v/>
      </c>
      <c r="AC414" s="32">
        <f>IF(AA414=1,AB414,"")</f>
        <v/>
      </c>
      <c r="AD414" s="32">
        <f>IF(D414="","",IF(LEN(D414)=10,"+1"&amp;D414,IF(AND(LEN(D414)=11,LEFT(D414,1)="1"),"+"&amp;D414,IF(LEFT(C414,1)="+","+"&amp;D414,D414))))</f>
        <v/>
      </c>
      <c r="AE414" s="32">
        <f>IF(B414="","",PROPER(IFERROR(LEFT(B414,FIND(" ",B414)-1),B414)))</f>
        <v/>
      </c>
      <c r="AF414" s="32">
        <f>SUBSTITUTE(SUBSTITUTE(SUBSTITUTE(SUBSTITUTE(SUBSTITUTE(SUBSTITUTE(SUBSTITUTE(SUBSTITUTE(SUBSTITUTE(SUBSTITUTE(AE414,"%","%25"),"&amp;","%26"),"#","%23"),"+","%2B"),"=","%3D"),"?","%3F"),CHAR(34),"%22"),CHAR(10),"%0A"),CHAR(13),"")," ","+")</f>
        <v/>
      </c>
      <c r="AG414" s="32">
        <f>IF(OR(AD414="",AE414=""),"",'Start Here'!$B$20&amp;"#p="&amp;SUBSTITUTE(AD414,"+","%2B")&amp;"&amp;n="&amp;AF414&amp;"&amp;m="&amp;SUBSTITUTE('Start Here'!$B$24,"{name}",AF414))</f>
        <v/>
      </c>
      <c r="AH414" s="32">
        <f>N(AH413)+W414</f>
        <v/>
      </c>
      <c r="AI414" s="32">
        <f>IF(W414=1,AH414,"")</f>
        <v/>
      </c>
    </row>
    <row r="415">
      <c r="A415" s="32">
        <f>IF(INDEX('Form Responses'!$A:$A,ROW())="","",INDEX('Form Responses'!$A:$A,ROW()))</f>
        <v/>
      </c>
      <c r="B415" s="32">
        <f>TRIM(INDEX('Form Responses'!$B:$B,ROW())&amp;"")</f>
        <v/>
      </c>
      <c r="C415" s="32">
        <f>IF(B415="","",TRIM(INDEX('Form Responses'!$C:$C,ROW())&amp;""))</f>
        <v/>
      </c>
      <c r="D415" s="32">
        <f>SUBSTITUTE(SUBSTITUTE(SUBSTITUTE(SUBSTITUTE(SUBSTITUTE(SUBSTITUTE(SUBSTITUTE(SUBSTITUTE(C415," ",""),"-",""),"(",""),")",""),".",""),"+",""),"/",""),CHAR(160),"")</f>
        <v/>
      </c>
      <c r="E415" s="32">
        <f>IF(LEN(D415)&gt;=10,RIGHT(D415,10),D415)</f>
        <v/>
      </c>
      <c r="F415" s="32">
        <f>IF(B415="","",TRIM(INDEX('Form Responses'!$D:$D,ROW())&amp;""))</f>
        <v/>
      </c>
      <c r="G415" s="32">
        <f>IF(B415="","",IF(LEFT(TRIM(INDEX('Form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5" s="32">
        <f>IF(B415="","",MAX(0,IFERROR(INT(--(INDEX('Form Responses'!$F:$F,ROW())&amp;"")),1)))</f>
        <v/>
      </c>
      <c r="I415" s="32">
        <f>IF(B415="","",MAX(0,IFERROR(INT(--(INDEX('Form Responses'!$G:$G,ROW())&amp;"")),0)))</f>
        <v/>
      </c>
      <c r="J415" s="32">
        <f>IF(B415="","",TRIM(INDEX('Form Responses'!$H:$H,ROW())&amp;""))</f>
        <v/>
      </c>
      <c r="K415" s="32">
        <f>IF(B415="","",TRIM(INDEX('Form Responses'!$I:$I,ROW())&amp;""))</f>
        <v/>
      </c>
      <c r="L415" s="32">
        <f>IF(B415="","",TRIM(INDEX('Form Responses'!$J:$J,ROW())&amp;""))</f>
        <v/>
      </c>
      <c r="M415" s="32">
        <f>IF(B415="","",TRIM(INDEX('Form Responses'!$K:$K,ROW())&amp;""))</f>
        <v/>
      </c>
      <c r="N415" s="32">
        <f>IF(B415="","",IF(E415&lt;&gt;"","P"&amp;E415,"N"&amp;B415))</f>
        <v/>
      </c>
      <c r="O415" s="32">
        <f>IF(N415="",0,IF(COUNTIF(N416:N$602,N415)=0,1,0))</f>
        <v/>
      </c>
      <c r="P415" s="32">
        <f>IF(AND(O415=1,E415&lt;&gt;""),E415,"")</f>
        <v/>
      </c>
      <c r="Q415" s="32">
        <f>IF(O415=1,B415,"")</f>
        <v/>
      </c>
      <c r="R415" s="32">
        <f>IF(O415&lt;&gt;1,"",IF(E415&lt;&gt;"",IFERROR(MATCH(E415,Guests!$S$6:$S$505,0)+5,IFERROR(MATCH(B415,Guests!$A$6:$A$505,0)+5,"")),IFERROR(MATCH(B415,Guests!$A$6:$A$505,0)+5,"")))</f>
        <v/>
      </c>
      <c r="S415" s="32">
        <f>IF(R415="","",TRIM(INDEX(Guests!$E$1:$E$505,R415)&amp;""))</f>
        <v/>
      </c>
      <c r="T415" s="32">
        <f>IF(R415="","",IF(S415="",1,COUNTIF(Guests!$E$6:$E$505,S415)))</f>
        <v/>
      </c>
      <c r="U415" s="32">
        <f>IF(R415="","",IF(S415="",1,IF(COUNTIF(S$1:S414,S415)=0,1,0)))</f>
        <v/>
      </c>
      <c r="V415" s="32">
        <f>IF(AND(R415&lt;&gt;"",G415="Attending",U415=1),MAX(0,H415+I415-T415),0)</f>
        <v/>
      </c>
      <c r="W415" s="32">
        <f>IF(AND(O415=1,R415=""),1,0)</f>
        <v/>
      </c>
      <c r="X415" s="32">
        <f>IF(B415="",0,H415+I415)</f>
        <v/>
      </c>
      <c r="Y415" s="32">
        <f>N(Y414)+O415</f>
        <v/>
      </c>
      <c r="Z415" s="32">
        <f>IF(O415=1,Y415,"")</f>
        <v/>
      </c>
      <c r="AA415" s="32">
        <f>IF(AND(W415=1,G415="Not sure yet"),1,0)</f>
        <v/>
      </c>
      <c r="AB415" s="32">
        <f>N(AB414)+AA415</f>
        <v/>
      </c>
      <c r="AC415" s="32">
        <f>IF(AA415=1,AB415,"")</f>
        <v/>
      </c>
      <c r="AD415" s="32">
        <f>IF(D415="","",IF(LEN(D415)=10,"+1"&amp;D415,IF(AND(LEN(D415)=11,LEFT(D415,1)="1"),"+"&amp;D415,IF(LEFT(C415,1)="+","+"&amp;D415,D415))))</f>
        <v/>
      </c>
      <c r="AE415" s="32">
        <f>IF(B415="","",PROPER(IFERROR(LEFT(B415,FIND(" ",B415)-1),B415)))</f>
        <v/>
      </c>
      <c r="AF415" s="32">
        <f>SUBSTITUTE(SUBSTITUTE(SUBSTITUTE(SUBSTITUTE(SUBSTITUTE(SUBSTITUTE(SUBSTITUTE(SUBSTITUTE(SUBSTITUTE(SUBSTITUTE(AE415,"%","%25"),"&amp;","%26"),"#","%23"),"+","%2B"),"=","%3D"),"?","%3F"),CHAR(34),"%22"),CHAR(10),"%0A"),CHAR(13),"")," ","+")</f>
        <v/>
      </c>
      <c r="AG415" s="32">
        <f>IF(OR(AD415="",AE415=""),"",'Start Here'!$B$20&amp;"#p="&amp;SUBSTITUTE(AD415,"+","%2B")&amp;"&amp;n="&amp;AF415&amp;"&amp;m="&amp;SUBSTITUTE('Start Here'!$B$24,"{name}",AF415))</f>
        <v/>
      </c>
      <c r="AH415" s="32">
        <f>N(AH414)+W415</f>
        <v/>
      </c>
      <c r="AI415" s="32">
        <f>IF(W415=1,AH415,"")</f>
        <v/>
      </c>
    </row>
    <row r="416">
      <c r="A416" s="32">
        <f>IF(INDEX('Form Responses'!$A:$A,ROW())="","",INDEX('Form Responses'!$A:$A,ROW()))</f>
        <v/>
      </c>
      <c r="B416" s="32">
        <f>TRIM(INDEX('Form Responses'!$B:$B,ROW())&amp;"")</f>
        <v/>
      </c>
      <c r="C416" s="32">
        <f>IF(B416="","",TRIM(INDEX('Form Responses'!$C:$C,ROW())&amp;""))</f>
        <v/>
      </c>
      <c r="D416" s="32">
        <f>SUBSTITUTE(SUBSTITUTE(SUBSTITUTE(SUBSTITUTE(SUBSTITUTE(SUBSTITUTE(SUBSTITUTE(SUBSTITUTE(C416," ",""),"-",""),"(",""),")",""),".",""),"+",""),"/",""),CHAR(160),"")</f>
        <v/>
      </c>
      <c r="E416" s="32">
        <f>IF(LEN(D416)&gt;=10,RIGHT(D416,10),D416)</f>
        <v/>
      </c>
      <c r="F416" s="32">
        <f>IF(B416="","",TRIM(INDEX('Form Responses'!$D:$D,ROW())&amp;""))</f>
        <v/>
      </c>
      <c r="G416" s="32">
        <f>IF(B416="","",IF(LEFT(TRIM(INDEX('Form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6" s="32">
        <f>IF(B416="","",MAX(0,IFERROR(INT(--(INDEX('Form Responses'!$F:$F,ROW())&amp;"")),1)))</f>
        <v/>
      </c>
      <c r="I416" s="32">
        <f>IF(B416="","",MAX(0,IFERROR(INT(--(INDEX('Form Responses'!$G:$G,ROW())&amp;"")),0)))</f>
        <v/>
      </c>
      <c r="J416" s="32">
        <f>IF(B416="","",TRIM(INDEX('Form Responses'!$H:$H,ROW())&amp;""))</f>
        <v/>
      </c>
      <c r="K416" s="32">
        <f>IF(B416="","",TRIM(INDEX('Form Responses'!$I:$I,ROW())&amp;""))</f>
        <v/>
      </c>
      <c r="L416" s="32">
        <f>IF(B416="","",TRIM(INDEX('Form Responses'!$J:$J,ROW())&amp;""))</f>
        <v/>
      </c>
      <c r="M416" s="32">
        <f>IF(B416="","",TRIM(INDEX('Form Responses'!$K:$K,ROW())&amp;""))</f>
        <v/>
      </c>
      <c r="N416" s="32">
        <f>IF(B416="","",IF(E416&lt;&gt;"","P"&amp;E416,"N"&amp;B416))</f>
        <v/>
      </c>
      <c r="O416" s="32">
        <f>IF(N416="",0,IF(COUNTIF(N417:N$602,N416)=0,1,0))</f>
        <v/>
      </c>
      <c r="P416" s="32">
        <f>IF(AND(O416=1,E416&lt;&gt;""),E416,"")</f>
        <v/>
      </c>
      <c r="Q416" s="32">
        <f>IF(O416=1,B416,"")</f>
        <v/>
      </c>
      <c r="R416" s="32">
        <f>IF(O416&lt;&gt;1,"",IF(E416&lt;&gt;"",IFERROR(MATCH(E416,Guests!$S$6:$S$505,0)+5,IFERROR(MATCH(B416,Guests!$A$6:$A$505,0)+5,"")),IFERROR(MATCH(B416,Guests!$A$6:$A$505,0)+5,"")))</f>
        <v/>
      </c>
      <c r="S416" s="32">
        <f>IF(R416="","",TRIM(INDEX(Guests!$E$1:$E$505,R416)&amp;""))</f>
        <v/>
      </c>
      <c r="T416" s="32">
        <f>IF(R416="","",IF(S416="",1,COUNTIF(Guests!$E$6:$E$505,S416)))</f>
        <v/>
      </c>
      <c r="U416" s="32">
        <f>IF(R416="","",IF(S416="",1,IF(COUNTIF(S$1:S415,S416)=0,1,0)))</f>
        <v/>
      </c>
      <c r="V416" s="32">
        <f>IF(AND(R416&lt;&gt;"",G416="Attending",U416=1),MAX(0,H416+I416-T416),0)</f>
        <v/>
      </c>
      <c r="W416" s="32">
        <f>IF(AND(O416=1,R416=""),1,0)</f>
        <v/>
      </c>
      <c r="X416" s="32">
        <f>IF(B416="",0,H416+I416)</f>
        <v/>
      </c>
      <c r="Y416" s="32">
        <f>N(Y415)+O416</f>
        <v/>
      </c>
      <c r="Z416" s="32">
        <f>IF(O416=1,Y416,"")</f>
        <v/>
      </c>
      <c r="AA416" s="32">
        <f>IF(AND(W416=1,G416="Not sure yet"),1,0)</f>
        <v/>
      </c>
      <c r="AB416" s="32">
        <f>N(AB415)+AA416</f>
        <v/>
      </c>
      <c r="AC416" s="32">
        <f>IF(AA416=1,AB416,"")</f>
        <v/>
      </c>
      <c r="AD416" s="32">
        <f>IF(D416="","",IF(LEN(D416)=10,"+1"&amp;D416,IF(AND(LEN(D416)=11,LEFT(D416,1)="1"),"+"&amp;D416,IF(LEFT(C416,1)="+","+"&amp;D416,D416))))</f>
        <v/>
      </c>
      <c r="AE416" s="32">
        <f>IF(B416="","",PROPER(IFERROR(LEFT(B416,FIND(" ",B416)-1),B416)))</f>
        <v/>
      </c>
      <c r="AF416" s="32">
        <f>SUBSTITUTE(SUBSTITUTE(SUBSTITUTE(SUBSTITUTE(SUBSTITUTE(SUBSTITUTE(SUBSTITUTE(SUBSTITUTE(SUBSTITUTE(SUBSTITUTE(AE416,"%","%25"),"&amp;","%26"),"#","%23"),"+","%2B"),"=","%3D"),"?","%3F"),CHAR(34),"%22"),CHAR(10),"%0A"),CHAR(13),"")," ","+")</f>
        <v/>
      </c>
      <c r="AG416" s="32">
        <f>IF(OR(AD416="",AE416=""),"",'Start Here'!$B$20&amp;"#p="&amp;SUBSTITUTE(AD416,"+","%2B")&amp;"&amp;n="&amp;AF416&amp;"&amp;m="&amp;SUBSTITUTE('Start Here'!$B$24,"{name}",AF416))</f>
        <v/>
      </c>
      <c r="AH416" s="32">
        <f>N(AH415)+W416</f>
        <v/>
      </c>
      <c r="AI416" s="32">
        <f>IF(W416=1,AH416,"")</f>
        <v/>
      </c>
    </row>
    <row r="417">
      <c r="A417" s="32">
        <f>IF(INDEX('Form Responses'!$A:$A,ROW())="","",INDEX('Form Responses'!$A:$A,ROW()))</f>
        <v/>
      </c>
      <c r="B417" s="32">
        <f>TRIM(INDEX('Form Responses'!$B:$B,ROW())&amp;"")</f>
        <v/>
      </c>
      <c r="C417" s="32">
        <f>IF(B417="","",TRIM(INDEX('Form Responses'!$C:$C,ROW())&amp;""))</f>
        <v/>
      </c>
      <c r="D417" s="32">
        <f>SUBSTITUTE(SUBSTITUTE(SUBSTITUTE(SUBSTITUTE(SUBSTITUTE(SUBSTITUTE(SUBSTITUTE(SUBSTITUTE(C417," ",""),"-",""),"(",""),")",""),".",""),"+",""),"/",""),CHAR(160),"")</f>
        <v/>
      </c>
      <c r="E417" s="32">
        <f>IF(LEN(D417)&gt;=10,RIGHT(D417,10),D417)</f>
        <v/>
      </c>
      <c r="F417" s="32">
        <f>IF(B417="","",TRIM(INDEX('Form Responses'!$D:$D,ROW())&amp;""))</f>
        <v/>
      </c>
      <c r="G417" s="32">
        <f>IF(B417="","",IF(LEFT(TRIM(INDEX('Form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7" s="32">
        <f>IF(B417="","",MAX(0,IFERROR(INT(--(INDEX('Form Responses'!$F:$F,ROW())&amp;"")),1)))</f>
        <v/>
      </c>
      <c r="I417" s="32">
        <f>IF(B417="","",MAX(0,IFERROR(INT(--(INDEX('Form Responses'!$G:$G,ROW())&amp;"")),0)))</f>
        <v/>
      </c>
      <c r="J417" s="32">
        <f>IF(B417="","",TRIM(INDEX('Form Responses'!$H:$H,ROW())&amp;""))</f>
        <v/>
      </c>
      <c r="K417" s="32">
        <f>IF(B417="","",TRIM(INDEX('Form Responses'!$I:$I,ROW())&amp;""))</f>
        <v/>
      </c>
      <c r="L417" s="32">
        <f>IF(B417="","",TRIM(INDEX('Form Responses'!$J:$J,ROW())&amp;""))</f>
        <v/>
      </c>
      <c r="M417" s="32">
        <f>IF(B417="","",TRIM(INDEX('Form Responses'!$K:$K,ROW())&amp;""))</f>
        <v/>
      </c>
      <c r="N417" s="32">
        <f>IF(B417="","",IF(E417&lt;&gt;"","P"&amp;E417,"N"&amp;B417))</f>
        <v/>
      </c>
      <c r="O417" s="32">
        <f>IF(N417="",0,IF(COUNTIF(N418:N$602,N417)=0,1,0))</f>
        <v/>
      </c>
      <c r="P417" s="32">
        <f>IF(AND(O417=1,E417&lt;&gt;""),E417,"")</f>
        <v/>
      </c>
      <c r="Q417" s="32">
        <f>IF(O417=1,B417,"")</f>
        <v/>
      </c>
      <c r="R417" s="32">
        <f>IF(O417&lt;&gt;1,"",IF(E417&lt;&gt;"",IFERROR(MATCH(E417,Guests!$S$6:$S$505,0)+5,IFERROR(MATCH(B417,Guests!$A$6:$A$505,0)+5,"")),IFERROR(MATCH(B417,Guests!$A$6:$A$505,0)+5,"")))</f>
        <v/>
      </c>
      <c r="S417" s="32">
        <f>IF(R417="","",TRIM(INDEX(Guests!$E$1:$E$505,R417)&amp;""))</f>
        <v/>
      </c>
      <c r="T417" s="32">
        <f>IF(R417="","",IF(S417="",1,COUNTIF(Guests!$E$6:$E$505,S417)))</f>
        <v/>
      </c>
      <c r="U417" s="32">
        <f>IF(R417="","",IF(S417="",1,IF(COUNTIF(S$1:S416,S417)=0,1,0)))</f>
        <v/>
      </c>
      <c r="V417" s="32">
        <f>IF(AND(R417&lt;&gt;"",G417="Attending",U417=1),MAX(0,H417+I417-T417),0)</f>
        <v/>
      </c>
      <c r="W417" s="32">
        <f>IF(AND(O417=1,R417=""),1,0)</f>
        <v/>
      </c>
      <c r="X417" s="32">
        <f>IF(B417="",0,H417+I417)</f>
        <v/>
      </c>
      <c r="Y417" s="32">
        <f>N(Y416)+O417</f>
        <v/>
      </c>
      <c r="Z417" s="32">
        <f>IF(O417=1,Y417,"")</f>
        <v/>
      </c>
      <c r="AA417" s="32">
        <f>IF(AND(W417=1,G417="Not sure yet"),1,0)</f>
        <v/>
      </c>
      <c r="AB417" s="32">
        <f>N(AB416)+AA417</f>
        <v/>
      </c>
      <c r="AC417" s="32">
        <f>IF(AA417=1,AB417,"")</f>
        <v/>
      </c>
      <c r="AD417" s="32">
        <f>IF(D417="","",IF(LEN(D417)=10,"+1"&amp;D417,IF(AND(LEN(D417)=11,LEFT(D417,1)="1"),"+"&amp;D417,IF(LEFT(C417,1)="+","+"&amp;D417,D417))))</f>
        <v/>
      </c>
      <c r="AE417" s="32">
        <f>IF(B417="","",PROPER(IFERROR(LEFT(B417,FIND(" ",B417)-1),B417)))</f>
        <v/>
      </c>
      <c r="AF417" s="32">
        <f>SUBSTITUTE(SUBSTITUTE(SUBSTITUTE(SUBSTITUTE(SUBSTITUTE(SUBSTITUTE(SUBSTITUTE(SUBSTITUTE(SUBSTITUTE(SUBSTITUTE(AE417,"%","%25"),"&amp;","%26"),"#","%23"),"+","%2B"),"=","%3D"),"?","%3F"),CHAR(34),"%22"),CHAR(10),"%0A"),CHAR(13),"")," ","+")</f>
        <v/>
      </c>
      <c r="AG417" s="32">
        <f>IF(OR(AD417="",AE417=""),"",'Start Here'!$B$20&amp;"#p="&amp;SUBSTITUTE(AD417,"+","%2B")&amp;"&amp;n="&amp;AF417&amp;"&amp;m="&amp;SUBSTITUTE('Start Here'!$B$24,"{name}",AF417))</f>
        <v/>
      </c>
      <c r="AH417" s="32">
        <f>N(AH416)+W417</f>
        <v/>
      </c>
      <c r="AI417" s="32">
        <f>IF(W417=1,AH417,"")</f>
        <v/>
      </c>
    </row>
    <row r="418">
      <c r="A418" s="32">
        <f>IF(INDEX('Form Responses'!$A:$A,ROW())="","",INDEX('Form Responses'!$A:$A,ROW()))</f>
        <v/>
      </c>
      <c r="B418" s="32">
        <f>TRIM(INDEX('Form Responses'!$B:$B,ROW())&amp;"")</f>
        <v/>
      </c>
      <c r="C418" s="32">
        <f>IF(B418="","",TRIM(INDEX('Form Responses'!$C:$C,ROW())&amp;""))</f>
        <v/>
      </c>
      <c r="D418" s="32">
        <f>SUBSTITUTE(SUBSTITUTE(SUBSTITUTE(SUBSTITUTE(SUBSTITUTE(SUBSTITUTE(SUBSTITUTE(SUBSTITUTE(C418," ",""),"-",""),"(",""),")",""),".",""),"+",""),"/",""),CHAR(160),"")</f>
        <v/>
      </c>
      <c r="E418" s="32">
        <f>IF(LEN(D418)&gt;=10,RIGHT(D418,10),D418)</f>
        <v/>
      </c>
      <c r="F418" s="32">
        <f>IF(B418="","",TRIM(INDEX('Form Responses'!$D:$D,ROW())&amp;""))</f>
        <v/>
      </c>
      <c r="G418" s="32">
        <f>IF(B418="","",IF(LEFT(TRIM(INDEX('Form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8" s="32">
        <f>IF(B418="","",MAX(0,IFERROR(INT(--(INDEX('Form Responses'!$F:$F,ROW())&amp;"")),1)))</f>
        <v/>
      </c>
      <c r="I418" s="32">
        <f>IF(B418="","",MAX(0,IFERROR(INT(--(INDEX('Form Responses'!$G:$G,ROW())&amp;"")),0)))</f>
        <v/>
      </c>
      <c r="J418" s="32">
        <f>IF(B418="","",TRIM(INDEX('Form Responses'!$H:$H,ROW())&amp;""))</f>
        <v/>
      </c>
      <c r="K418" s="32">
        <f>IF(B418="","",TRIM(INDEX('Form Responses'!$I:$I,ROW())&amp;""))</f>
        <v/>
      </c>
      <c r="L418" s="32">
        <f>IF(B418="","",TRIM(INDEX('Form Responses'!$J:$J,ROW())&amp;""))</f>
        <v/>
      </c>
      <c r="M418" s="32">
        <f>IF(B418="","",TRIM(INDEX('Form Responses'!$K:$K,ROW())&amp;""))</f>
        <v/>
      </c>
      <c r="N418" s="32">
        <f>IF(B418="","",IF(E418&lt;&gt;"","P"&amp;E418,"N"&amp;B418))</f>
        <v/>
      </c>
      <c r="O418" s="32">
        <f>IF(N418="",0,IF(COUNTIF(N419:N$602,N418)=0,1,0))</f>
        <v/>
      </c>
      <c r="P418" s="32">
        <f>IF(AND(O418=1,E418&lt;&gt;""),E418,"")</f>
        <v/>
      </c>
      <c r="Q418" s="32">
        <f>IF(O418=1,B418,"")</f>
        <v/>
      </c>
      <c r="R418" s="32">
        <f>IF(O418&lt;&gt;1,"",IF(E418&lt;&gt;"",IFERROR(MATCH(E418,Guests!$S$6:$S$505,0)+5,IFERROR(MATCH(B418,Guests!$A$6:$A$505,0)+5,"")),IFERROR(MATCH(B418,Guests!$A$6:$A$505,0)+5,"")))</f>
        <v/>
      </c>
      <c r="S418" s="32">
        <f>IF(R418="","",TRIM(INDEX(Guests!$E$1:$E$505,R418)&amp;""))</f>
        <v/>
      </c>
      <c r="T418" s="32">
        <f>IF(R418="","",IF(S418="",1,COUNTIF(Guests!$E$6:$E$505,S418)))</f>
        <v/>
      </c>
      <c r="U418" s="32">
        <f>IF(R418="","",IF(S418="",1,IF(COUNTIF(S$1:S417,S418)=0,1,0)))</f>
        <v/>
      </c>
      <c r="V418" s="32">
        <f>IF(AND(R418&lt;&gt;"",G418="Attending",U418=1),MAX(0,H418+I418-T418),0)</f>
        <v/>
      </c>
      <c r="W418" s="32">
        <f>IF(AND(O418=1,R418=""),1,0)</f>
        <v/>
      </c>
      <c r="X418" s="32">
        <f>IF(B418="",0,H418+I418)</f>
        <v/>
      </c>
      <c r="Y418" s="32">
        <f>N(Y417)+O418</f>
        <v/>
      </c>
      <c r="Z418" s="32">
        <f>IF(O418=1,Y418,"")</f>
        <v/>
      </c>
      <c r="AA418" s="32">
        <f>IF(AND(W418=1,G418="Not sure yet"),1,0)</f>
        <v/>
      </c>
      <c r="AB418" s="32">
        <f>N(AB417)+AA418</f>
        <v/>
      </c>
      <c r="AC418" s="32">
        <f>IF(AA418=1,AB418,"")</f>
        <v/>
      </c>
      <c r="AD418" s="32">
        <f>IF(D418="","",IF(LEN(D418)=10,"+1"&amp;D418,IF(AND(LEN(D418)=11,LEFT(D418,1)="1"),"+"&amp;D418,IF(LEFT(C418,1)="+","+"&amp;D418,D418))))</f>
        <v/>
      </c>
      <c r="AE418" s="32">
        <f>IF(B418="","",PROPER(IFERROR(LEFT(B418,FIND(" ",B418)-1),B418)))</f>
        <v/>
      </c>
      <c r="AF418" s="32">
        <f>SUBSTITUTE(SUBSTITUTE(SUBSTITUTE(SUBSTITUTE(SUBSTITUTE(SUBSTITUTE(SUBSTITUTE(SUBSTITUTE(SUBSTITUTE(SUBSTITUTE(AE418,"%","%25"),"&amp;","%26"),"#","%23"),"+","%2B"),"=","%3D"),"?","%3F"),CHAR(34),"%22"),CHAR(10),"%0A"),CHAR(13),"")," ","+")</f>
        <v/>
      </c>
      <c r="AG418" s="32">
        <f>IF(OR(AD418="",AE418=""),"",'Start Here'!$B$20&amp;"#p="&amp;SUBSTITUTE(AD418,"+","%2B")&amp;"&amp;n="&amp;AF418&amp;"&amp;m="&amp;SUBSTITUTE('Start Here'!$B$24,"{name}",AF418))</f>
        <v/>
      </c>
      <c r="AH418" s="32">
        <f>N(AH417)+W418</f>
        <v/>
      </c>
      <c r="AI418" s="32">
        <f>IF(W418=1,AH418,"")</f>
        <v/>
      </c>
    </row>
    <row r="419">
      <c r="A419" s="32">
        <f>IF(INDEX('Form Responses'!$A:$A,ROW())="","",INDEX('Form Responses'!$A:$A,ROW()))</f>
        <v/>
      </c>
      <c r="B419" s="32">
        <f>TRIM(INDEX('Form Responses'!$B:$B,ROW())&amp;"")</f>
        <v/>
      </c>
      <c r="C419" s="32">
        <f>IF(B419="","",TRIM(INDEX('Form Responses'!$C:$C,ROW())&amp;""))</f>
        <v/>
      </c>
      <c r="D419" s="32">
        <f>SUBSTITUTE(SUBSTITUTE(SUBSTITUTE(SUBSTITUTE(SUBSTITUTE(SUBSTITUTE(SUBSTITUTE(SUBSTITUTE(C419," ",""),"-",""),"(",""),")",""),".",""),"+",""),"/",""),CHAR(160),"")</f>
        <v/>
      </c>
      <c r="E419" s="32">
        <f>IF(LEN(D419)&gt;=10,RIGHT(D419,10),D419)</f>
        <v/>
      </c>
      <c r="F419" s="32">
        <f>IF(B419="","",TRIM(INDEX('Form Responses'!$D:$D,ROW())&amp;""))</f>
        <v/>
      </c>
      <c r="G419" s="32">
        <f>IF(B419="","",IF(LEFT(TRIM(INDEX('Form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19" s="32">
        <f>IF(B419="","",MAX(0,IFERROR(INT(--(INDEX('Form Responses'!$F:$F,ROW())&amp;"")),1)))</f>
        <v/>
      </c>
      <c r="I419" s="32">
        <f>IF(B419="","",MAX(0,IFERROR(INT(--(INDEX('Form Responses'!$G:$G,ROW())&amp;"")),0)))</f>
        <v/>
      </c>
      <c r="J419" s="32">
        <f>IF(B419="","",TRIM(INDEX('Form Responses'!$H:$H,ROW())&amp;""))</f>
        <v/>
      </c>
      <c r="K419" s="32">
        <f>IF(B419="","",TRIM(INDEX('Form Responses'!$I:$I,ROW())&amp;""))</f>
        <v/>
      </c>
      <c r="L419" s="32">
        <f>IF(B419="","",TRIM(INDEX('Form Responses'!$J:$J,ROW())&amp;""))</f>
        <v/>
      </c>
      <c r="M419" s="32">
        <f>IF(B419="","",TRIM(INDEX('Form Responses'!$K:$K,ROW())&amp;""))</f>
        <v/>
      </c>
      <c r="N419" s="32">
        <f>IF(B419="","",IF(E419&lt;&gt;"","P"&amp;E419,"N"&amp;B419))</f>
        <v/>
      </c>
      <c r="O419" s="32">
        <f>IF(N419="",0,IF(COUNTIF(N420:N$602,N419)=0,1,0))</f>
        <v/>
      </c>
      <c r="P419" s="32">
        <f>IF(AND(O419=1,E419&lt;&gt;""),E419,"")</f>
        <v/>
      </c>
      <c r="Q419" s="32">
        <f>IF(O419=1,B419,"")</f>
        <v/>
      </c>
      <c r="R419" s="32">
        <f>IF(O419&lt;&gt;1,"",IF(E419&lt;&gt;"",IFERROR(MATCH(E419,Guests!$S$6:$S$505,0)+5,IFERROR(MATCH(B419,Guests!$A$6:$A$505,0)+5,"")),IFERROR(MATCH(B419,Guests!$A$6:$A$505,0)+5,"")))</f>
        <v/>
      </c>
      <c r="S419" s="32">
        <f>IF(R419="","",TRIM(INDEX(Guests!$E$1:$E$505,R419)&amp;""))</f>
        <v/>
      </c>
      <c r="T419" s="32">
        <f>IF(R419="","",IF(S419="",1,COUNTIF(Guests!$E$6:$E$505,S419)))</f>
        <v/>
      </c>
      <c r="U419" s="32">
        <f>IF(R419="","",IF(S419="",1,IF(COUNTIF(S$1:S418,S419)=0,1,0)))</f>
        <v/>
      </c>
      <c r="V419" s="32">
        <f>IF(AND(R419&lt;&gt;"",G419="Attending",U419=1),MAX(0,H419+I419-T419),0)</f>
        <v/>
      </c>
      <c r="W419" s="32">
        <f>IF(AND(O419=1,R419=""),1,0)</f>
        <v/>
      </c>
      <c r="X419" s="32">
        <f>IF(B419="",0,H419+I419)</f>
        <v/>
      </c>
      <c r="Y419" s="32">
        <f>N(Y418)+O419</f>
        <v/>
      </c>
      <c r="Z419" s="32">
        <f>IF(O419=1,Y419,"")</f>
        <v/>
      </c>
      <c r="AA419" s="32">
        <f>IF(AND(W419=1,G419="Not sure yet"),1,0)</f>
        <v/>
      </c>
      <c r="AB419" s="32">
        <f>N(AB418)+AA419</f>
        <v/>
      </c>
      <c r="AC419" s="32">
        <f>IF(AA419=1,AB419,"")</f>
        <v/>
      </c>
      <c r="AD419" s="32">
        <f>IF(D419="","",IF(LEN(D419)=10,"+1"&amp;D419,IF(AND(LEN(D419)=11,LEFT(D419,1)="1"),"+"&amp;D419,IF(LEFT(C419,1)="+","+"&amp;D419,D419))))</f>
        <v/>
      </c>
      <c r="AE419" s="32">
        <f>IF(B419="","",PROPER(IFERROR(LEFT(B419,FIND(" ",B419)-1),B419)))</f>
        <v/>
      </c>
      <c r="AF419" s="32">
        <f>SUBSTITUTE(SUBSTITUTE(SUBSTITUTE(SUBSTITUTE(SUBSTITUTE(SUBSTITUTE(SUBSTITUTE(SUBSTITUTE(SUBSTITUTE(SUBSTITUTE(AE419,"%","%25"),"&amp;","%26"),"#","%23"),"+","%2B"),"=","%3D"),"?","%3F"),CHAR(34),"%22"),CHAR(10),"%0A"),CHAR(13),"")," ","+")</f>
        <v/>
      </c>
      <c r="AG419" s="32">
        <f>IF(OR(AD419="",AE419=""),"",'Start Here'!$B$20&amp;"#p="&amp;SUBSTITUTE(AD419,"+","%2B")&amp;"&amp;n="&amp;AF419&amp;"&amp;m="&amp;SUBSTITUTE('Start Here'!$B$24,"{name}",AF419))</f>
        <v/>
      </c>
      <c r="AH419" s="32">
        <f>N(AH418)+W419</f>
        <v/>
      </c>
      <c r="AI419" s="32">
        <f>IF(W419=1,AH419,"")</f>
        <v/>
      </c>
    </row>
    <row r="420">
      <c r="A420" s="32">
        <f>IF(INDEX('Form Responses'!$A:$A,ROW())="","",INDEX('Form Responses'!$A:$A,ROW()))</f>
        <v/>
      </c>
      <c r="B420" s="32">
        <f>TRIM(INDEX('Form Responses'!$B:$B,ROW())&amp;"")</f>
        <v/>
      </c>
      <c r="C420" s="32">
        <f>IF(B420="","",TRIM(INDEX('Form Responses'!$C:$C,ROW())&amp;""))</f>
        <v/>
      </c>
      <c r="D420" s="32">
        <f>SUBSTITUTE(SUBSTITUTE(SUBSTITUTE(SUBSTITUTE(SUBSTITUTE(SUBSTITUTE(SUBSTITUTE(SUBSTITUTE(C420," ",""),"-",""),"(",""),")",""),".",""),"+",""),"/",""),CHAR(160),"")</f>
        <v/>
      </c>
      <c r="E420" s="32">
        <f>IF(LEN(D420)&gt;=10,RIGHT(D420,10),D420)</f>
        <v/>
      </c>
      <c r="F420" s="32">
        <f>IF(B420="","",TRIM(INDEX('Form Responses'!$D:$D,ROW())&amp;""))</f>
        <v/>
      </c>
      <c r="G420" s="32">
        <f>IF(B420="","",IF(LEFT(TRIM(INDEX('Form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0" s="32">
        <f>IF(B420="","",MAX(0,IFERROR(INT(--(INDEX('Form Responses'!$F:$F,ROW())&amp;"")),1)))</f>
        <v/>
      </c>
      <c r="I420" s="32">
        <f>IF(B420="","",MAX(0,IFERROR(INT(--(INDEX('Form Responses'!$G:$G,ROW())&amp;"")),0)))</f>
        <v/>
      </c>
      <c r="J420" s="32">
        <f>IF(B420="","",TRIM(INDEX('Form Responses'!$H:$H,ROW())&amp;""))</f>
        <v/>
      </c>
      <c r="K420" s="32">
        <f>IF(B420="","",TRIM(INDEX('Form Responses'!$I:$I,ROW())&amp;""))</f>
        <v/>
      </c>
      <c r="L420" s="32">
        <f>IF(B420="","",TRIM(INDEX('Form Responses'!$J:$J,ROW())&amp;""))</f>
        <v/>
      </c>
      <c r="M420" s="32">
        <f>IF(B420="","",TRIM(INDEX('Form Responses'!$K:$K,ROW())&amp;""))</f>
        <v/>
      </c>
      <c r="N420" s="32">
        <f>IF(B420="","",IF(E420&lt;&gt;"","P"&amp;E420,"N"&amp;B420))</f>
        <v/>
      </c>
      <c r="O420" s="32">
        <f>IF(N420="",0,IF(COUNTIF(N421:N$602,N420)=0,1,0))</f>
        <v/>
      </c>
      <c r="P420" s="32">
        <f>IF(AND(O420=1,E420&lt;&gt;""),E420,"")</f>
        <v/>
      </c>
      <c r="Q420" s="32">
        <f>IF(O420=1,B420,"")</f>
        <v/>
      </c>
      <c r="R420" s="32">
        <f>IF(O420&lt;&gt;1,"",IF(E420&lt;&gt;"",IFERROR(MATCH(E420,Guests!$S$6:$S$505,0)+5,IFERROR(MATCH(B420,Guests!$A$6:$A$505,0)+5,"")),IFERROR(MATCH(B420,Guests!$A$6:$A$505,0)+5,"")))</f>
        <v/>
      </c>
      <c r="S420" s="32">
        <f>IF(R420="","",TRIM(INDEX(Guests!$E$1:$E$505,R420)&amp;""))</f>
        <v/>
      </c>
      <c r="T420" s="32">
        <f>IF(R420="","",IF(S420="",1,COUNTIF(Guests!$E$6:$E$505,S420)))</f>
        <v/>
      </c>
      <c r="U420" s="32">
        <f>IF(R420="","",IF(S420="",1,IF(COUNTIF(S$1:S419,S420)=0,1,0)))</f>
        <v/>
      </c>
      <c r="V420" s="32">
        <f>IF(AND(R420&lt;&gt;"",G420="Attending",U420=1),MAX(0,H420+I420-T420),0)</f>
        <v/>
      </c>
      <c r="W420" s="32">
        <f>IF(AND(O420=1,R420=""),1,0)</f>
        <v/>
      </c>
      <c r="X420" s="32">
        <f>IF(B420="",0,H420+I420)</f>
        <v/>
      </c>
      <c r="Y420" s="32">
        <f>N(Y419)+O420</f>
        <v/>
      </c>
      <c r="Z420" s="32">
        <f>IF(O420=1,Y420,"")</f>
        <v/>
      </c>
      <c r="AA420" s="32">
        <f>IF(AND(W420=1,G420="Not sure yet"),1,0)</f>
        <v/>
      </c>
      <c r="AB420" s="32">
        <f>N(AB419)+AA420</f>
        <v/>
      </c>
      <c r="AC420" s="32">
        <f>IF(AA420=1,AB420,"")</f>
        <v/>
      </c>
      <c r="AD420" s="32">
        <f>IF(D420="","",IF(LEN(D420)=10,"+1"&amp;D420,IF(AND(LEN(D420)=11,LEFT(D420,1)="1"),"+"&amp;D420,IF(LEFT(C420,1)="+","+"&amp;D420,D420))))</f>
        <v/>
      </c>
      <c r="AE420" s="32">
        <f>IF(B420="","",PROPER(IFERROR(LEFT(B420,FIND(" ",B420)-1),B420)))</f>
        <v/>
      </c>
      <c r="AF420" s="32">
        <f>SUBSTITUTE(SUBSTITUTE(SUBSTITUTE(SUBSTITUTE(SUBSTITUTE(SUBSTITUTE(SUBSTITUTE(SUBSTITUTE(SUBSTITUTE(SUBSTITUTE(AE420,"%","%25"),"&amp;","%26"),"#","%23"),"+","%2B"),"=","%3D"),"?","%3F"),CHAR(34),"%22"),CHAR(10),"%0A"),CHAR(13),"")," ","+")</f>
        <v/>
      </c>
      <c r="AG420" s="32">
        <f>IF(OR(AD420="",AE420=""),"",'Start Here'!$B$20&amp;"#p="&amp;SUBSTITUTE(AD420,"+","%2B")&amp;"&amp;n="&amp;AF420&amp;"&amp;m="&amp;SUBSTITUTE('Start Here'!$B$24,"{name}",AF420))</f>
        <v/>
      </c>
      <c r="AH420" s="32">
        <f>N(AH419)+W420</f>
        <v/>
      </c>
      <c r="AI420" s="32">
        <f>IF(W420=1,AH420,"")</f>
        <v/>
      </c>
    </row>
    <row r="421">
      <c r="A421" s="32">
        <f>IF(INDEX('Form Responses'!$A:$A,ROW())="","",INDEX('Form Responses'!$A:$A,ROW()))</f>
        <v/>
      </c>
      <c r="B421" s="32">
        <f>TRIM(INDEX('Form Responses'!$B:$B,ROW())&amp;"")</f>
        <v/>
      </c>
      <c r="C421" s="32">
        <f>IF(B421="","",TRIM(INDEX('Form Responses'!$C:$C,ROW())&amp;""))</f>
        <v/>
      </c>
      <c r="D421" s="32">
        <f>SUBSTITUTE(SUBSTITUTE(SUBSTITUTE(SUBSTITUTE(SUBSTITUTE(SUBSTITUTE(SUBSTITUTE(SUBSTITUTE(C421," ",""),"-",""),"(",""),")",""),".",""),"+",""),"/",""),CHAR(160),"")</f>
        <v/>
      </c>
      <c r="E421" s="32">
        <f>IF(LEN(D421)&gt;=10,RIGHT(D421,10),D421)</f>
        <v/>
      </c>
      <c r="F421" s="32">
        <f>IF(B421="","",TRIM(INDEX('Form Responses'!$D:$D,ROW())&amp;""))</f>
        <v/>
      </c>
      <c r="G421" s="32">
        <f>IF(B421="","",IF(LEFT(TRIM(INDEX('Form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1" s="32">
        <f>IF(B421="","",MAX(0,IFERROR(INT(--(INDEX('Form Responses'!$F:$F,ROW())&amp;"")),1)))</f>
        <v/>
      </c>
      <c r="I421" s="32">
        <f>IF(B421="","",MAX(0,IFERROR(INT(--(INDEX('Form Responses'!$G:$G,ROW())&amp;"")),0)))</f>
        <v/>
      </c>
      <c r="J421" s="32">
        <f>IF(B421="","",TRIM(INDEX('Form Responses'!$H:$H,ROW())&amp;""))</f>
        <v/>
      </c>
      <c r="K421" s="32">
        <f>IF(B421="","",TRIM(INDEX('Form Responses'!$I:$I,ROW())&amp;""))</f>
        <v/>
      </c>
      <c r="L421" s="32">
        <f>IF(B421="","",TRIM(INDEX('Form Responses'!$J:$J,ROW())&amp;""))</f>
        <v/>
      </c>
      <c r="M421" s="32">
        <f>IF(B421="","",TRIM(INDEX('Form Responses'!$K:$K,ROW())&amp;""))</f>
        <v/>
      </c>
      <c r="N421" s="32">
        <f>IF(B421="","",IF(E421&lt;&gt;"","P"&amp;E421,"N"&amp;B421))</f>
        <v/>
      </c>
      <c r="O421" s="32">
        <f>IF(N421="",0,IF(COUNTIF(N422:N$602,N421)=0,1,0))</f>
        <v/>
      </c>
      <c r="P421" s="32">
        <f>IF(AND(O421=1,E421&lt;&gt;""),E421,"")</f>
        <v/>
      </c>
      <c r="Q421" s="32">
        <f>IF(O421=1,B421,"")</f>
        <v/>
      </c>
      <c r="R421" s="32">
        <f>IF(O421&lt;&gt;1,"",IF(E421&lt;&gt;"",IFERROR(MATCH(E421,Guests!$S$6:$S$505,0)+5,IFERROR(MATCH(B421,Guests!$A$6:$A$505,0)+5,"")),IFERROR(MATCH(B421,Guests!$A$6:$A$505,0)+5,"")))</f>
        <v/>
      </c>
      <c r="S421" s="32">
        <f>IF(R421="","",TRIM(INDEX(Guests!$E$1:$E$505,R421)&amp;""))</f>
        <v/>
      </c>
      <c r="T421" s="32">
        <f>IF(R421="","",IF(S421="",1,COUNTIF(Guests!$E$6:$E$505,S421)))</f>
        <v/>
      </c>
      <c r="U421" s="32">
        <f>IF(R421="","",IF(S421="",1,IF(COUNTIF(S$1:S420,S421)=0,1,0)))</f>
        <v/>
      </c>
      <c r="V421" s="32">
        <f>IF(AND(R421&lt;&gt;"",G421="Attending",U421=1),MAX(0,H421+I421-T421),0)</f>
        <v/>
      </c>
      <c r="W421" s="32">
        <f>IF(AND(O421=1,R421=""),1,0)</f>
        <v/>
      </c>
      <c r="X421" s="32">
        <f>IF(B421="",0,H421+I421)</f>
        <v/>
      </c>
      <c r="Y421" s="32">
        <f>N(Y420)+O421</f>
        <v/>
      </c>
      <c r="Z421" s="32">
        <f>IF(O421=1,Y421,"")</f>
        <v/>
      </c>
      <c r="AA421" s="32">
        <f>IF(AND(W421=1,G421="Not sure yet"),1,0)</f>
        <v/>
      </c>
      <c r="AB421" s="32">
        <f>N(AB420)+AA421</f>
        <v/>
      </c>
      <c r="AC421" s="32">
        <f>IF(AA421=1,AB421,"")</f>
        <v/>
      </c>
      <c r="AD421" s="32">
        <f>IF(D421="","",IF(LEN(D421)=10,"+1"&amp;D421,IF(AND(LEN(D421)=11,LEFT(D421,1)="1"),"+"&amp;D421,IF(LEFT(C421,1)="+","+"&amp;D421,D421))))</f>
        <v/>
      </c>
      <c r="AE421" s="32">
        <f>IF(B421="","",PROPER(IFERROR(LEFT(B421,FIND(" ",B421)-1),B421)))</f>
        <v/>
      </c>
      <c r="AF421" s="32">
        <f>SUBSTITUTE(SUBSTITUTE(SUBSTITUTE(SUBSTITUTE(SUBSTITUTE(SUBSTITUTE(SUBSTITUTE(SUBSTITUTE(SUBSTITUTE(SUBSTITUTE(AE421,"%","%25"),"&amp;","%26"),"#","%23"),"+","%2B"),"=","%3D"),"?","%3F"),CHAR(34),"%22"),CHAR(10),"%0A"),CHAR(13),"")," ","+")</f>
        <v/>
      </c>
      <c r="AG421" s="32">
        <f>IF(OR(AD421="",AE421=""),"",'Start Here'!$B$20&amp;"#p="&amp;SUBSTITUTE(AD421,"+","%2B")&amp;"&amp;n="&amp;AF421&amp;"&amp;m="&amp;SUBSTITUTE('Start Here'!$B$24,"{name}",AF421))</f>
        <v/>
      </c>
      <c r="AH421" s="32">
        <f>N(AH420)+W421</f>
        <v/>
      </c>
      <c r="AI421" s="32">
        <f>IF(W421=1,AH421,"")</f>
        <v/>
      </c>
    </row>
    <row r="422">
      <c r="A422" s="32">
        <f>IF(INDEX('Form Responses'!$A:$A,ROW())="","",INDEX('Form Responses'!$A:$A,ROW()))</f>
        <v/>
      </c>
      <c r="B422" s="32">
        <f>TRIM(INDEX('Form Responses'!$B:$B,ROW())&amp;"")</f>
        <v/>
      </c>
      <c r="C422" s="32">
        <f>IF(B422="","",TRIM(INDEX('Form Responses'!$C:$C,ROW())&amp;""))</f>
        <v/>
      </c>
      <c r="D422" s="32">
        <f>SUBSTITUTE(SUBSTITUTE(SUBSTITUTE(SUBSTITUTE(SUBSTITUTE(SUBSTITUTE(SUBSTITUTE(SUBSTITUTE(C422," ",""),"-",""),"(",""),")",""),".",""),"+",""),"/",""),CHAR(160),"")</f>
        <v/>
      </c>
      <c r="E422" s="32">
        <f>IF(LEN(D422)&gt;=10,RIGHT(D422,10),D422)</f>
        <v/>
      </c>
      <c r="F422" s="32">
        <f>IF(B422="","",TRIM(INDEX('Form Responses'!$D:$D,ROW())&amp;""))</f>
        <v/>
      </c>
      <c r="G422" s="32">
        <f>IF(B422="","",IF(LEFT(TRIM(INDEX('Form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2" s="32">
        <f>IF(B422="","",MAX(0,IFERROR(INT(--(INDEX('Form Responses'!$F:$F,ROW())&amp;"")),1)))</f>
        <v/>
      </c>
      <c r="I422" s="32">
        <f>IF(B422="","",MAX(0,IFERROR(INT(--(INDEX('Form Responses'!$G:$G,ROW())&amp;"")),0)))</f>
        <v/>
      </c>
      <c r="J422" s="32">
        <f>IF(B422="","",TRIM(INDEX('Form Responses'!$H:$H,ROW())&amp;""))</f>
        <v/>
      </c>
      <c r="K422" s="32">
        <f>IF(B422="","",TRIM(INDEX('Form Responses'!$I:$I,ROW())&amp;""))</f>
        <v/>
      </c>
      <c r="L422" s="32">
        <f>IF(B422="","",TRIM(INDEX('Form Responses'!$J:$J,ROW())&amp;""))</f>
        <v/>
      </c>
      <c r="M422" s="32">
        <f>IF(B422="","",TRIM(INDEX('Form Responses'!$K:$K,ROW())&amp;""))</f>
        <v/>
      </c>
      <c r="N422" s="32">
        <f>IF(B422="","",IF(E422&lt;&gt;"","P"&amp;E422,"N"&amp;B422))</f>
        <v/>
      </c>
      <c r="O422" s="32">
        <f>IF(N422="",0,IF(COUNTIF(N423:N$602,N422)=0,1,0))</f>
        <v/>
      </c>
      <c r="P422" s="32">
        <f>IF(AND(O422=1,E422&lt;&gt;""),E422,"")</f>
        <v/>
      </c>
      <c r="Q422" s="32">
        <f>IF(O422=1,B422,"")</f>
        <v/>
      </c>
      <c r="R422" s="32">
        <f>IF(O422&lt;&gt;1,"",IF(E422&lt;&gt;"",IFERROR(MATCH(E422,Guests!$S$6:$S$505,0)+5,IFERROR(MATCH(B422,Guests!$A$6:$A$505,0)+5,"")),IFERROR(MATCH(B422,Guests!$A$6:$A$505,0)+5,"")))</f>
        <v/>
      </c>
      <c r="S422" s="32">
        <f>IF(R422="","",TRIM(INDEX(Guests!$E$1:$E$505,R422)&amp;""))</f>
        <v/>
      </c>
      <c r="T422" s="32">
        <f>IF(R422="","",IF(S422="",1,COUNTIF(Guests!$E$6:$E$505,S422)))</f>
        <v/>
      </c>
      <c r="U422" s="32">
        <f>IF(R422="","",IF(S422="",1,IF(COUNTIF(S$1:S421,S422)=0,1,0)))</f>
        <v/>
      </c>
      <c r="V422" s="32">
        <f>IF(AND(R422&lt;&gt;"",G422="Attending",U422=1),MAX(0,H422+I422-T422),0)</f>
        <v/>
      </c>
      <c r="W422" s="32">
        <f>IF(AND(O422=1,R422=""),1,0)</f>
        <v/>
      </c>
      <c r="X422" s="32">
        <f>IF(B422="",0,H422+I422)</f>
        <v/>
      </c>
      <c r="Y422" s="32">
        <f>N(Y421)+O422</f>
        <v/>
      </c>
      <c r="Z422" s="32">
        <f>IF(O422=1,Y422,"")</f>
        <v/>
      </c>
      <c r="AA422" s="32">
        <f>IF(AND(W422=1,G422="Not sure yet"),1,0)</f>
        <v/>
      </c>
      <c r="AB422" s="32">
        <f>N(AB421)+AA422</f>
        <v/>
      </c>
      <c r="AC422" s="32">
        <f>IF(AA422=1,AB422,"")</f>
        <v/>
      </c>
      <c r="AD422" s="32">
        <f>IF(D422="","",IF(LEN(D422)=10,"+1"&amp;D422,IF(AND(LEN(D422)=11,LEFT(D422,1)="1"),"+"&amp;D422,IF(LEFT(C422,1)="+","+"&amp;D422,D422))))</f>
        <v/>
      </c>
      <c r="AE422" s="32">
        <f>IF(B422="","",PROPER(IFERROR(LEFT(B422,FIND(" ",B422)-1),B422)))</f>
        <v/>
      </c>
      <c r="AF422" s="32">
        <f>SUBSTITUTE(SUBSTITUTE(SUBSTITUTE(SUBSTITUTE(SUBSTITUTE(SUBSTITUTE(SUBSTITUTE(SUBSTITUTE(SUBSTITUTE(SUBSTITUTE(AE422,"%","%25"),"&amp;","%26"),"#","%23"),"+","%2B"),"=","%3D"),"?","%3F"),CHAR(34),"%22"),CHAR(10),"%0A"),CHAR(13),"")," ","+")</f>
        <v/>
      </c>
      <c r="AG422" s="32">
        <f>IF(OR(AD422="",AE422=""),"",'Start Here'!$B$20&amp;"#p="&amp;SUBSTITUTE(AD422,"+","%2B")&amp;"&amp;n="&amp;AF422&amp;"&amp;m="&amp;SUBSTITUTE('Start Here'!$B$24,"{name}",AF422))</f>
        <v/>
      </c>
      <c r="AH422" s="32">
        <f>N(AH421)+W422</f>
        <v/>
      </c>
      <c r="AI422" s="32">
        <f>IF(W422=1,AH422,"")</f>
        <v/>
      </c>
    </row>
    <row r="423">
      <c r="A423" s="32">
        <f>IF(INDEX('Form Responses'!$A:$A,ROW())="","",INDEX('Form Responses'!$A:$A,ROW()))</f>
        <v/>
      </c>
      <c r="B423" s="32">
        <f>TRIM(INDEX('Form Responses'!$B:$B,ROW())&amp;"")</f>
        <v/>
      </c>
      <c r="C423" s="32">
        <f>IF(B423="","",TRIM(INDEX('Form Responses'!$C:$C,ROW())&amp;""))</f>
        <v/>
      </c>
      <c r="D423" s="32">
        <f>SUBSTITUTE(SUBSTITUTE(SUBSTITUTE(SUBSTITUTE(SUBSTITUTE(SUBSTITUTE(SUBSTITUTE(SUBSTITUTE(C423," ",""),"-",""),"(",""),")",""),".",""),"+",""),"/",""),CHAR(160),"")</f>
        <v/>
      </c>
      <c r="E423" s="32">
        <f>IF(LEN(D423)&gt;=10,RIGHT(D423,10),D423)</f>
        <v/>
      </c>
      <c r="F423" s="32">
        <f>IF(B423="","",TRIM(INDEX('Form Responses'!$D:$D,ROW())&amp;""))</f>
        <v/>
      </c>
      <c r="G423" s="32">
        <f>IF(B423="","",IF(LEFT(TRIM(INDEX('Form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3" s="32">
        <f>IF(B423="","",MAX(0,IFERROR(INT(--(INDEX('Form Responses'!$F:$F,ROW())&amp;"")),1)))</f>
        <v/>
      </c>
      <c r="I423" s="32">
        <f>IF(B423="","",MAX(0,IFERROR(INT(--(INDEX('Form Responses'!$G:$G,ROW())&amp;"")),0)))</f>
        <v/>
      </c>
      <c r="J423" s="32">
        <f>IF(B423="","",TRIM(INDEX('Form Responses'!$H:$H,ROW())&amp;""))</f>
        <v/>
      </c>
      <c r="K423" s="32">
        <f>IF(B423="","",TRIM(INDEX('Form Responses'!$I:$I,ROW())&amp;""))</f>
        <v/>
      </c>
      <c r="L423" s="32">
        <f>IF(B423="","",TRIM(INDEX('Form Responses'!$J:$J,ROW())&amp;""))</f>
        <v/>
      </c>
      <c r="M423" s="32">
        <f>IF(B423="","",TRIM(INDEX('Form Responses'!$K:$K,ROW())&amp;""))</f>
        <v/>
      </c>
      <c r="N423" s="32">
        <f>IF(B423="","",IF(E423&lt;&gt;"","P"&amp;E423,"N"&amp;B423))</f>
        <v/>
      </c>
      <c r="O423" s="32">
        <f>IF(N423="",0,IF(COUNTIF(N424:N$602,N423)=0,1,0))</f>
        <v/>
      </c>
      <c r="P423" s="32">
        <f>IF(AND(O423=1,E423&lt;&gt;""),E423,"")</f>
        <v/>
      </c>
      <c r="Q423" s="32">
        <f>IF(O423=1,B423,"")</f>
        <v/>
      </c>
      <c r="R423" s="32">
        <f>IF(O423&lt;&gt;1,"",IF(E423&lt;&gt;"",IFERROR(MATCH(E423,Guests!$S$6:$S$505,0)+5,IFERROR(MATCH(B423,Guests!$A$6:$A$505,0)+5,"")),IFERROR(MATCH(B423,Guests!$A$6:$A$505,0)+5,"")))</f>
        <v/>
      </c>
      <c r="S423" s="32">
        <f>IF(R423="","",TRIM(INDEX(Guests!$E$1:$E$505,R423)&amp;""))</f>
        <v/>
      </c>
      <c r="T423" s="32">
        <f>IF(R423="","",IF(S423="",1,COUNTIF(Guests!$E$6:$E$505,S423)))</f>
        <v/>
      </c>
      <c r="U423" s="32">
        <f>IF(R423="","",IF(S423="",1,IF(COUNTIF(S$1:S422,S423)=0,1,0)))</f>
        <v/>
      </c>
      <c r="V423" s="32">
        <f>IF(AND(R423&lt;&gt;"",G423="Attending",U423=1),MAX(0,H423+I423-T423),0)</f>
        <v/>
      </c>
      <c r="W423" s="32">
        <f>IF(AND(O423=1,R423=""),1,0)</f>
        <v/>
      </c>
      <c r="X423" s="32">
        <f>IF(B423="",0,H423+I423)</f>
        <v/>
      </c>
      <c r="Y423" s="32">
        <f>N(Y422)+O423</f>
        <v/>
      </c>
      <c r="Z423" s="32">
        <f>IF(O423=1,Y423,"")</f>
        <v/>
      </c>
      <c r="AA423" s="32">
        <f>IF(AND(W423=1,G423="Not sure yet"),1,0)</f>
        <v/>
      </c>
      <c r="AB423" s="32">
        <f>N(AB422)+AA423</f>
        <v/>
      </c>
      <c r="AC423" s="32">
        <f>IF(AA423=1,AB423,"")</f>
        <v/>
      </c>
      <c r="AD423" s="32">
        <f>IF(D423="","",IF(LEN(D423)=10,"+1"&amp;D423,IF(AND(LEN(D423)=11,LEFT(D423,1)="1"),"+"&amp;D423,IF(LEFT(C423,1)="+","+"&amp;D423,D423))))</f>
        <v/>
      </c>
      <c r="AE423" s="32">
        <f>IF(B423="","",PROPER(IFERROR(LEFT(B423,FIND(" ",B423)-1),B423)))</f>
        <v/>
      </c>
      <c r="AF423" s="32">
        <f>SUBSTITUTE(SUBSTITUTE(SUBSTITUTE(SUBSTITUTE(SUBSTITUTE(SUBSTITUTE(SUBSTITUTE(SUBSTITUTE(SUBSTITUTE(SUBSTITUTE(AE423,"%","%25"),"&amp;","%26"),"#","%23"),"+","%2B"),"=","%3D"),"?","%3F"),CHAR(34),"%22"),CHAR(10),"%0A"),CHAR(13),"")," ","+")</f>
        <v/>
      </c>
      <c r="AG423" s="32">
        <f>IF(OR(AD423="",AE423=""),"",'Start Here'!$B$20&amp;"#p="&amp;SUBSTITUTE(AD423,"+","%2B")&amp;"&amp;n="&amp;AF423&amp;"&amp;m="&amp;SUBSTITUTE('Start Here'!$B$24,"{name}",AF423))</f>
        <v/>
      </c>
      <c r="AH423" s="32">
        <f>N(AH422)+W423</f>
        <v/>
      </c>
      <c r="AI423" s="32">
        <f>IF(W423=1,AH423,"")</f>
        <v/>
      </c>
    </row>
    <row r="424">
      <c r="A424" s="32">
        <f>IF(INDEX('Form Responses'!$A:$A,ROW())="","",INDEX('Form Responses'!$A:$A,ROW()))</f>
        <v/>
      </c>
      <c r="B424" s="32">
        <f>TRIM(INDEX('Form Responses'!$B:$B,ROW())&amp;"")</f>
        <v/>
      </c>
      <c r="C424" s="32">
        <f>IF(B424="","",TRIM(INDEX('Form Responses'!$C:$C,ROW())&amp;""))</f>
        <v/>
      </c>
      <c r="D424" s="32">
        <f>SUBSTITUTE(SUBSTITUTE(SUBSTITUTE(SUBSTITUTE(SUBSTITUTE(SUBSTITUTE(SUBSTITUTE(SUBSTITUTE(C424," ",""),"-",""),"(",""),")",""),".",""),"+",""),"/",""),CHAR(160),"")</f>
        <v/>
      </c>
      <c r="E424" s="32">
        <f>IF(LEN(D424)&gt;=10,RIGHT(D424,10),D424)</f>
        <v/>
      </c>
      <c r="F424" s="32">
        <f>IF(B424="","",TRIM(INDEX('Form Responses'!$D:$D,ROW())&amp;""))</f>
        <v/>
      </c>
      <c r="G424" s="32">
        <f>IF(B424="","",IF(LEFT(TRIM(INDEX('Form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4" s="32">
        <f>IF(B424="","",MAX(0,IFERROR(INT(--(INDEX('Form Responses'!$F:$F,ROW())&amp;"")),1)))</f>
        <v/>
      </c>
      <c r="I424" s="32">
        <f>IF(B424="","",MAX(0,IFERROR(INT(--(INDEX('Form Responses'!$G:$G,ROW())&amp;"")),0)))</f>
        <v/>
      </c>
      <c r="J424" s="32">
        <f>IF(B424="","",TRIM(INDEX('Form Responses'!$H:$H,ROW())&amp;""))</f>
        <v/>
      </c>
      <c r="K424" s="32">
        <f>IF(B424="","",TRIM(INDEX('Form Responses'!$I:$I,ROW())&amp;""))</f>
        <v/>
      </c>
      <c r="L424" s="32">
        <f>IF(B424="","",TRIM(INDEX('Form Responses'!$J:$J,ROW())&amp;""))</f>
        <v/>
      </c>
      <c r="M424" s="32">
        <f>IF(B424="","",TRIM(INDEX('Form Responses'!$K:$K,ROW())&amp;""))</f>
        <v/>
      </c>
      <c r="N424" s="32">
        <f>IF(B424="","",IF(E424&lt;&gt;"","P"&amp;E424,"N"&amp;B424))</f>
        <v/>
      </c>
      <c r="O424" s="32">
        <f>IF(N424="",0,IF(COUNTIF(N425:N$602,N424)=0,1,0))</f>
        <v/>
      </c>
      <c r="P424" s="32">
        <f>IF(AND(O424=1,E424&lt;&gt;""),E424,"")</f>
        <v/>
      </c>
      <c r="Q424" s="32">
        <f>IF(O424=1,B424,"")</f>
        <v/>
      </c>
      <c r="R424" s="32">
        <f>IF(O424&lt;&gt;1,"",IF(E424&lt;&gt;"",IFERROR(MATCH(E424,Guests!$S$6:$S$505,0)+5,IFERROR(MATCH(B424,Guests!$A$6:$A$505,0)+5,"")),IFERROR(MATCH(B424,Guests!$A$6:$A$505,0)+5,"")))</f>
        <v/>
      </c>
      <c r="S424" s="32">
        <f>IF(R424="","",TRIM(INDEX(Guests!$E$1:$E$505,R424)&amp;""))</f>
        <v/>
      </c>
      <c r="T424" s="32">
        <f>IF(R424="","",IF(S424="",1,COUNTIF(Guests!$E$6:$E$505,S424)))</f>
        <v/>
      </c>
      <c r="U424" s="32">
        <f>IF(R424="","",IF(S424="",1,IF(COUNTIF(S$1:S423,S424)=0,1,0)))</f>
        <v/>
      </c>
      <c r="V424" s="32">
        <f>IF(AND(R424&lt;&gt;"",G424="Attending",U424=1),MAX(0,H424+I424-T424),0)</f>
        <v/>
      </c>
      <c r="W424" s="32">
        <f>IF(AND(O424=1,R424=""),1,0)</f>
        <v/>
      </c>
      <c r="X424" s="32">
        <f>IF(B424="",0,H424+I424)</f>
        <v/>
      </c>
      <c r="Y424" s="32">
        <f>N(Y423)+O424</f>
        <v/>
      </c>
      <c r="Z424" s="32">
        <f>IF(O424=1,Y424,"")</f>
        <v/>
      </c>
      <c r="AA424" s="32">
        <f>IF(AND(W424=1,G424="Not sure yet"),1,0)</f>
        <v/>
      </c>
      <c r="AB424" s="32">
        <f>N(AB423)+AA424</f>
        <v/>
      </c>
      <c r="AC424" s="32">
        <f>IF(AA424=1,AB424,"")</f>
        <v/>
      </c>
      <c r="AD424" s="32">
        <f>IF(D424="","",IF(LEN(D424)=10,"+1"&amp;D424,IF(AND(LEN(D424)=11,LEFT(D424,1)="1"),"+"&amp;D424,IF(LEFT(C424,1)="+","+"&amp;D424,D424))))</f>
        <v/>
      </c>
      <c r="AE424" s="32">
        <f>IF(B424="","",PROPER(IFERROR(LEFT(B424,FIND(" ",B424)-1),B424)))</f>
        <v/>
      </c>
      <c r="AF424" s="32">
        <f>SUBSTITUTE(SUBSTITUTE(SUBSTITUTE(SUBSTITUTE(SUBSTITUTE(SUBSTITUTE(SUBSTITUTE(SUBSTITUTE(SUBSTITUTE(SUBSTITUTE(AE424,"%","%25"),"&amp;","%26"),"#","%23"),"+","%2B"),"=","%3D"),"?","%3F"),CHAR(34),"%22"),CHAR(10),"%0A"),CHAR(13),"")," ","+")</f>
        <v/>
      </c>
      <c r="AG424" s="32">
        <f>IF(OR(AD424="",AE424=""),"",'Start Here'!$B$20&amp;"#p="&amp;SUBSTITUTE(AD424,"+","%2B")&amp;"&amp;n="&amp;AF424&amp;"&amp;m="&amp;SUBSTITUTE('Start Here'!$B$24,"{name}",AF424))</f>
        <v/>
      </c>
      <c r="AH424" s="32">
        <f>N(AH423)+W424</f>
        <v/>
      </c>
      <c r="AI424" s="32">
        <f>IF(W424=1,AH424,"")</f>
        <v/>
      </c>
    </row>
    <row r="425">
      <c r="A425" s="32">
        <f>IF(INDEX('Form Responses'!$A:$A,ROW())="","",INDEX('Form Responses'!$A:$A,ROW()))</f>
        <v/>
      </c>
      <c r="B425" s="32">
        <f>TRIM(INDEX('Form Responses'!$B:$B,ROW())&amp;"")</f>
        <v/>
      </c>
      <c r="C425" s="32">
        <f>IF(B425="","",TRIM(INDEX('Form Responses'!$C:$C,ROW())&amp;""))</f>
        <v/>
      </c>
      <c r="D425" s="32">
        <f>SUBSTITUTE(SUBSTITUTE(SUBSTITUTE(SUBSTITUTE(SUBSTITUTE(SUBSTITUTE(SUBSTITUTE(SUBSTITUTE(C425," ",""),"-",""),"(",""),")",""),".",""),"+",""),"/",""),CHAR(160),"")</f>
        <v/>
      </c>
      <c r="E425" s="32">
        <f>IF(LEN(D425)&gt;=10,RIGHT(D425,10),D425)</f>
        <v/>
      </c>
      <c r="F425" s="32">
        <f>IF(B425="","",TRIM(INDEX('Form Responses'!$D:$D,ROW())&amp;""))</f>
        <v/>
      </c>
      <c r="G425" s="32">
        <f>IF(B425="","",IF(LEFT(TRIM(INDEX('Form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5" s="32">
        <f>IF(B425="","",MAX(0,IFERROR(INT(--(INDEX('Form Responses'!$F:$F,ROW())&amp;"")),1)))</f>
        <v/>
      </c>
      <c r="I425" s="32">
        <f>IF(B425="","",MAX(0,IFERROR(INT(--(INDEX('Form Responses'!$G:$G,ROW())&amp;"")),0)))</f>
        <v/>
      </c>
      <c r="J425" s="32">
        <f>IF(B425="","",TRIM(INDEX('Form Responses'!$H:$H,ROW())&amp;""))</f>
        <v/>
      </c>
      <c r="K425" s="32">
        <f>IF(B425="","",TRIM(INDEX('Form Responses'!$I:$I,ROW())&amp;""))</f>
        <v/>
      </c>
      <c r="L425" s="32">
        <f>IF(B425="","",TRIM(INDEX('Form Responses'!$J:$J,ROW())&amp;""))</f>
        <v/>
      </c>
      <c r="M425" s="32">
        <f>IF(B425="","",TRIM(INDEX('Form Responses'!$K:$K,ROW())&amp;""))</f>
        <v/>
      </c>
      <c r="N425" s="32">
        <f>IF(B425="","",IF(E425&lt;&gt;"","P"&amp;E425,"N"&amp;B425))</f>
        <v/>
      </c>
      <c r="O425" s="32">
        <f>IF(N425="",0,IF(COUNTIF(N426:N$602,N425)=0,1,0))</f>
        <v/>
      </c>
      <c r="P425" s="32">
        <f>IF(AND(O425=1,E425&lt;&gt;""),E425,"")</f>
        <v/>
      </c>
      <c r="Q425" s="32">
        <f>IF(O425=1,B425,"")</f>
        <v/>
      </c>
      <c r="R425" s="32">
        <f>IF(O425&lt;&gt;1,"",IF(E425&lt;&gt;"",IFERROR(MATCH(E425,Guests!$S$6:$S$505,0)+5,IFERROR(MATCH(B425,Guests!$A$6:$A$505,0)+5,"")),IFERROR(MATCH(B425,Guests!$A$6:$A$505,0)+5,"")))</f>
        <v/>
      </c>
      <c r="S425" s="32">
        <f>IF(R425="","",TRIM(INDEX(Guests!$E$1:$E$505,R425)&amp;""))</f>
        <v/>
      </c>
      <c r="T425" s="32">
        <f>IF(R425="","",IF(S425="",1,COUNTIF(Guests!$E$6:$E$505,S425)))</f>
        <v/>
      </c>
      <c r="U425" s="32">
        <f>IF(R425="","",IF(S425="",1,IF(COUNTIF(S$1:S424,S425)=0,1,0)))</f>
        <v/>
      </c>
      <c r="V425" s="32">
        <f>IF(AND(R425&lt;&gt;"",G425="Attending",U425=1),MAX(0,H425+I425-T425),0)</f>
        <v/>
      </c>
      <c r="W425" s="32">
        <f>IF(AND(O425=1,R425=""),1,0)</f>
        <v/>
      </c>
      <c r="X425" s="32">
        <f>IF(B425="",0,H425+I425)</f>
        <v/>
      </c>
      <c r="Y425" s="32">
        <f>N(Y424)+O425</f>
        <v/>
      </c>
      <c r="Z425" s="32">
        <f>IF(O425=1,Y425,"")</f>
        <v/>
      </c>
      <c r="AA425" s="32">
        <f>IF(AND(W425=1,G425="Not sure yet"),1,0)</f>
        <v/>
      </c>
      <c r="AB425" s="32">
        <f>N(AB424)+AA425</f>
        <v/>
      </c>
      <c r="AC425" s="32">
        <f>IF(AA425=1,AB425,"")</f>
        <v/>
      </c>
      <c r="AD425" s="32">
        <f>IF(D425="","",IF(LEN(D425)=10,"+1"&amp;D425,IF(AND(LEN(D425)=11,LEFT(D425,1)="1"),"+"&amp;D425,IF(LEFT(C425,1)="+","+"&amp;D425,D425))))</f>
        <v/>
      </c>
      <c r="AE425" s="32">
        <f>IF(B425="","",PROPER(IFERROR(LEFT(B425,FIND(" ",B425)-1),B425)))</f>
        <v/>
      </c>
      <c r="AF425" s="32">
        <f>SUBSTITUTE(SUBSTITUTE(SUBSTITUTE(SUBSTITUTE(SUBSTITUTE(SUBSTITUTE(SUBSTITUTE(SUBSTITUTE(SUBSTITUTE(SUBSTITUTE(AE425,"%","%25"),"&amp;","%26"),"#","%23"),"+","%2B"),"=","%3D"),"?","%3F"),CHAR(34),"%22"),CHAR(10),"%0A"),CHAR(13),"")," ","+")</f>
        <v/>
      </c>
      <c r="AG425" s="32">
        <f>IF(OR(AD425="",AE425=""),"",'Start Here'!$B$20&amp;"#p="&amp;SUBSTITUTE(AD425,"+","%2B")&amp;"&amp;n="&amp;AF425&amp;"&amp;m="&amp;SUBSTITUTE('Start Here'!$B$24,"{name}",AF425))</f>
        <v/>
      </c>
      <c r="AH425" s="32">
        <f>N(AH424)+W425</f>
        <v/>
      </c>
      <c r="AI425" s="32">
        <f>IF(W425=1,AH425,"")</f>
        <v/>
      </c>
    </row>
    <row r="426">
      <c r="A426" s="32">
        <f>IF(INDEX('Form Responses'!$A:$A,ROW())="","",INDEX('Form Responses'!$A:$A,ROW()))</f>
        <v/>
      </c>
      <c r="B426" s="32">
        <f>TRIM(INDEX('Form Responses'!$B:$B,ROW())&amp;"")</f>
        <v/>
      </c>
      <c r="C426" s="32">
        <f>IF(B426="","",TRIM(INDEX('Form Responses'!$C:$C,ROW())&amp;""))</f>
        <v/>
      </c>
      <c r="D426" s="32">
        <f>SUBSTITUTE(SUBSTITUTE(SUBSTITUTE(SUBSTITUTE(SUBSTITUTE(SUBSTITUTE(SUBSTITUTE(SUBSTITUTE(C426," ",""),"-",""),"(",""),")",""),".",""),"+",""),"/",""),CHAR(160),"")</f>
        <v/>
      </c>
      <c r="E426" s="32">
        <f>IF(LEN(D426)&gt;=10,RIGHT(D426,10),D426)</f>
        <v/>
      </c>
      <c r="F426" s="32">
        <f>IF(B426="","",TRIM(INDEX('Form Responses'!$D:$D,ROW())&amp;""))</f>
        <v/>
      </c>
      <c r="G426" s="32">
        <f>IF(B426="","",IF(LEFT(TRIM(INDEX('Form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6" s="32">
        <f>IF(B426="","",MAX(0,IFERROR(INT(--(INDEX('Form Responses'!$F:$F,ROW())&amp;"")),1)))</f>
        <v/>
      </c>
      <c r="I426" s="32">
        <f>IF(B426="","",MAX(0,IFERROR(INT(--(INDEX('Form Responses'!$G:$G,ROW())&amp;"")),0)))</f>
        <v/>
      </c>
      <c r="J426" s="32">
        <f>IF(B426="","",TRIM(INDEX('Form Responses'!$H:$H,ROW())&amp;""))</f>
        <v/>
      </c>
      <c r="K426" s="32">
        <f>IF(B426="","",TRIM(INDEX('Form Responses'!$I:$I,ROW())&amp;""))</f>
        <v/>
      </c>
      <c r="L426" s="32">
        <f>IF(B426="","",TRIM(INDEX('Form Responses'!$J:$J,ROW())&amp;""))</f>
        <v/>
      </c>
      <c r="M426" s="32">
        <f>IF(B426="","",TRIM(INDEX('Form Responses'!$K:$K,ROW())&amp;""))</f>
        <v/>
      </c>
      <c r="N426" s="32">
        <f>IF(B426="","",IF(E426&lt;&gt;"","P"&amp;E426,"N"&amp;B426))</f>
        <v/>
      </c>
      <c r="O426" s="32">
        <f>IF(N426="",0,IF(COUNTIF(N427:N$602,N426)=0,1,0))</f>
        <v/>
      </c>
      <c r="P426" s="32">
        <f>IF(AND(O426=1,E426&lt;&gt;""),E426,"")</f>
        <v/>
      </c>
      <c r="Q426" s="32">
        <f>IF(O426=1,B426,"")</f>
        <v/>
      </c>
      <c r="R426" s="32">
        <f>IF(O426&lt;&gt;1,"",IF(E426&lt;&gt;"",IFERROR(MATCH(E426,Guests!$S$6:$S$505,0)+5,IFERROR(MATCH(B426,Guests!$A$6:$A$505,0)+5,"")),IFERROR(MATCH(B426,Guests!$A$6:$A$505,0)+5,"")))</f>
        <v/>
      </c>
      <c r="S426" s="32">
        <f>IF(R426="","",TRIM(INDEX(Guests!$E$1:$E$505,R426)&amp;""))</f>
        <v/>
      </c>
      <c r="T426" s="32">
        <f>IF(R426="","",IF(S426="",1,COUNTIF(Guests!$E$6:$E$505,S426)))</f>
        <v/>
      </c>
      <c r="U426" s="32">
        <f>IF(R426="","",IF(S426="",1,IF(COUNTIF(S$1:S425,S426)=0,1,0)))</f>
        <v/>
      </c>
      <c r="V426" s="32">
        <f>IF(AND(R426&lt;&gt;"",G426="Attending",U426=1),MAX(0,H426+I426-T426),0)</f>
        <v/>
      </c>
      <c r="W426" s="32">
        <f>IF(AND(O426=1,R426=""),1,0)</f>
        <v/>
      </c>
      <c r="X426" s="32">
        <f>IF(B426="",0,H426+I426)</f>
        <v/>
      </c>
      <c r="Y426" s="32">
        <f>N(Y425)+O426</f>
        <v/>
      </c>
      <c r="Z426" s="32">
        <f>IF(O426=1,Y426,"")</f>
        <v/>
      </c>
      <c r="AA426" s="32">
        <f>IF(AND(W426=1,G426="Not sure yet"),1,0)</f>
        <v/>
      </c>
      <c r="AB426" s="32">
        <f>N(AB425)+AA426</f>
        <v/>
      </c>
      <c r="AC426" s="32">
        <f>IF(AA426=1,AB426,"")</f>
        <v/>
      </c>
      <c r="AD426" s="32">
        <f>IF(D426="","",IF(LEN(D426)=10,"+1"&amp;D426,IF(AND(LEN(D426)=11,LEFT(D426,1)="1"),"+"&amp;D426,IF(LEFT(C426,1)="+","+"&amp;D426,D426))))</f>
        <v/>
      </c>
      <c r="AE426" s="32">
        <f>IF(B426="","",PROPER(IFERROR(LEFT(B426,FIND(" ",B426)-1),B426)))</f>
        <v/>
      </c>
      <c r="AF426" s="32">
        <f>SUBSTITUTE(SUBSTITUTE(SUBSTITUTE(SUBSTITUTE(SUBSTITUTE(SUBSTITUTE(SUBSTITUTE(SUBSTITUTE(SUBSTITUTE(SUBSTITUTE(AE426,"%","%25"),"&amp;","%26"),"#","%23"),"+","%2B"),"=","%3D"),"?","%3F"),CHAR(34),"%22"),CHAR(10),"%0A"),CHAR(13),"")," ","+")</f>
        <v/>
      </c>
      <c r="AG426" s="32">
        <f>IF(OR(AD426="",AE426=""),"",'Start Here'!$B$20&amp;"#p="&amp;SUBSTITUTE(AD426,"+","%2B")&amp;"&amp;n="&amp;AF426&amp;"&amp;m="&amp;SUBSTITUTE('Start Here'!$B$24,"{name}",AF426))</f>
        <v/>
      </c>
      <c r="AH426" s="32">
        <f>N(AH425)+W426</f>
        <v/>
      </c>
      <c r="AI426" s="32">
        <f>IF(W426=1,AH426,"")</f>
        <v/>
      </c>
    </row>
    <row r="427">
      <c r="A427" s="32">
        <f>IF(INDEX('Form Responses'!$A:$A,ROW())="","",INDEX('Form Responses'!$A:$A,ROW()))</f>
        <v/>
      </c>
      <c r="B427" s="32">
        <f>TRIM(INDEX('Form Responses'!$B:$B,ROW())&amp;"")</f>
        <v/>
      </c>
      <c r="C427" s="32">
        <f>IF(B427="","",TRIM(INDEX('Form Responses'!$C:$C,ROW())&amp;""))</f>
        <v/>
      </c>
      <c r="D427" s="32">
        <f>SUBSTITUTE(SUBSTITUTE(SUBSTITUTE(SUBSTITUTE(SUBSTITUTE(SUBSTITUTE(SUBSTITUTE(SUBSTITUTE(C427," ",""),"-",""),"(",""),")",""),".",""),"+",""),"/",""),CHAR(160),"")</f>
        <v/>
      </c>
      <c r="E427" s="32">
        <f>IF(LEN(D427)&gt;=10,RIGHT(D427,10),D427)</f>
        <v/>
      </c>
      <c r="F427" s="32">
        <f>IF(B427="","",TRIM(INDEX('Form Responses'!$D:$D,ROW())&amp;""))</f>
        <v/>
      </c>
      <c r="G427" s="32">
        <f>IF(B427="","",IF(LEFT(TRIM(INDEX('Form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7" s="32">
        <f>IF(B427="","",MAX(0,IFERROR(INT(--(INDEX('Form Responses'!$F:$F,ROW())&amp;"")),1)))</f>
        <v/>
      </c>
      <c r="I427" s="32">
        <f>IF(B427="","",MAX(0,IFERROR(INT(--(INDEX('Form Responses'!$G:$G,ROW())&amp;"")),0)))</f>
        <v/>
      </c>
      <c r="J427" s="32">
        <f>IF(B427="","",TRIM(INDEX('Form Responses'!$H:$H,ROW())&amp;""))</f>
        <v/>
      </c>
      <c r="K427" s="32">
        <f>IF(B427="","",TRIM(INDEX('Form Responses'!$I:$I,ROW())&amp;""))</f>
        <v/>
      </c>
      <c r="L427" s="32">
        <f>IF(B427="","",TRIM(INDEX('Form Responses'!$J:$J,ROW())&amp;""))</f>
        <v/>
      </c>
      <c r="M427" s="32">
        <f>IF(B427="","",TRIM(INDEX('Form Responses'!$K:$K,ROW())&amp;""))</f>
        <v/>
      </c>
      <c r="N427" s="32">
        <f>IF(B427="","",IF(E427&lt;&gt;"","P"&amp;E427,"N"&amp;B427))</f>
        <v/>
      </c>
      <c r="O427" s="32">
        <f>IF(N427="",0,IF(COUNTIF(N428:N$602,N427)=0,1,0))</f>
        <v/>
      </c>
      <c r="P427" s="32">
        <f>IF(AND(O427=1,E427&lt;&gt;""),E427,"")</f>
        <v/>
      </c>
      <c r="Q427" s="32">
        <f>IF(O427=1,B427,"")</f>
        <v/>
      </c>
      <c r="R427" s="32">
        <f>IF(O427&lt;&gt;1,"",IF(E427&lt;&gt;"",IFERROR(MATCH(E427,Guests!$S$6:$S$505,0)+5,IFERROR(MATCH(B427,Guests!$A$6:$A$505,0)+5,"")),IFERROR(MATCH(B427,Guests!$A$6:$A$505,0)+5,"")))</f>
        <v/>
      </c>
      <c r="S427" s="32">
        <f>IF(R427="","",TRIM(INDEX(Guests!$E$1:$E$505,R427)&amp;""))</f>
        <v/>
      </c>
      <c r="T427" s="32">
        <f>IF(R427="","",IF(S427="",1,COUNTIF(Guests!$E$6:$E$505,S427)))</f>
        <v/>
      </c>
      <c r="U427" s="32">
        <f>IF(R427="","",IF(S427="",1,IF(COUNTIF(S$1:S426,S427)=0,1,0)))</f>
        <v/>
      </c>
      <c r="V427" s="32">
        <f>IF(AND(R427&lt;&gt;"",G427="Attending",U427=1),MAX(0,H427+I427-T427),0)</f>
        <v/>
      </c>
      <c r="W427" s="32">
        <f>IF(AND(O427=1,R427=""),1,0)</f>
        <v/>
      </c>
      <c r="X427" s="32">
        <f>IF(B427="",0,H427+I427)</f>
        <v/>
      </c>
      <c r="Y427" s="32">
        <f>N(Y426)+O427</f>
        <v/>
      </c>
      <c r="Z427" s="32">
        <f>IF(O427=1,Y427,"")</f>
        <v/>
      </c>
      <c r="AA427" s="32">
        <f>IF(AND(W427=1,G427="Not sure yet"),1,0)</f>
        <v/>
      </c>
      <c r="AB427" s="32">
        <f>N(AB426)+AA427</f>
        <v/>
      </c>
      <c r="AC427" s="32">
        <f>IF(AA427=1,AB427,"")</f>
        <v/>
      </c>
      <c r="AD427" s="32">
        <f>IF(D427="","",IF(LEN(D427)=10,"+1"&amp;D427,IF(AND(LEN(D427)=11,LEFT(D427,1)="1"),"+"&amp;D427,IF(LEFT(C427,1)="+","+"&amp;D427,D427))))</f>
        <v/>
      </c>
      <c r="AE427" s="32">
        <f>IF(B427="","",PROPER(IFERROR(LEFT(B427,FIND(" ",B427)-1),B427)))</f>
        <v/>
      </c>
      <c r="AF427" s="32">
        <f>SUBSTITUTE(SUBSTITUTE(SUBSTITUTE(SUBSTITUTE(SUBSTITUTE(SUBSTITUTE(SUBSTITUTE(SUBSTITUTE(SUBSTITUTE(SUBSTITUTE(AE427,"%","%25"),"&amp;","%26"),"#","%23"),"+","%2B"),"=","%3D"),"?","%3F"),CHAR(34),"%22"),CHAR(10),"%0A"),CHAR(13),"")," ","+")</f>
        <v/>
      </c>
      <c r="AG427" s="32">
        <f>IF(OR(AD427="",AE427=""),"",'Start Here'!$B$20&amp;"#p="&amp;SUBSTITUTE(AD427,"+","%2B")&amp;"&amp;n="&amp;AF427&amp;"&amp;m="&amp;SUBSTITUTE('Start Here'!$B$24,"{name}",AF427))</f>
        <v/>
      </c>
      <c r="AH427" s="32">
        <f>N(AH426)+W427</f>
        <v/>
      </c>
      <c r="AI427" s="32">
        <f>IF(W427=1,AH427,"")</f>
        <v/>
      </c>
    </row>
    <row r="428">
      <c r="A428" s="32">
        <f>IF(INDEX('Form Responses'!$A:$A,ROW())="","",INDEX('Form Responses'!$A:$A,ROW()))</f>
        <v/>
      </c>
      <c r="B428" s="32">
        <f>TRIM(INDEX('Form Responses'!$B:$B,ROW())&amp;"")</f>
        <v/>
      </c>
      <c r="C428" s="32">
        <f>IF(B428="","",TRIM(INDEX('Form Responses'!$C:$C,ROW())&amp;""))</f>
        <v/>
      </c>
      <c r="D428" s="32">
        <f>SUBSTITUTE(SUBSTITUTE(SUBSTITUTE(SUBSTITUTE(SUBSTITUTE(SUBSTITUTE(SUBSTITUTE(SUBSTITUTE(C428," ",""),"-",""),"(",""),")",""),".",""),"+",""),"/",""),CHAR(160),"")</f>
        <v/>
      </c>
      <c r="E428" s="32">
        <f>IF(LEN(D428)&gt;=10,RIGHT(D428,10),D428)</f>
        <v/>
      </c>
      <c r="F428" s="32">
        <f>IF(B428="","",TRIM(INDEX('Form Responses'!$D:$D,ROW())&amp;""))</f>
        <v/>
      </c>
      <c r="G428" s="32">
        <f>IF(B428="","",IF(LEFT(TRIM(INDEX('Form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8" s="32">
        <f>IF(B428="","",MAX(0,IFERROR(INT(--(INDEX('Form Responses'!$F:$F,ROW())&amp;"")),1)))</f>
        <v/>
      </c>
      <c r="I428" s="32">
        <f>IF(B428="","",MAX(0,IFERROR(INT(--(INDEX('Form Responses'!$G:$G,ROW())&amp;"")),0)))</f>
        <v/>
      </c>
      <c r="J428" s="32">
        <f>IF(B428="","",TRIM(INDEX('Form Responses'!$H:$H,ROW())&amp;""))</f>
        <v/>
      </c>
      <c r="K428" s="32">
        <f>IF(B428="","",TRIM(INDEX('Form Responses'!$I:$I,ROW())&amp;""))</f>
        <v/>
      </c>
      <c r="L428" s="32">
        <f>IF(B428="","",TRIM(INDEX('Form Responses'!$J:$J,ROW())&amp;""))</f>
        <v/>
      </c>
      <c r="M428" s="32">
        <f>IF(B428="","",TRIM(INDEX('Form Responses'!$K:$K,ROW())&amp;""))</f>
        <v/>
      </c>
      <c r="N428" s="32">
        <f>IF(B428="","",IF(E428&lt;&gt;"","P"&amp;E428,"N"&amp;B428))</f>
        <v/>
      </c>
      <c r="O428" s="32">
        <f>IF(N428="",0,IF(COUNTIF(N429:N$602,N428)=0,1,0))</f>
        <v/>
      </c>
      <c r="P428" s="32">
        <f>IF(AND(O428=1,E428&lt;&gt;""),E428,"")</f>
        <v/>
      </c>
      <c r="Q428" s="32">
        <f>IF(O428=1,B428,"")</f>
        <v/>
      </c>
      <c r="R428" s="32">
        <f>IF(O428&lt;&gt;1,"",IF(E428&lt;&gt;"",IFERROR(MATCH(E428,Guests!$S$6:$S$505,0)+5,IFERROR(MATCH(B428,Guests!$A$6:$A$505,0)+5,"")),IFERROR(MATCH(B428,Guests!$A$6:$A$505,0)+5,"")))</f>
        <v/>
      </c>
      <c r="S428" s="32">
        <f>IF(R428="","",TRIM(INDEX(Guests!$E$1:$E$505,R428)&amp;""))</f>
        <v/>
      </c>
      <c r="T428" s="32">
        <f>IF(R428="","",IF(S428="",1,COUNTIF(Guests!$E$6:$E$505,S428)))</f>
        <v/>
      </c>
      <c r="U428" s="32">
        <f>IF(R428="","",IF(S428="",1,IF(COUNTIF(S$1:S427,S428)=0,1,0)))</f>
        <v/>
      </c>
      <c r="V428" s="32">
        <f>IF(AND(R428&lt;&gt;"",G428="Attending",U428=1),MAX(0,H428+I428-T428),0)</f>
        <v/>
      </c>
      <c r="W428" s="32">
        <f>IF(AND(O428=1,R428=""),1,0)</f>
        <v/>
      </c>
      <c r="X428" s="32">
        <f>IF(B428="",0,H428+I428)</f>
        <v/>
      </c>
      <c r="Y428" s="32">
        <f>N(Y427)+O428</f>
        <v/>
      </c>
      <c r="Z428" s="32">
        <f>IF(O428=1,Y428,"")</f>
        <v/>
      </c>
      <c r="AA428" s="32">
        <f>IF(AND(W428=1,G428="Not sure yet"),1,0)</f>
        <v/>
      </c>
      <c r="AB428" s="32">
        <f>N(AB427)+AA428</f>
        <v/>
      </c>
      <c r="AC428" s="32">
        <f>IF(AA428=1,AB428,"")</f>
        <v/>
      </c>
      <c r="AD428" s="32">
        <f>IF(D428="","",IF(LEN(D428)=10,"+1"&amp;D428,IF(AND(LEN(D428)=11,LEFT(D428,1)="1"),"+"&amp;D428,IF(LEFT(C428,1)="+","+"&amp;D428,D428))))</f>
        <v/>
      </c>
      <c r="AE428" s="32">
        <f>IF(B428="","",PROPER(IFERROR(LEFT(B428,FIND(" ",B428)-1),B428)))</f>
        <v/>
      </c>
      <c r="AF428" s="32">
        <f>SUBSTITUTE(SUBSTITUTE(SUBSTITUTE(SUBSTITUTE(SUBSTITUTE(SUBSTITUTE(SUBSTITUTE(SUBSTITUTE(SUBSTITUTE(SUBSTITUTE(AE428,"%","%25"),"&amp;","%26"),"#","%23"),"+","%2B"),"=","%3D"),"?","%3F"),CHAR(34),"%22"),CHAR(10),"%0A"),CHAR(13),"")," ","+")</f>
        <v/>
      </c>
      <c r="AG428" s="32">
        <f>IF(OR(AD428="",AE428=""),"",'Start Here'!$B$20&amp;"#p="&amp;SUBSTITUTE(AD428,"+","%2B")&amp;"&amp;n="&amp;AF428&amp;"&amp;m="&amp;SUBSTITUTE('Start Here'!$B$24,"{name}",AF428))</f>
        <v/>
      </c>
      <c r="AH428" s="32">
        <f>N(AH427)+W428</f>
        <v/>
      </c>
      <c r="AI428" s="32">
        <f>IF(W428=1,AH428,"")</f>
        <v/>
      </c>
    </row>
    <row r="429">
      <c r="A429" s="32">
        <f>IF(INDEX('Form Responses'!$A:$A,ROW())="","",INDEX('Form Responses'!$A:$A,ROW()))</f>
        <v/>
      </c>
      <c r="B429" s="32">
        <f>TRIM(INDEX('Form Responses'!$B:$B,ROW())&amp;"")</f>
        <v/>
      </c>
      <c r="C429" s="32">
        <f>IF(B429="","",TRIM(INDEX('Form Responses'!$C:$C,ROW())&amp;""))</f>
        <v/>
      </c>
      <c r="D429" s="32">
        <f>SUBSTITUTE(SUBSTITUTE(SUBSTITUTE(SUBSTITUTE(SUBSTITUTE(SUBSTITUTE(SUBSTITUTE(SUBSTITUTE(C429," ",""),"-",""),"(",""),")",""),".",""),"+",""),"/",""),CHAR(160),"")</f>
        <v/>
      </c>
      <c r="E429" s="32">
        <f>IF(LEN(D429)&gt;=10,RIGHT(D429,10),D429)</f>
        <v/>
      </c>
      <c r="F429" s="32">
        <f>IF(B429="","",TRIM(INDEX('Form Responses'!$D:$D,ROW())&amp;""))</f>
        <v/>
      </c>
      <c r="G429" s="32">
        <f>IF(B429="","",IF(LEFT(TRIM(INDEX('Form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29" s="32">
        <f>IF(B429="","",MAX(0,IFERROR(INT(--(INDEX('Form Responses'!$F:$F,ROW())&amp;"")),1)))</f>
        <v/>
      </c>
      <c r="I429" s="32">
        <f>IF(B429="","",MAX(0,IFERROR(INT(--(INDEX('Form Responses'!$G:$G,ROW())&amp;"")),0)))</f>
        <v/>
      </c>
      <c r="J429" s="32">
        <f>IF(B429="","",TRIM(INDEX('Form Responses'!$H:$H,ROW())&amp;""))</f>
        <v/>
      </c>
      <c r="K429" s="32">
        <f>IF(B429="","",TRIM(INDEX('Form Responses'!$I:$I,ROW())&amp;""))</f>
        <v/>
      </c>
      <c r="L429" s="32">
        <f>IF(B429="","",TRIM(INDEX('Form Responses'!$J:$J,ROW())&amp;""))</f>
        <v/>
      </c>
      <c r="M429" s="32">
        <f>IF(B429="","",TRIM(INDEX('Form Responses'!$K:$K,ROW())&amp;""))</f>
        <v/>
      </c>
      <c r="N429" s="32">
        <f>IF(B429="","",IF(E429&lt;&gt;"","P"&amp;E429,"N"&amp;B429))</f>
        <v/>
      </c>
      <c r="O429" s="32">
        <f>IF(N429="",0,IF(COUNTIF(N430:N$602,N429)=0,1,0))</f>
        <v/>
      </c>
      <c r="P429" s="32">
        <f>IF(AND(O429=1,E429&lt;&gt;""),E429,"")</f>
        <v/>
      </c>
      <c r="Q429" s="32">
        <f>IF(O429=1,B429,"")</f>
        <v/>
      </c>
      <c r="R429" s="32">
        <f>IF(O429&lt;&gt;1,"",IF(E429&lt;&gt;"",IFERROR(MATCH(E429,Guests!$S$6:$S$505,0)+5,IFERROR(MATCH(B429,Guests!$A$6:$A$505,0)+5,"")),IFERROR(MATCH(B429,Guests!$A$6:$A$505,0)+5,"")))</f>
        <v/>
      </c>
      <c r="S429" s="32">
        <f>IF(R429="","",TRIM(INDEX(Guests!$E$1:$E$505,R429)&amp;""))</f>
        <v/>
      </c>
      <c r="T429" s="32">
        <f>IF(R429="","",IF(S429="",1,COUNTIF(Guests!$E$6:$E$505,S429)))</f>
        <v/>
      </c>
      <c r="U429" s="32">
        <f>IF(R429="","",IF(S429="",1,IF(COUNTIF(S$1:S428,S429)=0,1,0)))</f>
        <v/>
      </c>
      <c r="V429" s="32">
        <f>IF(AND(R429&lt;&gt;"",G429="Attending",U429=1),MAX(0,H429+I429-T429),0)</f>
        <v/>
      </c>
      <c r="W429" s="32">
        <f>IF(AND(O429=1,R429=""),1,0)</f>
        <v/>
      </c>
      <c r="X429" s="32">
        <f>IF(B429="",0,H429+I429)</f>
        <v/>
      </c>
      <c r="Y429" s="32">
        <f>N(Y428)+O429</f>
        <v/>
      </c>
      <c r="Z429" s="32">
        <f>IF(O429=1,Y429,"")</f>
        <v/>
      </c>
      <c r="AA429" s="32">
        <f>IF(AND(W429=1,G429="Not sure yet"),1,0)</f>
        <v/>
      </c>
      <c r="AB429" s="32">
        <f>N(AB428)+AA429</f>
        <v/>
      </c>
      <c r="AC429" s="32">
        <f>IF(AA429=1,AB429,"")</f>
        <v/>
      </c>
      <c r="AD429" s="32">
        <f>IF(D429="","",IF(LEN(D429)=10,"+1"&amp;D429,IF(AND(LEN(D429)=11,LEFT(D429,1)="1"),"+"&amp;D429,IF(LEFT(C429,1)="+","+"&amp;D429,D429))))</f>
        <v/>
      </c>
      <c r="AE429" s="32">
        <f>IF(B429="","",PROPER(IFERROR(LEFT(B429,FIND(" ",B429)-1),B429)))</f>
        <v/>
      </c>
      <c r="AF429" s="32">
        <f>SUBSTITUTE(SUBSTITUTE(SUBSTITUTE(SUBSTITUTE(SUBSTITUTE(SUBSTITUTE(SUBSTITUTE(SUBSTITUTE(SUBSTITUTE(SUBSTITUTE(AE429,"%","%25"),"&amp;","%26"),"#","%23"),"+","%2B"),"=","%3D"),"?","%3F"),CHAR(34),"%22"),CHAR(10),"%0A"),CHAR(13),"")," ","+")</f>
        <v/>
      </c>
      <c r="AG429" s="32">
        <f>IF(OR(AD429="",AE429=""),"",'Start Here'!$B$20&amp;"#p="&amp;SUBSTITUTE(AD429,"+","%2B")&amp;"&amp;n="&amp;AF429&amp;"&amp;m="&amp;SUBSTITUTE('Start Here'!$B$24,"{name}",AF429))</f>
        <v/>
      </c>
      <c r="AH429" s="32">
        <f>N(AH428)+W429</f>
        <v/>
      </c>
      <c r="AI429" s="32">
        <f>IF(W429=1,AH429,"")</f>
        <v/>
      </c>
    </row>
    <row r="430">
      <c r="A430" s="32">
        <f>IF(INDEX('Form Responses'!$A:$A,ROW())="","",INDEX('Form Responses'!$A:$A,ROW()))</f>
        <v/>
      </c>
      <c r="B430" s="32">
        <f>TRIM(INDEX('Form Responses'!$B:$B,ROW())&amp;"")</f>
        <v/>
      </c>
      <c r="C430" s="32">
        <f>IF(B430="","",TRIM(INDEX('Form Responses'!$C:$C,ROW())&amp;""))</f>
        <v/>
      </c>
      <c r="D430" s="32">
        <f>SUBSTITUTE(SUBSTITUTE(SUBSTITUTE(SUBSTITUTE(SUBSTITUTE(SUBSTITUTE(SUBSTITUTE(SUBSTITUTE(C430," ",""),"-",""),"(",""),")",""),".",""),"+",""),"/",""),CHAR(160),"")</f>
        <v/>
      </c>
      <c r="E430" s="32">
        <f>IF(LEN(D430)&gt;=10,RIGHT(D430,10),D430)</f>
        <v/>
      </c>
      <c r="F430" s="32">
        <f>IF(B430="","",TRIM(INDEX('Form Responses'!$D:$D,ROW())&amp;""))</f>
        <v/>
      </c>
      <c r="G430" s="32">
        <f>IF(B430="","",IF(LEFT(TRIM(INDEX('Form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0" s="32">
        <f>IF(B430="","",MAX(0,IFERROR(INT(--(INDEX('Form Responses'!$F:$F,ROW())&amp;"")),1)))</f>
        <v/>
      </c>
      <c r="I430" s="32">
        <f>IF(B430="","",MAX(0,IFERROR(INT(--(INDEX('Form Responses'!$G:$G,ROW())&amp;"")),0)))</f>
        <v/>
      </c>
      <c r="J430" s="32">
        <f>IF(B430="","",TRIM(INDEX('Form Responses'!$H:$H,ROW())&amp;""))</f>
        <v/>
      </c>
      <c r="K430" s="32">
        <f>IF(B430="","",TRIM(INDEX('Form Responses'!$I:$I,ROW())&amp;""))</f>
        <v/>
      </c>
      <c r="L430" s="32">
        <f>IF(B430="","",TRIM(INDEX('Form Responses'!$J:$J,ROW())&amp;""))</f>
        <v/>
      </c>
      <c r="M430" s="32">
        <f>IF(B430="","",TRIM(INDEX('Form Responses'!$K:$K,ROW())&amp;""))</f>
        <v/>
      </c>
      <c r="N430" s="32">
        <f>IF(B430="","",IF(E430&lt;&gt;"","P"&amp;E430,"N"&amp;B430))</f>
        <v/>
      </c>
      <c r="O430" s="32">
        <f>IF(N430="",0,IF(COUNTIF(N431:N$602,N430)=0,1,0))</f>
        <v/>
      </c>
      <c r="P430" s="32">
        <f>IF(AND(O430=1,E430&lt;&gt;""),E430,"")</f>
        <v/>
      </c>
      <c r="Q430" s="32">
        <f>IF(O430=1,B430,"")</f>
        <v/>
      </c>
      <c r="R430" s="32">
        <f>IF(O430&lt;&gt;1,"",IF(E430&lt;&gt;"",IFERROR(MATCH(E430,Guests!$S$6:$S$505,0)+5,IFERROR(MATCH(B430,Guests!$A$6:$A$505,0)+5,"")),IFERROR(MATCH(B430,Guests!$A$6:$A$505,0)+5,"")))</f>
        <v/>
      </c>
      <c r="S430" s="32">
        <f>IF(R430="","",TRIM(INDEX(Guests!$E$1:$E$505,R430)&amp;""))</f>
        <v/>
      </c>
      <c r="T430" s="32">
        <f>IF(R430="","",IF(S430="",1,COUNTIF(Guests!$E$6:$E$505,S430)))</f>
        <v/>
      </c>
      <c r="U430" s="32">
        <f>IF(R430="","",IF(S430="",1,IF(COUNTIF(S$1:S429,S430)=0,1,0)))</f>
        <v/>
      </c>
      <c r="V430" s="32">
        <f>IF(AND(R430&lt;&gt;"",G430="Attending",U430=1),MAX(0,H430+I430-T430),0)</f>
        <v/>
      </c>
      <c r="W430" s="32">
        <f>IF(AND(O430=1,R430=""),1,0)</f>
        <v/>
      </c>
      <c r="X430" s="32">
        <f>IF(B430="",0,H430+I430)</f>
        <v/>
      </c>
      <c r="Y430" s="32">
        <f>N(Y429)+O430</f>
        <v/>
      </c>
      <c r="Z430" s="32">
        <f>IF(O430=1,Y430,"")</f>
        <v/>
      </c>
      <c r="AA430" s="32">
        <f>IF(AND(W430=1,G430="Not sure yet"),1,0)</f>
        <v/>
      </c>
      <c r="AB430" s="32">
        <f>N(AB429)+AA430</f>
        <v/>
      </c>
      <c r="AC430" s="32">
        <f>IF(AA430=1,AB430,"")</f>
        <v/>
      </c>
      <c r="AD430" s="32">
        <f>IF(D430="","",IF(LEN(D430)=10,"+1"&amp;D430,IF(AND(LEN(D430)=11,LEFT(D430,1)="1"),"+"&amp;D430,IF(LEFT(C430,1)="+","+"&amp;D430,D430))))</f>
        <v/>
      </c>
      <c r="AE430" s="32">
        <f>IF(B430="","",PROPER(IFERROR(LEFT(B430,FIND(" ",B430)-1),B430)))</f>
        <v/>
      </c>
      <c r="AF430" s="32">
        <f>SUBSTITUTE(SUBSTITUTE(SUBSTITUTE(SUBSTITUTE(SUBSTITUTE(SUBSTITUTE(SUBSTITUTE(SUBSTITUTE(SUBSTITUTE(SUBSTITUTE(AE430,"%","%25"),"&amp;","%26"),"#","%23"),"+","%2B"),"=","%3D"),"?","%3F"),CHAR(34),"%22"),CHAR(10),"%0A"),CHAR(13),"")," ","+")</f>
        <v/>
      </c>
      <c r="AG430" s="32">
        <f>IF(OR(AD430="",AE430=""),"",'Start Here'!$B$20&amp;"#p="&amp;SUBSTITUTE(AD430,"+","%2B")&amp;"&amp;n="&amp;AF430&amp;"&amp;m="&amp;SUBSTITUTE('Start Here'!$B$24,"{name}",AF430))</f>
        <v/>
      </c>
      <c r="AH430" s="32">
        <f>N(AH429)+W430</f>
        <v/>
      </c>
      <c r="AI430" s="32">
        <f>IF(W430=1,AH430,"")</f>
        <v/>
      </c>
    </row>
    <row r="431">
      <c r="A431" s="32">
        <f>IF(INDEX('Form Responses'!$A:$A,ROW())="","",INDEX('Form Responses'!$A:$A,ROW()))</f>
        <v/>
      </c>
      <c r="B431" s="32">
        <f>TRIM(INDEX('Form Responses'!$B:$B,ROW())&amp;"")</f>
        <v/>
      </c>
      <c r="C431" s="32">
        <f>IF(B431="","",TRIM(INDEX('Form Responses'!$C:$C,ROW())&amp;""))</f>
        <v/>
      </c>
      <c r="D431" s="32">
        <f>SUBSTITUTE(SUBSTITUTE(SUBSTITUTE(SUBSTITUTE(SUBSTITUTE(SUBSTITUTE(SUBSTITUTE(SUBSTITUTE(C431," ",""),"-",""),"(",""),")",""),".",""),"+",""),"/",""),CHAR(160),"")</f>
        <v/>
      </c>
      <c r="E431" s="32">
        <f>IF(LEN(D431)&gt;=10,RIGHT(D431,10),D431)</f>
        <v/>
      </c>
      <c r="F431" s="32">
        <f>IF(B431="","",TRIM(INDEX('Form Responses'!$D:$D,ROW())&amp;""))</f>
        <v/>
      </c>
      <c r="G431" s="32">
        <f>IF(B431="","",IF(LEFT(TRIM(INDEX('Form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1" s="32">
        <f>IF(B431="","",MAX(0,IFERROR(INT(--(INDEX('Form Responses'!$F:$F,ROW())&amp;"")),1)))</f>
        <v/>
      </c>
      <c r="I431" s="32">
        <f>IF(B431="","",MAX(0,IFERROR(INT(--(INDEX('Form Responses'!$G:$G,ROW())&amp;"")),0)))</f>
        <v/>
      </c>
      <c r="J431" s="32">
        <f>IF(B431="","",TRIM(INDEX('Form Responses'!$H:$H,ROW())&amp;""))</f>
        <v/>
      </c>
      <c r="K431" s="32">
        <f>IF(B431="","",TRIM(INDEX('Form Responses'!$I:$I,ROW())&amp;""))</f>
        <v/>
      </c>
      <c r="L431" s="32">
        <f>IF(B431="","",TRIM(INDEX('Form Responses'!$J:$J,ROW())&amp;""))</f>
        <v/>
      </c>
      <c r="M431" s="32">
        <f>IF(B431="","",TRIM(INDEX('Form Responses'!$K:$K,ROW())&amp;""))</f>
        <v/>
      </c>
      <c r="N431" s="32">
        <f>IF(B431="","",IF(E431&lt;&gt;"","P"&amp;E431,"N"&amp;B431))</f>
        <v/>
      </c>
      <c r="O431" s="32">
        <f>IF(N431="",0,IF(COUNTIF(N432:N$602,N431)=0,1,0))</f>
        <v/>
      </c>
      <c r="P431" s="32">
        <f>IF(AND(O431=1,E431&lt;&gt;""),E431,"")</f>
        <v/>
      </c>
      <c r="Q431" s="32">
        <f>IF(O431=1,B431,"")</f>
        <v/>
      </c>
      <c r="R431" s="32">
        <f>IF(O431&lt;&gt;1,"",IF(E431&lt;&gt;"",IFERROR(MATCH(E431,Guests!$S$6:$S$505,0)+5,IFERROR(MATCH(B431,Guests!$A$6:$A$505,0)+5,"")),IFERROR(MATCH(B431,Guests!$A$6:$A$505,0)+5,"")))</f>
        <v/>
      </c>
      <c r="S431" s="32">
        <f>IF(R431="","",TRIM(INDEX(Guests!$E$1:$E$505,R431)&amp;""))</f>
        <v/>
      </c>
      <c r="T431" s="32">
        <f>IF(R431="","",IF(S431="",1,COUNTIF(Guests!$E$6:$E$505,S431)))</f>
        <v/>
      </c>
      <c r="U431" s="32">
        <f>IF(R431="","",IF(S431="",1,IF(COUNTIF(S$1:S430,S431)=0,1,0)))</f>
        <v/>
      </c>
      <c r="V431" s="32">
        <f>IF(AND(R431&lt;&gt;"",G431="Attending",U431=1),MAX(0,H431+I431-T431),0)</f>
        <v/>
      </c>
      <c r="W431" s="32">
        <f>IF(AND(O431=1,R431=""),1,0)</f>
        <v/>
      </c>
      <c r="X431" s="32">
        <f>IF(B431="",0,H431+I431)</f>
        <v/>
      </c>
      <c r="Y431" s="32">
        <f>N(Y430)+O431</f>
        <v/>
      </c>
      <c r="Z431" s="32">
        <f>IF(O431=1,Y431,"")</f>
        <v/>
      </c>
      <c r="AA431" s="32">
        <f>IF(AND(W431=1,G431="Not sure yet"),1,0)</f>
        <v/>
      </c>
      <c r="AB431" s="32">
        <f>N(AB430)+AA431</f>
        <v/>
      </c>
      <c r="AC431" s="32">
        <f>IF(AA431=1,AB431,"")</f>
        <v/>
      </c>
      <c r="AD431" s="32">
        <f>IF(D431="","",IF(LEN(D431)=10,"+1"&amp;D431,IF(AND(LEN(D431)=11,LEFT(D431,1)="1"),"+"&amp;D431,IF(LEFT(C431,1)="+","+"&amp;D431,D431))))</f>
        <v/>
      </c>
      <c r="AE431" s="32">
        <f>IF(B431="","",PROPER(IFERROR(LEFT(B431,FIND(" ",B431)-1),B431)))</f>
        <v/>
      </c>
      <c r="AF431" s="32">
        <f>SUBSTITUTE(SUBSTITUTE(SUBSTITUTE(SUBSTITUTE(SUBSTITUTE(SUBSTITUTE(SUBSTITUTE(SUBSTITUTE(SUBSTITUTE(SUBSTITUTE(AE431,"%","%25"),"&amp;","%26"),"#","%23"),"+","%2B"),"=","%3D"),"?","%3F"),CHAR(34),"%22"),CHAR(10),"%0A"),CHAR(13),"")," ","+")</f>
        <v/>
      </c>
      <c r="AG431" s="32">
        <f>IF(OR(AD431="",AE431=""),"",'Start Here'!$B$20&amp;"#p="&amp;SUBSTITUTE(AD431,"+","%2B")&amp;"&amp;n="&amp;AF431&amp;"&amp;m="&amp;SUBSTITUTE('Start Here'!$B$24,"{name}",AF431))</f>
        <v/>
      </c>
      <c r="AH431" s="32">
        <f>N(AH430)+W431</f>
        <v/>
      </c>
      <c r="AI431" s="32">
        <f>IF(W431=1,AH431,"")</f>
        <v/>
      </c>
    </row>
    <row r="432">
      <c r="A432" s="32">
        <f>IF(INDEX('Form Responses'!$A:$A,ROW())="","",INDEX('Form Responses'!$A:$A,ROW()))</f>
        <v/>
      </c>
      <c r="B432" s="32">
        <f>TRIM(INDEX('Form Responses'!$B:$B,ROW())&amp;"")</f>
        <v/>
      </c>
      <c r="C432" s="32">
        <f>IF(B432="","",TRIM(INDEX('Form Responses'!$C:$C,ROW())&amp;""))</f>
        <v/>
      </c>
      <c r="D432" s="32">
        <f>SUBSTITUTE(SUBSTITUTE(SUBSTITUTE(SUBSTITUTE(SUBSTITUTE(SUBSTITUTE(SUBSTITUTE(SUBSTITUTE(C432," ",""),"-",""),"(",""),")",""),".",""),"+",""),"/",""),CHAR(160),"")</f>
        <v/>
      </c>
      <c r="E432" s="32">
        <f>IF(LEN(D432)&gt;=10,RIGHT(D432,10),D432)</f>
        <v/>
      </c>
      <c r="F432" s="32">
        <f>IF(B432="","",TRIM(INDEX('Form Responses'!$D:$D,ROW())&amp;""))</f>
        <v/>
      </c>
      <c r="G432" s="32">
        <f>IF(B432="","",IF(LEFT(TRIM(INDEX('Form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2" s="32">
        <f>IF(B432="","",MAX(0,IFERROR(INT(--(INDEX('Form Responses'!$F:$F,ROW())&amp;"")),1)))</f>
        <v/>
      </c>
      <c r="I432" s="32">
        <f>IF(B432="","",MAX(0,IFERROR(INT(--(INDEX('Form Responses'!$G:$G,ROW())&amp;"")),0)))</f>
        <v/>
      </c>
      <c r="J432" s="32">
        <f>IF(B432="","",TRIM(INDEX('Form Responses'!$H:$H,ROW())&amp;""))</f>
        <v/>
      </c>
      <c r="K432" s="32">
        <f>IF(B432="","",TRIM(INDEX('Form Responses'!$I:$I,ROW())&amp;""))</f>
        <v/>
      </c>
      <c r="L432" s="32">
        <f>IF(B432="","",TRIM(INDEX('Form Responses'!$J:$J,ROW())&amp;""))</f>
        <v/>
      </c>
      <c r="M432" s="32">
        <f>IF(B432="","",TRIM(INDEX('Form Responses'!$K:$K,ROW())&amp;""))</f>
        <v/>
      </c>
      <c r="N432" s="32">
        <f>IF(B432="","",IF(E432&lt;&gt;"","P"&amp;E432,"N"&amp;B432))</f>
        <v/>
      </c>
      <c r="O432" s="32">
        <f>IF(N432="",0,IF(COUNTIF(N433:N$602,N432)=0,1,0))</f>
        <v/>
      </c>
      <c r="P432" s="32">
        <f>IF(AND(O432=1,E432&lt;&gt;""),E432,"")</f>
        <v/>
      </c>
      <c r="Q432" s="32">
        <f>IF(O432=1,B432,"")</f>
        <v/>
      </c>
      <c r="R432" s="32">
        <f>IF(O432&lt;&gt;1,"",IF(E432&lt;&gt;"",IFERROR(MATCH(E432,Guests!$S$6:$S$505,0)+5,IFERROR(MATCH(B432,Guests!$A$6:$A$505,0)+5,"")),IFERROR(MATCH(B432,Guests!$A$6:$A$505,0)+5,"")))</f>
        <v/>
      </c>
      <c r="S432" s="32">
        <f>IF(R432="","",TRIM(INDEX(Guests!$E$1:$E$505,R432)&amp;""))</f>
        <v/>
      </c>
      <c r="T432" s="32">
        <f>IF(R432="","",IF(S432="",1,COUNTIF(Guests!$E$6:$E$505,S432)))</f>
        <v/>
      </c>
      <c r="U432" s="32">
        <f>IF(R432="","",IF(S432="",1,IF(COUNTIF(S$1:S431,S432)=0,1,0)))</f>
        <v/>
      </c>
      <c r="V432" s="32">
        <f>IF(AND(R432&lt;&gt;"",G432="Attending",U432=1),MAX(0,H432+I432-T432),0)</f>
        <v/>
      </c>
      <c r="W432" s="32">
        <f>IF(AND(O432=1,R432=""),1,0)</f>
        <v/>
      </c>
      <c r="X432" s="32">
        <f>IF(B432="",0,H432+I432)</f>
        <v/>
      </c>
      <c r="Y432" s="32">
        <f>N(Y431)+O432</f>
        <v/>
      </c>
      <c r="Z432" s="32">
        <f>IF(O432=1,Y432,"")</f>
        <v/>
      </c>
      <c r="AA432" s="32">
        <f>IF(AND(W432=1,G432="Not sure yet"),1,0)</f>
        <v/>
      </c>
      <c r="AB432" s="32">
        <f>N(AB431)+AA432</f>
        <v/>
      </c>
      <c r="AC432" s="32">
        <f>IF(AA432=1,AB432,"")</f>
        <v/>
      </c>
      <c r="AD432" s="32">
        <f>IF(D432="","",IF(LEN(D432)=10,"+1"&amp;D432,IF(AND(LEN(D432)=11,LEFT(D432,1)="1"),"+"&amp;D432,IF(LEFT(C432,1)="+","+"&amp;D432,D432))))</f>
        <v/>
      </c>
      <c r="AE432" s="32">
        <f>IF(B432="","",PROPER(IFERROR(LEFT(B432,FIND(" ",B432)-1),B432)))</f>
        <v/>
      </c>
      <c r="AF432" s="32">
        <f>SUBSTITUTE(SUBSTITUTE(SUBSTITUTE(SUBSTITUTE(SUBSTITUTE(SUBSTITUTE(SUBSTITUTE(SUBSTITUTE(SUBSTITUTE(SUBSTITUTE(AE432,"%","%25"),"&amp;","%26"),"#","%23"),"+","%2B"),"=","%3D"),"?","%3F"),CHAR(34),"%22"),CHAR(10),"%0A"),CHAR(13),"")," ","+")</f>
        <v/>
      </c>
      <c r="AG432" s="32">
        <f>IF(OR(AD432="",AE432=""),"",'Start Here'!$B$20&amp;"#p="&amp;SUBSTITUTE(AD432,"+","%2B")&amp;"&amp;n="&amp;AF432&amp;"&amp;m="&amp;SUBSTITUTE('Start Here'!$B$24,"{name}",AF432))</f>
        <v/>
      </c>
      <c r="AH432" s="32">
        <f>N(AH431)+W432</f>
        <v/>
      </c>
      <c r="AI432" s="32">
        <f>IF(W432=1,AH432,"")</f>
        <v/>
      </c>
    </row>
    <row r="433">
      <c r="A433" s="32">
        <f>IF(INDEX('Form Responses'!$A:$A,ROW())="","",INDEX('Form Responses'!$A:$A,ROW()))</f>
        <v/>
      </c>
      <c r="B433" s="32">
        <f>TRIM(INDEX('Form Responses'!$B:$B,ROW())&amp;"")</f>
        <v/>
      </c>
      <c r="C433" s="32">
        <f>IF(B433="","",TRIM(INDEX('Form Responses'!$C:$C,ROW())&amp;""))</f>
        <v/>
      </c>
      <c r="D433" s="32">
        <f>SUBSTITUTE(SUBSTITUTE(SUBSTITUTE(SUBSTITUTE(SUBSTITUTE(SUBSTITUTE(SUBSTITUTE(SUBSTITUTE(C433," ",""),"-",""),"(",""),")",""),".",""),"+",""),"/",""),CHAR(160),"")</f>
        <v/>
      </c>
      <c r="E433" s="32">
        <f>IF(LEN(D433)&gt;=10,RIGHT(D433,10),D433)</f>
        <v/>
      </c>
      <c r="F433" s="32">
        <f>IF(B433="","",TRIM(INDEX('Form Responses'!$D:$D,ROW())&amp;""))</f>
        <v/>
      </c>
      <c r="G433" s="32">
        <f>IF(B433="","",IF(LEFT(TRIM(INDEX('Form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3" s="32">
        <f>IF(B433="","",MAX(0,IFERROR(INT(--(INDEX('Form Responses'!$F:$F,ROW())&amp;"")),1)))</f>
        <v/>
      </c>
      <c r="I433" s="32">
        <f>IF(B433="","",MAX(0,IFERROR(INT(--(INDEX('Form Responses'!$G:$G,ROW())&amp;"")),0)))</f>
        <v/>
      </c>
      <c r="J433" s="32">
        <f>IF(B433="","",TRIM(INDEX('Form Responses'!$H:$H,ROW())&amp;""))</f>
        <v/>
      </c>
      <c r="K433" s="32">
        <f>IF(B433="","",TRIM(INDEX('Form Responses'!$I:$I,ROW())&amp;""))</f>
        <v/>
      </c>
      <c r="L433" s="32">
        <f>IF(B433="","",TRIM(INDEX('Form Responses'!$J:$J,ROW())&amp;""))</f>
        <v/>
      </c>
      <c r="M433" s="32">
        <f>IF(B433="","",TRIM(INDEX('Form Responses'!$K:$K,ROW())&amp;""))</f>
        <v/>
      </c>
      <c r="N433" s="32">
        <f>IF(B433="","",IF(E433&lt;&gt;"","P"&amp;E433,"N"&amp;B433))</f>
        <v/>
      </c>
      <c r="O433" s="32">
        <f>IF(N433="",0,IF(COUNTIF(N434:N$602,N433)=0,1,0))</f>
        <v/>
      </c>
      <c r="P433" s="32">
        <f>IF(AND(O433=1,E433&lt;&gt;""),E433,"")</f>
        <v/>
      </c>
      <c r="Q433" s="32">
        <f>IF(O433=1,B433,"")</f>
        <v/>
      </c>
      <c r="R433" s="32">
        <f>IF(O433&lt;&gt;1,"",IF(E433&lt;&gt;"",IFERROR(MATCH(E433,Guests!$S$6:$S$505,0)+5,IFERROR(MATCH(B433,Guests!$A$6:$A$505,0)+5,"")),IFERROR(MATCH(B433,Guests!$A$6:$A$505,0)+5,"")))</f>
        <v/>
      </c>
      <c r="S433" s="32">
        <f>IF(R433="","",TRIM(INDEX(Guests!$E$1:$E$505,R433)&amp;""))</f>
        <v/>
      </c>
      <c r="T433" s="32">
        <f>IF(R433="","",IF(S433="",1,COUNTIF(Guests!$E$6:$E$505,S433)))</f>
        <v/>
      </c>
      <c r="U433" s="32">
        <f>IF(R433="","",IF(S433="",1,IF(COUNTIF(S$1:S432,S433)=0,1,0)))</f>
        <v/>
      </c>
      <c r="V433" s="32">
        <f>IF(AND(R433&lt;&gt;"",G433="Attending",U433=1),MAX(0,H433+I433-T433),0)</f>
        <v/>
      </c>
      <c r="W433" s="32">
        <f>IF(AND(O433=1,R433=""),1,0)</f>
        <v/>
      </c>
      <c r="X433" s="32">
        <f>IF(B433="",0,H433+I433)</f>
        <v/>
      </c>
      <c r="Y433" s="32">
        <f>N(Y432)+O433</f>
        <v/>
      </c>
      <c r="Z433" s="32">
        <f>IF(O433=1,Y433,"")</f>
        <v/>
      </c>
      <c r="AA433" s="32">
        <f>IF(AND(W433=1,G433="Not sure yet"),1,0)</f>
        <v/>
      </c>
      <c r="AB433" s="32">
        <f>N(AB432)+AA433</f>
        <v/>
      </c>
      <c r="AC433" s="32">
        <f>IF(AA433=1,AB433,"")</f>
        <v/>
      </c>
      <c r="AD433" s="32">
        <f>IF(D433="","",IF(LEN(D433)=10,"+1"&amp;D433,IF(AND(LEN(D433)=11,LEFT(D433,1)="1"),"+"&amp;D433,IF(LEFT(C433,1)="+","+"&amp;D433,D433))))</f>
        <v/>
      </c>
      <c r="AE433" s="32">
        <f>IF(B433="","",PROPER(IFERROR(LEFT(B433,FIND(" ",B433)-1),B433)))</f>
        <v/>
      </c>
      <c r="AF433" s="32">
        <f>SUBSTITUTE(SUBSTITUTE(SUBSTITUTE(SUBSTITUTE(SUBSTITUTE(SUBSTITUTE(SUBSTITUTE(SUBSTITUTE(SUBSTITUTE(SUBSTITUTE(AE433,"%","%25"),"&amp;","%26"),"#","%23"),"+","%2B"),"=","%3D"),"?","%3F"),CHAR(34),"%22"),CHAR(10),"%0A"),CHAR(13),"")," ","+")</f>
        <v/>
      </c>
      <c r="AG433" s="32">
        <f>IF(OR(AD433="",AE433=""),"",'Start Here'!$B$20&amp;"#p="&amp;SUBSTITUTE(AD433,"+","%2B")&amp;"&amp;n="&amp;AF433&amp;"&amp;m="&amp;SUBSTITUTE('Start Here'!$B$24,"{name}",AF433))</f>
        <v/>
      </c>
      <c r="AH433" s="32">
        <f>N(AH432)+W433</f>
        <v/>
      </c>
      <c r="AI433" s="32">
        <f>IF(W433=1,AH433,"")</f>
        <v/>
      </c>
    </row>
    <row r="434">
      <c r="A434" s="32">
        <f>IF(INDEX('Form Responses'!$A:$A,ROW())="","",INDEX('Form Responses'!$A:$A,ROW()))</f>
        <v/>
      </c>
      <c r="B434" s="32">
        <f>TRIM(INDEX('Form Responses'!$B:$B,ROW())&amp;"")</f>
        <v/>
      </c>
      <c r="C434" s="32">
        <f>IF(B434="","",TRIM(INDEX('Form Responses'!$C:$C,ROW())&amp;""))</f>
        <v/>
      </c>
      <c r="D434" s="32">
        <f>SUBSTITUTE(SUBSTITUTE(SUBSTITUTE(SUBSTITUTE(SUBSTITUTE(SUBSTITUTE(SUBSTITUTE(SUBSTITUTE(C434," ",""),"-",""),"(",""),")",""),".",""),"+",""),"/",""),CHAR(160),"")</f>
        <v/>
      </c>
      <c r="E434" s="32">
        <f>IF(LEN(D434)&gt;=10,RIGHT(D434,10),D434)</f>
        <v/>
      </c>
      <c r="F434" s="32">
        <f>IF(B434="","",TRIM(INDEX('Form Responses'!$D:$D,ROW())&amp;""))</f>
        <v/>
      </c>
      <c r="G434" s="32">
        <f>IF(B434="","",IF(LEFT(TRIM(INDEX('Form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4" s="32">
        <f>IF(B434="","",MAX(0,IFERROR(INT(--(INDEX('Form Responses'!$F:$F,ROW())&amp;"")),1)))</f>
        <v/>
      </c>
      <c r="I434" s="32">
        <f>IF(B434="","",MAX(0,IFERROR(INT(--(INDEX('Form Responses'!$G:$G,ROW())&amp;"")),0)))</f>
        <v/>
      </c>
      <c r="J434" s="32">
        <f>IF(B434="","",TRIM(INDEX('Form Responses'!$H:$H,ROW())&amp;""))</f>
        <v/>
      </c>
      <c r="K434" s="32">
        <f>IF(B434="","",TRIM(INDEX('Form Responses'!$I:$I,ROW())&amp;""))</f>
        <v/>
      </c>
      <c r="L434" s="32">
        <f>IF(B434="","",TRIM(INDEX('Form Responses'!$J:$J,ROW())&amp;""))</f>
        <v/>
      </c>
      <c r="M434" s="32">
        <f>IF(B434="","",TRIM(INDEX('Form Responses'!$K:$K,ROW())&amp;""))</f>
        <v/>
      </c>
      <c r="N434" s="32">
        <f>IF(B434="","",IF(E434&lt;&gt;"","P"&amp;E434,"N"&amp;B434))</f>
        <v/>
      </c>
      <c r="O434" s="32">
        <f>IF(N434="",0,IF(COUNTIF(N435:N$602,N434)=0,1,0))</f>
        <v/>
      </c>
      <c r="P434" s="32">
        <f>IF(AND(O434=1,E434&lt;&gt;""),E434,"")</f>
        <v/>
      </c>
      <c r="Q434" s="32">
        <f>IF(O434=1,B434,"")</f>
        <v/>
      </c>
      <c r="R434" s="32">
        <f>IF(O434&lt;&gt;1,"",IF(E434&lt;&gt;"",IFERROR(MATCH(E434,Guests!$S$6:$S$505,0)+5,IFERROR(MATCH(B434,Guests!$A$6:$A$505,0)+5,"")),IFERROR(MATCH(B434,Guests!$A$6:$A$505,0)+5,"")))</f>
        <v/>
      </c>
      <c r="S434" s="32">
        <f>IF(R434="","",TRIM(INDEX(Guests!$E$1:$E$505,R434)&amp;""))</f>
        <v/>
      </c>
      <c r="T434" s="32">
        <f>IF(R434="","",IF(S434="",1,COUNTIF(Guests!$E$6:$E$505,S434)))</f>
        <v/>
      </c>
      <c r="U434" s="32">
        <f>IF(R434="","",IF(S434="",1,IF(COUNTIF(S$1:S433,S434)=0,1,0)))</f>
        <v/>
      </c>
      <c r="V434" s="32">
        <f>IF(AND(R434&lt;&gt;"",G434="Attending",U434=1),MAX(0,H434+I434-T434),0)</f>
        <v/>
      </c>
      <c r="W434" s="32">
        <f>IF(AND(O434=1,R434=""),1,0)</f>
        <v/>
      </c>
      <c r="X434" s="32">
        <f>IF(B434="",0,H434+I434)</f>
        <v/>
      </c>
      <c r="Y434" s="32">
        <f>N(Y433)+O434</f>
        <v/>
      </c>
      <c r="Z434" s="32">
        <f>IF(O434=1,Y434,"")</f>
        <v/>
      </c>
      <c r="AA434" s="32">
        <f>IF(AND(W434=1,G434="Not sure yet"),1,0)</f>
        <v/>
      </c>
      <c r="AB434" s="32">
        <f>N(AB433)+AA434</f>
        <v/>
      </c>
      <c r="AC434" s="32">
        <f>IF(AA434=1,AB434,"")</f>
        <v/>
      </c>
      <c r="AD434" s="32">
        <f>IF(D434="","",IF(LEN(D434)=10,"+1"&amp;D434,IF(AND(LEN(D434)=11,LEFT(D434,1)="1"),"+"&amp;D434,IF(LEFT(C434,1)="+","+"&amp;D434,D434))))</f>
        <v/>
      </c>
      <c r="AE434" s="32">
        <f>IF(B434="","",PROPER(IFERROR(LEFT(B434,FIND(" ",B434)-1),B434)))</f>
        <v/>
      </c>
      <c r="AF434" s="32">
        <f>SUBSTITUTE(SUBSTITUTE(SUBSTITUTE(SUBSTITUTE(SUBSTITUTE(SUBSTITUTE(SUBSTITUTE(SUBSTITUTE(SUBSTITUTE(SUBSTITUTE(AE434,"%","%25"),"&amp;","%26"),"#","%23"),"+","%2B"),"=","%3D"),"?","%3F"),CHAR(34),"%22"),CHAR(10),"%0A"),CHAR(13),"")," ","+")</f>
        <v/>
      </c>
      <c r="AG434" s="32">
        <f>IF(OR(AD434="",AE434=""),"",'Start Here'!$B$20&amp;"#p="&amp;SUBSTITUTE(AD434,"+","%2B")&amp;"&amp;n="&amp;AF434&amp;"&amp;m="&amp;SUBSTITUTE('Start Here'!$B$24,"{name}",AF434))</f>
        <v/>
      </c>
      <c r="AH434" s="32">
        <f>N(AH433)+W434</f>
        <v/>
      </c>
      <c r="AI434" s="32">
        <f>IF(W434=1,AH434,"")</f>
        <v/>
      </c>
    </row>
    <row r="435">
      <c r="A435" s="32">
        <f>IF(INDEX('Form Responses'!$A:$A,ROW())="","",INDEX('Form Responses'!$A:$A,ROW()))</f>
        <v/>
      </c>
      <c r="B435" s="32">
        <f>TRIM(INDEX('Form Responses'!$B:$B,ROW())&amp;"")</f>
        <v/>
      </c>
      <c r="C435" s="32">
        <f>IF(B435="","",TRIM(INDEX('Form Responses'!$C:$C,ROW())&amp;""))</f>
        <v/>
      </c>
      <c r="D435" s="32">
        <f>SUBSTITUTE(SUBSTITUTE(SUBSTITUTE(SUBSTITUTE(SUBSTITUTE(SUBSTITUTE(SUBSTITUTE(SUBSTITUTE(C435," ",""),"-",""),"(",""),")",""),".",""),"+",""),"/",""),CHAR(160),"")</f>
        <v/>
      </c>
      <c r="E435" s="32">
        <f>IF(LEN(D435)&gt;=10,RIGHT(D435,10),D435)</f>
        <v/>
      </c>
      <c r="F435" s="32">
        <f>IF(B435="","",TRIM(INDEX('Form Responses'!$D:$D,ROW())&amp;""))</f>
        <v/>
      </c>
      <c r="G435" s="32">
        <f>IF(B435="","",IF(LEFT(TRIM(INDEX('Form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5" s="32">
        <f>IF(B435="","",MAX(0,IFERROR(INT(--(INDEX('Form Responses'!$F:$F,ROW())&amp;"")),1)))</f>
        <v/>
      </c>
      <c r="I435" s="32">
        <f>IF(B435="","",MAX(0,IFERROR(INT(--(INDEX('Form Responses'!$G:$G,ROW())&amp;"")),0)))</f>
        <v/>
      </c>
      <c r="J435" s="32">
        <f>IF(B435="","",TRIM(INDEX('Form Responses'!$H:$H,ROW())&amp;""))</f>
        <v/>
      </c>
      <c r="K435" s="32">
        <f>IF(B435="","",TRIM(INDEX('Form Responses'!$I:$I,ROW())&amp;""))</f>
        <v/>
      </c>
      <c r="L435" s="32">
        <f>IF(B435="","",TRIM(INDEX('Form Responses'!$J:$J,ROW())&amp;""))</f>
        <v/>
      </c>
      <c r="M435" s="32">
        <f>IF(B435="","",TRIM(INDEX('Form Responses'!$K:$K,ROW())&amp;""))</f>
        <v/>
      </c>
      <c r="N435" s="32">
        <f>IF(B435="","",IF(E435&lt;&gt;"","P"&amp;E435,"N"&amp;B435))</f>
        <v/>
      </c>
      <c r="O435" s="32">
        <f>IF(N435="",0,IF(COUNTIF(N436:N$602,N435)=0,1,0))</f>
        <v/>
      </c>
      <c r="P435" s="32">
        <f>IF(AND(O435=1,E435&lt;&gt;""),E435,"")</f>
        <v/>
      </c>
      <c r="Q435" s="32">
        <f>IF(O435=1,B435,"")</f>
        <v/>
      </c>
      <c r="R435" s="32">
        <f>IF(O435&lt;&gt;1,"",IF(E435&lt;&gt;"",IFERROR(MATCH(E435,Guests!$S$6:$S$505,0)+5,IFERROR(MATCH(B435,Guests!$A$6:$A$505,0)+5,"")),IFERROR(MATCH(B435,Guests!$A$6:$A$505,0)+5,"")))</f>
        <v/>
      </c>
      <c r="S435" s="32">
        <f>IF(R435="","",TRIM(INDEX(Guests!$E$1:$E$505,R435)&amp;""))</f>
        <v/>
      </c>
      <c r="T435" s="32">
        <f>IF(R435="","",IF(S435="",1,COUNTIF(Guests!$E$6:$E$505,S435)))</f>
        <v/>
      </c>
      <c r="U435" s="32">
        <f>IF(R435="","",IF(S435="",1,IF(COUNTIF(S$1:S434,S435)=0,1,0)))</f>
        <v/>
      </c>
      <c r="V435" s="32">
        <f>IF(AND(R435&lt;&gt;"",G435="Attending",U435=1),MAX(0,H435+I435-T435),0)</f>
        <v/>
      </c>
      <c r="W435" s="32">
        <f>IF(AND(O435=1,R435=""),1,0)</f>
        <v/>
      </c>
      <c r="X435" s="32">
        <f>IF(B435="",0,H435+I435)</f>
        <v/>
      </c>
      <c r="Y435" s="32">
        <f>N(Y434)+O435</f>
        <v/>
      </c>
      <c r="Z435" s="32">
        <f>IF(O435=1,Y435,"")</f>
        <v/>
      </c>
      <c r="AA435" s="32">
        <f>IF(AND(W435=1,G435="Not sure yet"),1,0)</f>
        <v/>
      </c>
      <c r="AB435" s="32">
        <f>N(AB434)+AA435</f>
        <v/>
      </c>
      <c r="AC435" s="32">
        <f>IF(AA435=1,AB435,"")</f>
        <v/>
      </c>
      <c r="AD435" s="32">
        <f>IF(D435="","",IF(LEN(D435)=10,"+1"&amp;D435,IF(AND(LEN(D435)=11,LEFT(D435,1)="1"),"+"&amp;D435,IF(LEFT(C435,1)="+","+"&amp;D435,D435))))</f>
        <v/>
      </c>
      <c r="AE435" s="32">
        <f>IF(B435="","",PROPER(IFERROR(LEFT(B435,FIND(" ",B435)-1),B435)))</f>
        <v/>
      </c>
      <c r="AF435" s="32">
        <f>SUBSTITUTE(SUBSTITUTE(SUBSTITUTE(SUBSTITUTE(SUBSTITUTE(SUBSTITUTE(SUBSTITUTE(SUBSTITUTE(SUBSTITUTE(SUBSTITUTE(AE435,"%","%25"),"&amp;","%26"),"#","%23"),"+","%2B"),"=","%3D"),"?","%3F"),CHAR(34),"%22"),CHAR(10),"%0A"),CHAR(13),"")," ","+")</f>
        <v/>
      </c>
      <c r="AG435" s="32">
        <f>IF(OR(AD435="",AE435=""),"",'Start Here'!$B$20&amp;"#p="&amp;SUBSTITUTE(AD435,"+","%2B")&amp;"&amp;n="&amp;AF435&amp;"&amp;m="&amp;SUBSTITUTE('Start Here'!$B$24,"{name}",AF435))</f>
        <v/>
      </c>
      <c r="AH435" s="32">
        <f>N(AH434)+W435</f>
        <v/>
      </c>
      <c r="AI435" s="32">
        <f>IF(W435=1,AH435,"")</f>
        <v/>
      </c>
    </row>
    <row r="436">
      <c r="A436" s="32">
        <f>IF(INDEX('Form Responses'!$A:$A,ROW())="","",INDEX('Form Responses'!$A:$A,ROW()))</f>
        <v/>
      </c>
      <c r="B436" s="32">
        <f>TRIM(INDEX('Form Responses'!$B:$B,ROW())&amp;"")</f>
        <v/>
      </c>
      <c r="C436" s="32">
        <f>IF(B436="","",TRIM(INDEX('Form Responses'!$C:$C,ROW())&amp;""))</f>
        <v/>
      </c>
      <c r="D436" s="32">
        <f>SUBSTITUTE(SUBSTITUTE(SUBSTITUTE(SUBSTITUTE(SUBSTITUTE(SUBSTITUTE(SUBSTITUTE(SUBSTITUTE(C436," ",""),"-",""),"(",""),")",""),".",""),"+",""),"/",""),CHAR(160),"")</f>
        <v/>
      </c>
      <c r="E436" s="32">
        <f>IF(LEN(D436)&gt;=10,RIGHT(D436,10),D436)</f>
        <v/>
      </c>
      <c r="F436" s="32">
        <f>IF(B436="","",TRIM(INDEX('Form Responses'!$D:$D,ROW())&amp;""))</f>
        <v/>
      </c>
      <c r="G436" s="32">
        <f>IF(B436="","",IF(LEFT(TRIM(INDEX('Form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6" s="32">
        <f>IF(B436="","",MAX(0,IFERROR(INT(--(INDEX('Form Responses'!$F:$F,ROW())&amp;"")),1)))</f>
        <v/>
      </c>
      <c r="I436" s="32">
        <f>IF(B436="","",MAX(0,IFERROR(INT(--(INDEX('Form Responses'!$G:$G,ROW())&amp;"")),0)))</f>
        <v/>
      </c>
      <c r="J436" s="32">
        <f>IF(B436="","",TRIM(INDEX('Form Responses'!$H:$H,ROW())&amp;""))</f>
        <v/>
      </c>
      <c r="K436" s="32">
        <f>IF(B436="","",TRIM(INDEX('Form Responses'!$I:$I,ROW())&amp;""))</f>
        <v/>
      </c>
      <c r="L436" s="32">
        <f>IF(B436="","",TRIM(INDEX('Form Responses'!$J:$J,ROW())&amp;""))</f>
        <v/>
      </c>
      <c r="M436" s="32">
        <f>IF(B436="","",TRIM(INDEX('Form Responses'!$K:$K,ROW())&amp;""))</f>
        <v/>
      </c>
      <c r="N436" s="32">
        <f>IF(B436="","",IF(E436&lt;&gt;"","P"&amp;E436,"N"&amp;B436))</f>
        <v/>
      </c>
      <c r="O436" s="32">
        <f>IF(N436="",0,IF(COUNTIF(N437:N$602,N436)=0,1,0))</f>
        <v/>
      </c>
      <c r="P436" s="32">
        <f>IF(AND(O436=1,E436&lt;&gt;""),E436,"")</f>
        <v/>
      </c>
      <c r="Q436" s="32">
        <f>IF(O436=1,B436,"")</f>
        <v/>
      </c>
      <c r="R436" s="32">
        <f>IF(O436&lt;&gt;1,"",IF(E436&lt;&gt;"",IFERROR(MATCH(E436,Guests!$S$6:$S$505,0)+5,IFERROR(MATCH(B436,Guests!$A$6:$A$505,0)+5,"")),IFERROR(MATCH(B436,Guests!$A$6:$A$505,0)+5,"")))</f>
        <v/>
      </c>
      <c r="S436" s="32">
        <f>IF(R436="","",TRIM(INDEX(Guests!$E$1:$E$505,R436)&amp;""))</f>
        <v/>
      </c>
      <c r="T436" s="32">
        <f>IF(R436="","",IF(S436="",1,COUNTIF(Guests!$E$6:$E$505,S436)))</f>
        <v/>
      </c>
      <c r="U436" s="32">
        <f>IF(R436="","",IF(S436="",1,IF(COUNTIF(S$1:S435,S436)=0,1,0)))</f>
        <v/>
      </c>
      <c r="V436" s="32">
        <f>IF(AND(R436&lt;&gt;"",G436="Attending",U436=1),MAX(0,H436+I436-T436),0)</f>
        <v/>
      </c>
      <c r="W436" s="32">
        <f>IF(AND(O436=1,R436=""),1,0)</f>
        <v/>
      </c>
      <c r="X436" s="32">
        <f>IF(B436="",0,H436+I436)</f>
        <v/>
      </c>
      <c r="Y436" s="32">
        <f>N(Y435)+O436</f>
        <v/>
      </c>
      <c r="Z436" s="32">
        <f>IF(O436=1,Y436,"")</f>
        <v/>
      </c>
      <c r="AA436" s="32">
        <f>IF(AND(W436=1,G436="Not sure yet"),1,0)</f>
        <v/>
      </c>
      <c r="AB436" s="32">
        <f>N(AB435)+AA436</f>
        <v/>
      </c>
      <c r="AC436" s="32">
        <f>IF(AA436=1,AB436,"")</f>
        <v/>
      </c>
      <c r="AD436" s="32">
        <f>IF(D436="","",IF(LEN(D436)=10,"+1"&amp;D436,IF(AND(LEN(D436)=11,LEFT(D436,1)="1"),"+"&amp;D436,IF(LEFT(C436,1)="+","+"&amp;D436,D436))))</f>
        <v/>
      </c>
      <c r="AE436" s="32">
        <f>IF(B436="","",PROPER(IFERROR(LEFT(B436,FIND(" ",B436)-1),B436)))</f>
        <v/>
      </c>
      <c r="AF436" s="32">
        <f>SUBSTITUTE(SUBSTITUTE(SUBSTITUTE(SUBSTITUTE(SUBSTITUTE(SUBSTITUTE(SUBSTITUTE(SUBSTITUTE(SUBSTITUTE(SUBSTITUTE(AE436,"%","%25"),"&amp;","%26"),"#","%23"),"+","%2B"),"=","%3D"),"?","%3F"),CHAR(34),"%22"),CHAR(10),"%0A"),CHAR(13),"")," ","+")</f>
        <v/>
      </c>
      <c r="AG436" s="32">
        <f>IF(OR(AD436="",AE436=""),"",'Start Here'!$B$20&amp;"#p="&amp;SUBSTITUTE(AD436,"+","%2B")&amp;"&amp;n="&amp;AF436&amp;"&amp;m="&amp;SUBSTITUTE('Start Here'!$B$24,"{name}",AF436))</f>
        <v/>
      </c>
      <c r="AH436" s="32">
        <f>N(AH435)+W436</f>
        <v/>
      </c>
      <c r="AI436" s="32">
        <f>IF(W436=1,AH436,"")</f>
        <v/>
      </c>
    </row>
    <row r="437">
      <c r="A437" s="32">
        <f>IF(INDEX('Form Responses'!$A:$A,ROW())="","",INDEX('Form Responses'!$A:$A,ROW()))</f>
        <v/>
      </c>
      <c r="B437" s="32">
        <f>TRIM(INDEX('Form Responses'!$B:$B,ROW())&amp;"")</f>
        <v/>
      </c>
      <c r="C437" s="32">
        <f>IF(B437="","",TRIM(INDEX('Form Responses'!$C:$C,ROW())&amp;""))</f>
        <v/>
      </c>
      <c r="D437" s="32">
        <f>SUBSTITUTE(SUBSTITUTE(SUBSTITUTE(SUBSTITUTE(SUBSTITUTE(SUBSTITUTE(SUBSTITUTE(SUBSTITUTE(C437," ",""),"-",""),"(",""),")",""),".",""),"+",""),"/",""),CHAR(160),"")</f>
        <v/>
      </c>
      <c r="E437" s="32">
        <f>IF(LEN(D437)&gt;=10,RIGHT(D437,10),D437)</f>
        <v/>
      </c>
      <c r="F437" s="32">
        <f>IF(B437="","",TRIM(INDEX('Form Responses'!$D:$D,ROW())&amp;""))</f>
        <v/>
      </c>
      <c r="G437" s="32">
        <f>IF(B437="","",IF(LEFT(TRIM(INDEX('Form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7" s="32">
        <f>IF(B437="","",MAX(0,IFERROR(INT(--(INDEX('Form Responses'!$F:$F,ROW())&amp;"")),1)))</f>
        <v/>
      </c>
      <c r="I437" s="32">
        <f>IF(B437="","",MAX(0,IFERROR(INT(--(INDEX('Form Responses'!$G:$G,ROW())&amp;"")),0)))</f>
        <v/>
      </c>
      <c r="J437" s="32">
        <f>IF(B437="","",TRIM(INDEX('Form Responses'!$H:$H,ROW())&amp;""))</f>
        <v/>
      </c>
      <c r="K437" s="32">
        <f>IF(B437="","",TRIM(INDEX('Form Responses'!$I:$I,ROW())&amp;""))</f>
        <v/>
      </c>
      <c r="L437" s="32">
        <f>IF(B437="","",TRIM(INDEX('Form Responses'!$J:$J,ROW())&amp;""))</f>
        <v/>
      </c>
      <c r="M437" s="32">
        <f>IF(B437="","",TRIM(INDEX('Form Responses'!$K:$K,ROW())&amp;""))</f>
        <v/>
      </c>
      <c r="N437" s="32">
        <f>IF(B437="","",IF(E437&lt;&gt;"","P"&amp;E437,"N"&amp;B437))</f>
        <v/>
      </c>
      <c r="O437" s="32">
        <f>IF(N437="",0,IF(COUNTIF(N438:N$602,N437)=0,1,0))</f>
        <v/>
      </c>
      <c r="P437" s="32">
        <f>IF(AND(O437=1,E437&lt;&gt;""),E437,"")</f>
        <v/>
      </c>
      <c r="Q437" s="32">
        <f>IF(O437=1,B437,"")</f>
        <v/>
      </c>
      <c r="R437" s="32">
        <f>IF(O437&lt;&gt;1,"",IF(E437&lt;&gt;"",IFERROR(MATCH(E437,Guests!$S$6:$S$505,0)+5,IFERROR(MATCH(B437,Guests!$A$6:$A$505,0)+5,"")),IFERROR(MATCH(B437,Guests!$A$6:$A$505,0)+5,"")))</f>
        <v/>
      </c>
      <c r="S437" s="32">
        <f>IF(R437="","",TRIM(INDEX(Guests!$E$1:$E$505,R437)&amp;""))</f>
        <v/>
      </c>
      <c r="T437" s="32">
        <f>IF(R437="","",IF(S437="",1,COUNTIF(Guests!$E$6:$E$505,S437)))</f>
        <v/>
      </c>
      <c r="U437" s="32">
        <f>IF(R437="","",IF(S437="",1,IF(COUNTIF(S$1:S436,S437)=0,1,0)))</f>
        <v/>
      </c>
      <c r="V437" s="32">
        <f>IF(AND(R437&lt;&gt;"",G437="Attending",U437=1),MAX(0,H437+I437-T437),0)</f>
        <v/>
      </c>
      <c r="W437" s="32">
        <f>IF(AND(O437=1,R437=""),1,0)</f>
        <v/>
      </c>
      <c r="X437" s="32">
        <f>IF(B437="",0,H437+I437)</f>
        <v/>
      </c>
      <c r="Y437" s="32">
        <f>N(Y436)+O437</f>
        <v/>
      </c>
      <c r="Z437" s="32">
        <f>IF(O437=1,Y437,"")</f>
        <v/>
      </c>
      <c r="AA437" s="32">
        <f>IF(AND(W437=1,G437="Not sure yet"),1,0)</f>
        <v/>
      </c>
      <c r="AB437" s="32">
        <f>N(AB436)+AA437</f>
        <v/>
      </c>
      <c r="AC437" s="32">
        <f>IF(AA437=1,AB437,"")</f>
        <v/>
      </c>
      <c r="AD437" s="32">
        <f>IF(D437="","",IF(LEN(D437)=10,"+1"&amp;D437,IF(AND(LEN(D437)=11,LEFT(D437,1)="1"),"+"&amp;D437,IF(LEFT(C437,1)="+","+"&amp;D437,D437))))</f>
        <v/>
      </c>
      <c r="AE437" s="32">
        <f>IF(B437="","",PROPER(IFERROR(LEFT(B437,FIND(" ",B437)-1),B437)))</f>
        <v/>
      </c>
      <c r="AF437" s="32">
        <f>SUBSTITUTE(SUBSTITUTE(SUBSTITUTE(SUBSTITUTE(SUBSTITUTE(SUBSTITUTE(SUBSTITUTE(SUBSTITUTE(SUBSTITUTE(SUBSTITUTE(AE437,"%","%25"),"&amp;","%26"),"#","%23"),"+","%2B"),"=","%3D"),"?","%3F"),CHAR(34),"%22"),CHAR(10),"%0A"),CHAR(13),"")," ","+")</f>
        <v/>
      </c>
      <c r="AG437" s="32">
        <f>IF(OR(AD437="",AE437=""),"",'Start Here'!$B$20&amp;"#p="&amp;SUBSTITUTE(AD437,"+","%2B")&amp;"&amp;n="&amp;AF437&amp;"&amp;m="&amp;SUBSTITUTE('Start Here'!$B$24,"{name}",AF437))</f>
        <v/>
      </c>
      <c r="AH437" s="32">
        <f>N(AH436)+W437</f>
        <v/>
      </c>
      <c r="AI437" s="32">
        <f>IF(W437=1,AH437,"")</f>
        <v/>
      </c>
    </row>
    <row r="438">
      <c r="A438" s="32">
        <f>IF(INDEX('Form Responses'!$A:$A,ROW())="","",INDEX('Form Responses'!$A:$A,ROW()))</f>
        <v/>
      </c>
      <c r="B438" s="32">
        <f>TRIM(INDEX('Form Responses'!$B:$B,ROW())&amp;"")</f>
        <v/>
      </c>
      <c r="C438" s="32">
        <f>IF(B438="","",TRIM(INDEX('Form Responses'!$C:$C,ROW())&amp;""))</f>
        <v/>
      </c>
      <c r="D438" s="32">
        <f>SUBSTITUTE(SUBSTITUTE(SUBSTITUTE(SUBSTITUTE(SUBSTITUTE(SUBSTITUTE(SUBSTITUTE(SUBSTITUTE(C438," ",""),"-",""),"(",""),")",""),".",""),"+",""),"/",""),CHAR(160),"")</f>
        <v/>
      </c>
      <c r="E438" s="32">
        <f>IF(LEN(D438)&gt;=10,RIGHT(D438,10),D438)</f>
        <v/>
      </c>
      <c r="F438" s="32">
        <f>IF(B438="","",TRIM(INDEX('Form Responses'!$D:$D,ROW())&amp;""))</f>
        <v/>
      </c>
      <c r="G438" s="32">
        <f>IF(B438="","",IF(LEFT(TRIM(INDEX('Form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8" s="32">
        <f>IF(B438="","",MAX(0,IFERROR(INT(--(INDEX('Form Responses'!$F:$F,ROW())&amp;"")),1)))</f>
        <v/>
      </c>
      <c r="I438" s="32">
        <f>IF(B438="","",MAX(0,IFERROR(INT(--(INDEX('Form Responses'!$G:$G,ROW())&amp;"")),0)))</f>
        <v/>
      </c>
      <c r="J438" s="32">
        <f>IF(B438="","",TRIM(INDEX('Form Responses'!$H:$H,ROW())&amp;""))</f>
        <v/>
      </c>
      <c r="K438" s="32">
        <f>IF(B438="","",TRIM(INDEX('Form Responses'!$I:$I,ROW())&amp;""))</f>
        <v/>
      </c>
      <c r="L438" s="32">
        <f>IF(B438="","",TRIM(INDEX('Form Responses'!$J:$J,ROW())&amp;""))</f>
        <v/>
      </c>
      <c r="M438" s="32">
        <f>IF(B438="","",TRIM(INDEX('Form Responses'!$K:$K,ROW())&amp;""))</f>
        <v/>
      </c>
      <c r="N438" s="32">
        <f>IF(B438="","",IF(E438&lt;&gt;"","P"&amp;E438,"N"&amp;B438))</f>
        <v/>
      </c>
      <c r="O438" s="32">
        <f>IF(N438="",0,IF(COUNTIF(N439:N$602,N438)=0,1,0))</f>
        <v/>
      </c>
      <c r="P438" s="32">
        <f>IF(AND(O438=1,E438&lt;&gt;""),E438,"")</f>
        <v/>
      </c>
      <c r="Q438" s="32">
        <f>IF(O438=1,B438,"")</f>
        <v/>
      </c>
      <c r="R438" s="32">
        <f>IF(O438&lt;&gt;1,"",IF(E438&lt;&gt;"",IFERROR(MATCH(E438,Guests!$S$6:$S$505,0)+5,IFERROR(MATCH(B438,Guests!$A$6:$A$505,0)+5,"")),IFERROR(MATCH(B438,Guests!$A$6:$A$505,0)+5,"")))</f>
        <v/>
      </c>
      <c r="S438" s="32">
        <f>IF(R438="","",TRIM(INDEX(Guests!$E$1:$E$505,R438)&amp;""))</f>
        <v/>
      </c>
      <c r="T438" s="32">
        <f>IF(R438="","",IF(S438="",1,COUNTIF(Guests!$E$6:$E$505,S438)))</f>
        <v/>
      </c>
      <c r="U438" s="32">
        <f>IF(R438="","",IF(S438="",1,IF(COUNTIF(S$1:S437,S438)=0,1,0)))</f>
        <v/>
      </c>
      <c r="V438" s="32">
        <f>IF(AND(R438&lt;&gt;"",G438="Attending",U438=1),MAX(0,H438+I438-T438),0)</f>
        <v/>
      </c>
      <c r="W438" s="32">
        <f>IF(AND(O438=1,R438=""),1,0)</f>
        <v/>
      </c>
      <c r="X438" s="32">
        <f>IF(B438="",0,H438+I438)</f>
        <v/>
      </c>
      <c r="Y438" s="32">
        <f>N(Y437)+O438</f>
        <v/>
      </c>
      <c r="Z438" s="32">
        <f>IF(O438=1,Y438,"")</f>
        <v/>
      </c>
      <c r="AA438" s="32">
        <f>IF(AND(W438=1,G438="Not sure yet"),1,0)</f>
        <v/>
      </c>
      <c r="AB438" s="32">
        <f>N(AB437)+AA438</f>
        <v/>
      </c>
      <c r="AC438" s="32">
        <f>IF(AA438=1,AB438,"")</f>
        <v/>
      </c>
      <c r="AD438" s="32">
        <f>IF(D438="","",IF(LEN(D438)=10,"+1"&amp;D438,IF(AND(LEN(D438)=11,LEFT(D438,1)="1"),"+"&amp;D438,IF(LEFT(C438,1)="+","+"&amp;D438,D438))))</f>
        <v/>
      </c>
      <c r="AE438" s="32">
        <f>IF(B438="","",PROPER(IFERROR(LEFT(B438,FIND(" ",B438)-1),B438)))</f>
        <v/>
      </c>
      <c r="AF438" s="32">
        <f>SUBSTITUTE(SUBSTITUTE(SUBSTITUTE(SUBSTITUTE(SUBSTITUTE(SUBSTITUTE(SUBSTITUTE(SUBSTITUTE(SUBSTITUTE(SUBSTITUTE(AE438,"%","%25"),"&amp;","%26"),"#","%23"),"+","%2B"),"=","%3D"),"?","%3F"),CHAR(34),"%22"),CHAR(10),"%0A"),CHAR(13),"")," ","+")</f>
        <v/>
      </c>
      <c r="AG438" s="32">
        <f>IF(OR(AD438="",AE438=""),"",'Start Here'!$B$20&amp;"#p="&amp;SUBSTITUTE(AD438,"+","%2B")&amp;"&amp;n="&amp;AF438&amp;"&amp;m="&amp;SUBSTITUTE('Start Here'!$B$24,"{name}",AF438))</f>
        <v/>
      </c>
      <c r="AH438" s="32">
        <f>N(AH437)+W438</f>
        <v/>
      </c>
      <c r="AI438" s="32">
        <f>IF(W438=1,AH438,"")</f>
        <v/>
      </c>
    </row>
    <row r="439">
      <c r="A439" s="32">
        <f>IF(INDEX('Form Responses'!$A:$A,ROW())="","",INDEX('Form Responses'!$A:$A,ROW()))</f>
        <v/>
      </c>
      <c r="B439" s="32">
        <f>TRIM(INDEX('Form Responses'!$B:$B,ROW())&amp;"")</f>
        <v/>
      </c>
      <c r="C439" s="32">
        <f>IF(B439="","",TRIM(INDEX('Form Responses'!$C:$C,ROW())&amp;""))</f>
        <v/>
      </c>
      <c r="D439" s="32">
        <f>SUBSTITUTE(SUBSTITUTE(SUBSTITUTE(SUBSTITUTE(SUBSTITUTE(SUBSTITUTE(SUBSTITUTE(SUBSTITUTE(C439," ",""),"-",""),"(",""),")",""),".",""),"+",""),"/",""),CHAR(160),"")</f>
        <v/>
      </c>
      <c r="E439" s="32">
        <f>IF(LEN(D439)&gt;=10,RIGHT(D439,10),D439)</f>
        <v/>
      </c>
      <c r="F439" s="32">
        <f>IF(B439="","",TRIM(INDEX('Form Responses'!$D:$D,ROW())&amp;""))</f>
        <v/>
      </c>
      <c r="G439" s="32">
        <f>IF(B439="","",IF(LEFT(TRIM(INDEX('Form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39" s="32">
        <f>IF(B439="","",MAX(0,IFERROR(INT(--(INDEX('Form Responses'!$F:$F,ROW())&amp;"")),1)))</f>
        <v/>
      </c>
      <c r="I439" s="32">
        <f>IF(B439="","",MAX(0,IFERROR(INT(--(INDEX('Form Responses'!$G:$G,ROW())&amp;"")),0)))</f>
        <v/>
      </c>
      <c r="J439" s="32">
        <f>IF(B439="","",TRIM(INDEX('Form Responses'!$H:$H,ROW())&amp;""))</f>
        <v/>
      </c>
      <c r="K439" s="32">
        <f>IF(B439="","",TRIM(INDEX('Form Responses'!$I:$I,ROW())&amp;""))</f>
        <v/>
      </c>
      <c r="L439" s="32">
        <f>IF(B439="","",TRIM(INDEX('Form Responses'!$J:$J,ROW())&amp;""))</f>
        <v/>
      </c>
      <c r="M439" s="32">
        <f>IF(B439="","",TRIM(INDEX('Form Responses'!$K:$K,ROW())&amp;""))</f>
        <v/>
      </c>
      <c r="N439" s="32">
        <f>IF(B439="","",IF(E439&lt;&gt;"","P"&amp;E439,"N"&amp;B439))</f>
        <v/>
      </c>
      <c r="O439" s="32">
        <f>IF(N439="",0,IF(COUNTIF(N440:N$602,N439)=0,1,0))</f>
        <v/>
      </c>
      <c r="P439" s="32">
        <f>IF(AND(O439=1,E439&lt;&gt;""),E439,"")</f>
        <v/>
      </c>
      <c r="Q439" s="32">
        <f>IF(O439=1,B439,"")</f>
        <v/>
      </c>
      <c r="R439" s="32">
        <f>IF(O439&lt;&gt;1,"",IF(E439&lt;&gt;"",IFERROR(MATCH(E439,Guests!$S$6:$S$505,0)+5,IFERROR(MATCH(B439,Guests!$A$6:$A$505,0)+5,"")),IFERROR(MATCH(B439,Guests!$A$6:$A$505,0)+5,"")))</f>
        <v/>
      </c>
      <c r="S439" s="32">
        <f>IF(R439="","",TRIM(INDEX(Guests!$E$1:$E$505,R439)&amp;""))</f>
        <v/>
      </c>
      <c r="T439" s="32">
        <f>IF(R439="","",IF(S439="",1,COUNTIF(Guests!$E$6:$E$505,S439)))</f>
        <v/>
      </c>
      <c r="U439" s="32">
        <f>IF(R439="","",IF(S439="",1,IF(COUNTIF(S$1:S438,S439)=0,1,0)))</f>
        <v/>
      </c>
      <c r="V439" s="32">
        <f>IF(AND(R439&lt;&gt;"",G439="Attending",U439=1),MAX(0,H439+I439-T439),0)</f>
        <v/>
      </c>
      <c r="W439" s="32">
        <f>IF(AND(O439=1,R439=""),1,0)</f>
        <v/>
      </c>
      <c r="X439" s="32">
        <f>IF(B439="",0,H439+I439)</f>
        <v/>
      </c>
      <c r="Y439" s="32">
        <f>N(Y438)+O439</f>
        <v/>
      </c>
      <c r="Z439" s="32">
        <f>IF(O439=1,Y439,"")</f>
        <v/>
      </c>
      <c r="AA439" s="32">
        <f>IF(AND(W439=1,G439="Not sure yet"),1,0)</f>
        <v/>
      </c>
      <c r="AB439" s="32">
        <f>N(AB438)+AA439</f>
        <v/>
      </c>
      <c r="AC439" s="32">
        <f>IF(AA439=1,AB439,"")</f>
        <v/>
      </c>
      <c r="AD439" s="32">
        <f>IF(D439="","",IF(LEN(D439)=10,"+1"&amp;D439,IF(AND(LEN(D439)=11,LEFT(D439,1)="1"),"+"&amp;D439,IF(LEFT(C439,1)="+","+"&amp;D439,D439))))</f>
        <v/>
      </c>
      <c r="AE439" s="32">
        <f>IF(B439="","",PROPER(IFERROR(LEFT(B439,FIND(" ",B439)-1),B439)))</f>
        <v/>
      </c>
      <c r="AF439" s="32">
        <f>SUBSTITUTE(SUBSTITUTE(SUBSTITUTE(SUBSTITUTE(SUBSTITUTE(SUBSTITUTE(SUBSTITUTE(SUBSTITUTE(SUBSTITUTE(SUBSTITUTE(AE439,"%","%25"),"&amp;","%26"),"#","%23"),"+","%2B"),"=","%3D"),"?","%3F"),CHAR(34),"%22"),CHAR(10),"%0A"),CHAR(13),"")," ","+")</f>
        <v/>
      </c>
      <c r="AG439" s="32">
        <f>IF(OR(AD439="",AE439=""),"",'Start Here'!$B$20&amp;"#p="&amp;SUBSTITUTE(AD439,"+","%2B")&amp;"&amp;n="&amp;AF439&amp;"&amp;m="&amp;SUBSTITUTE('Start Here'!$B$24,"{name}",AF439))</f>
        <v/>
      </c>
      <c r="AH439" s="32">
        <f>N(AH438)+W439</f>
        <v/>
      </c>
      <c r="AI439" s="32">
        <f>IF(W439=1,AH439,"")</f>
        <v/>
      </c>
    </row>
    <row r="440">
      <c r="A440" s="32">
        <f>IF(INDEX('Form Responses'!$A:$A,ROW())="","",INDEX('Form Responses'!$A:$A,ROW()))</f>
        <v/>
      </c>
      <c r="B440" s="32">
        <f>TRIM(INDEX('Form Responses'!$B:$B,ROW())&amp;"")</f>
        <v/>
      </c>
      <c r="C440" s="32">
        <f>IF(B440="","",TRIM(INDEX('Form Responses'!$C:$C,ROW())&amp;""))</f>
        <v/>
      </c>
      <c r="D440" s="32">
        <f>SUBSTITUTE(SUBSTITUTE(SUBSTITUTE(SUBSTITUTE(SUBSTITUTE(SUBSTITUTE(SUBSTITUTE(SUBSTITUTE(C440," ",""),"-",""),"(",""),")",""),".",""),"+",""),"/",""),CHAR(160),"")</f>
        <v/>
      </c>
      <c r="E440" s="32">
        <f>IF(LEN(D440)&gt;=10,RIGHT(D440,10),D440)</f>
        <v/>
      </c>
      <c r="F440" s="32">
        <f>IF(B440="","",TRIM(INDEX('Form Responses'!$D:$D,ROW())&amp;""))</f>
        <v/>
      </c>
      <c r="G440" s="32">
        <f>IF(B440="","",IF(LEFT(TRIM(INDEX('Form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0" s="32">
        <f>IF(B440="","",MAX(0,IFERROR(INT(--(INDEX('Form Responses'!$F:$F,ROW())&amp;"")),1)))</f>
        <v/>
      </c>
      <c r="I440" s="32">
        <f>IF(B440="","",MAX(0,IFERROR(INT(--(INDEX('Form Responses'!$G:$G,ROW())&amp;"")),0)))</f>
        <v/>
      </c>
      <c r="J440" s="32">
        <f>IF(B440="","",TRIM(INDEX('Form Responses'!$H:$H,ROW())&amp;""))</f>
        <v/>
      </c>
      <c r="K440" s="32">
        <f>IF(B440="","",TRIM(INDEX('Form Responses'!$I:$I,ROW())&amp;""))</f>
        <v/>
      </c>
      <c r="L440" s="32">
        <f>IF(B440="","",TRIM(INDEX('Form Responses'!$J:$J,ROW())&amp;""))</f>
        <v/>
      </c>
      <c r="M440" s="32">
        <f>IF(B440="","",TRIM(INDEX('Form Responses'!$K:$K,ROW())&amp;""))</f>
        <v/>
      </c>
      <c r="N440" s="32">
        <f>IF(B440="","",IF(E440&lt;&gt;"","P"&amp;E440,"N"&amp;B440))</f>
        <v/>
      </c>
      <c r="O440" s="32">
        <f>IF(N440="",0,IF(COUNTIF(N441:N$602,N440)=0,1,0))</f>
        <v/>
      </c>
      <c r="P440" s="32">
        <f>IF(AND(O440=1,E440&lt;&gt;""),E440,"")</f>
        <v/>
      </c>
      <c r="Q440" s="32">
        <f>IF(O440=1,B440,"")</f>
        <v/>
      </c>
      <c r="R440" s="32">
        <f>IF(O440&lt;&gt;1,"",IF(E440&lt;&gt;"",IFERROR(MATCH(E440,Guests!$S$6:$S$505,0)+5,IFERROR(MATCH(B440,Guests!$A$6:$A$505,0)+5,"")),IFERROR(MATCH(B440,Guests!$A$6:$A$505,0)+5,"")))</f>
        <v/>
      </c>
      <c r="S440" s="32">
        <f>IF(R440="","",TRIM(INDEX(Guests!$E$1:$E$505,R440)&amp;""))</f>
        <v/>
      </c>
      <c r="T440" s="32">
        <f>IF(R440="","",IF(S440="",1,COUNTIF(Guests!$E$6:$E$505,S440)))</f>
        <v/>
      </c>
      <c r="U440" s="32">
        <f>IF(R440="","",IF(S440="",1,IF(COUNTIF(S$1:S439,S440)=0,1,0)))</f>
        <v/>
      </c>
      <c r="V440" s="32">
        <f>IF(AND(R440&lt;&gt;"",G440="Attending",U440=1),MAX(0,H440+I440-T440),0)</f>
        <v/>
      </c>
      <c r="W440" s="32">
        <f>IF(AND(O440=1,R440=""),1,0)</f>
        <v/>
      </c>
      <c r="X440" s="32">
        <f>IF(B440="",0,H440+I440)</f>
        <v/>
      </c>
      <c r="Y440" s="32">
        <f>N(Y439)+O440</f>
        <v/>
      </c>
      <c r="Z440" s="32">
        <f>IF(O440=1,Y440,"")</f>
        <v/>
      </c>
      <c r="AA440" s="32">
        <f>IF(AND(W440=1,G440="Not sure yet"),1,0)</f>
        <v/>
      </c>
      <c r="AB440" s="32">
        <f>N(AB439)+AA440</f>
        <v/>
      </c>
      <c r="AC440" s="32">
        <f>IF(AA440=1,AB440,"")</f>
        <v/>
      </c>
      <c r="AD440" s="32">
        <f>IF(D440="","",IF(LEN(D440)=10,"+1"&amp;D440,IF(AND(LEN(D440)=11,LEFT(D440,1)="1"),"+"&amp;D440,IF(LEFT(C440,1)="+","+"&amp;D440,D440))))</f>
        <v/>
      </c>
      <c r="AE440" s="32">
        <f>IF(B440="","",PROPER(IFERROR(LEFT(B440,FIND(" ",B440)-1),B440)))</f>
        <v/>
      </c>
      <c r="AF440" s="32">
        <f>SUBSTITUTE(SUBSTITUTE(SUBSTITUTE(SUBSTITUTE(SUBSTITUTE(SUBSTITUTE(SUBSTITUTE(SUBSTITUTE(SUBSTITUTE(SUBSTITUTE(AE440,"%","%25"),"&amp;","%26"),"#","%23"),"+","%2B"),"=","%3D"),"?","%3F"),CHAR(34),"%22"),CHAR(10),"%0A"),CHAR(13),"")," ","+")</f>
        <v/>
      </c>
      <c r="AG440" s="32">
        <f>IF(OR(AD440="",AE440=""),"",'Start Here'!$B$20&amp;"#p="&amp;SUBSTITUTE(AD440,"+","%2B")&amp;"&amp;n="&amp;AF440&amp;"&amp;m="&amp;SUBSTITUTE('Start Here'!$B$24,"{name}",AF440))</f>
        <v/>
      </c>
      <c r="AH440" s="32">
        <f>N(AH439)+W440</f>
        <v/>
      </c>
      <c r="AI440" s="32">
        <f>IF(W440=1,AH440,"")</f>
        <v/>
      </c>
    </row>
    <row r="441">
      <c r="A441" s="32">
        <f>IF(INDEX('Form Responses'!$A:$A,ROW())="","",INDEX('Form Responses'!$A:$A,ROW()))</f>
        <v/>
      </c>
      <c r="B441" s="32">
        <f>TRIM(INDEX('Form Responses'!$B:$B,ROW())&amp;"")</f>
        <v/>
      </c>
      <c r="C441" s="32">
        <f>IF(B441="","",TRIM(INDEX('Form Responses'!$C:$C,ROW())&amp;""))</f>
        <v/>
      </c>
      <c r="D441" s="32">
        <f>SUBSTITUTE(SUBSTITUTE(SUBSTITUTE(SUBSTITUTE(SUBSTITUTE(SUBSTITUTE(SUBSTITUTE(SUBSTITUTE(C441," ",""),"-",""),"(",""),")",""),".",""),"+",""),"/",""),CHAR(160),"")</f>
        <v/>
      </c>
      <c r="E441" s="32">
        <f>IF(LEN(D441)&gt;=10,RIGHT(D441,10),D441)</f>
        <v/>
      </c>
      <c r="F441" s="32">
        <f>IF(B441="","",TRIM(INDEX('Form Responses'!$D:$D,ROW())&amp;""))</f>
        <v/>
      </c>
      <c r="G441" s="32">
        <f>IF(B441="","",IF(LEFT(TRIM(INDEX('Form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1" s="32">
        <f>IF(B441="","",MAX(0,IFERROR(INT(--(INDEX('Form Responses'!$F:$F,ROW())&amp;"")),1)))</f>
        <v/>
      </c>
      <c r="I441" s="32">
        <f>IF(B441="","",MAX(0,IFERROR(INT(--(INDEX('Form Responses'!$G:$G,ROW())&amp;"")),0)))</f>
        <v/>
      </c>
      <c r="J441" s="32">
        <f>IF(B441="","",TRIM(INDEX('Form Responses'!$H:$H,ROW())&amp;""))</f>
        <v/>
      </c>
      <c r="K441" s="32">
        <f>IF(B441="","",TRIM(INDEX('Form Responses'!$I:$I,ROW())&amp;""))</f>
        <v/>
      </c>
      <c r="L441" s="32">
        <f>IF(B441="","",TRIM(INDEX('Form Responses'!$J:$J,ROW())&amp;""))</f>
        <v/>
      </c>
      <c r="M441" s="32">
        <f>IF(B441="","",TRIM(INDEX('Form Responses'!$K:$K,ROW())&amp;""))</f>
        <v/>
      </c>
      <c r="N441" s="32">
        <f>IF(B441="","",IF(E441&lt;&gt;"","P"&amp;E441,"N"&amp;B441))</f>
        <v/>
      </c>
      <c r="O441" s="32">
        <f>IF(N441="",0,IF(COUNTIF(N442:N$602,N441)=0,1,0))</f>
        <v/>
      </c>
      <c r="P441" s="32">
        <f>IF(AND(O441=1,E441&lt;&gt;""),E441,"")</f>
        <v/>
      </c>
      <c r="Q441" s="32">
        <f>IF(O441=1,B441,"")</f>
        <v/>
      </c>
      <c r="R441" s="32">
        <f>IF(O441&lt;&gt;1,"",IF(E441&lt;&gt;"",IFERROR(MATCH(E441,Guests!$S$6:$S$505,0)+5,IFERROR(MATCH(B441,Guests!$A$6:$A$505,0)+5,"")),IFERROR(MATCH(B441,Guests!$A$6:$A$505,0)+5,"")))</f>
        <v/>
      </c>
      <c r="S441" s="32">
        <f>IF(R441="","",TRIM(INDEX(Guests!$E$1:$E$505,R441)&amp;""))</f>
        <v/>
      </c>
      <c r="T441" s="32">
        <f>IF(R441="","",IF(S441="",1,COUNTIF(Guests!$E$6:$E$505,S441)))</f>
        <v/>
      </c>
      <c r="U441" s="32">
        <f>IF(R441="","",IF(S441="",1,IF(COUNTIF(S$1:S440,S441)=0,1,0)))</f>
        <v/>
      </c>
      <c r="V441" s="32">
        <f>IF(AND(R441&lt;&gt;"",G441="Attending",U441=1),MAX(0,H441+I441-T441),0)</f>
        <v/>
      </c>
      <c r="W441" s="32">
        <f>IF(AND(O441=1,R441=""),1,0)</f>
        <v/>
      </c>
      <c r="X441" s="32">
        <f>IF(B441="",0,H441+I441)</f>
        <v/>
      </c>
      <c r="Y441" s="32">
        <f>N(Y440)+O441</f>
        <v/>
      </c>
      <c r="Z441" s="32">
        <f>IF(O441=1,Y441,"")</f>
        <v/>
      </c>
      <c r="AA441" s="32">
        <f>IF(AND(W441=1,G441="Not sure yet"),1,0)</f>
        <v/>
      </c>
      <c r="AB441" s="32">
        <f>N(AB440)+AA441</f>
        <v/>
      </c>
      <c r="AC441" s="32">
        <f>IF(AA441=1,AB441,"")</f>
        <v/>
      </c>
      <c r="AD441" s="32">
        <f>IF(D441="","",IF(LEN(D441)=10,"+1"&amp;D441,IF(AND(LEN(D441)=11,LEFT(D441,1)="1"),"+"&amp;D441,IF(LEFT(C441,1)="+","+"&amp;D441,D441))))</f>
        <v/>
      </c>
      <c r="AE441" s="32">
        <f>IF(B441="","",PROPER(IFERROR(LEFT(B441,FIND(" ",B441)-1),B441)))</f>
        <v/>
      </c>
      <c r="AF441" s="32">
        <f>SUBSTITUTE(SUBSTITUTE(SUBSTITUTE(SUBSTITUTE(SUBSTITUTE(SUBSTITUTE(SUBSTITUTE(SUBSTITUTE(SUBSTITUTE(SUBSTITUTE(AE441,"%","%25"),"&amp;","%26"),"#","%23"),"+","%2B"),"=","%3D"),"?","%3F"),CHAR(34),"%22"),CHAR(10),"%0A"),CHAR(13),"")," ","+")</f>
        <v/>
      </c>
      <c r="AG441" s="32">
        <f>IF(OR(AD441="",AE441=""),"",'Start Here'!$B$20&amp;"#p="&amp;SUBSTITUTE(AD441,"+","%2B")&amp;"&amp;n="&amp;AF441&amp;"&amp;m="&amp;SUBSTITUTE('Start Here'!$B$24,"{name}",AF441))</f>
        <v/>
      </c>
      <c r="AH441" s="32">
        <f>N(AH440)+W441</f>
        <v/>
      </c>
      <c r="AI441" s="32">
        <f>IF(W441=1,AH441,"")</f>
        <v/>
      </c>
    </row>
    <row r="442">
      <c r="A442" s="32">
        <f>IF(INDEX('Form Responses'!$A:$A,ROW())="","",INDEX('Form Responses'!$A:$A,ROW()))</f>
        <v/>
      </c>
      <c r="B442" s="32">
        <f>TRIM(INDEX('Form Responses'!$B:$B,ROW())&amp;"")</f>
        <v/>
      </c>
      <c r="C442" s="32">
        <f>IF(B442="","",TRIM(INDEX('Form Responses'!$C:$C,ROW())&amp;""))</f>
        <v/>
      </c>
      <c r="D442" s="32">
        <f>SUBSTITUTE(SUBSTITUTE(SUBSTITUTE(SUBSTITUTE(SUBSTITUTE(SUBSTITUTE(SUBSTITUTE(SUBSTITUTE(C442," ",""),"-",""),"(",""),")",""),".",""),"+",""),"/",""),CHAR(160),"")</f>
        <v/>
      </c>
      <c r="E442" s="32">
        <f>IF(LEN(D442)&gt;=10,RIGHT(D442,10),D442)</f>
        <v/>
      </c>
      <c r="F442" s="32">
        <f>IF(B442="","",TRIM(INDEX('Form Responses'!$D:$D,ROW())&amp;""))</f>
        <v/>
      </c>
      <c r="G442" s="32">
        <f>IF(B442="","",IF(LEFT(TRIM(INDEX('Form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2" s="32">
        <f>IF(B442="","",MAX(0,IFERROR(INT(--(INDEX('Form Responses'!$F:$F,ROW())&amp;"")),1)))</f>
        <v/>
      </c>
      <c r="I442" s="32">
        <f>IF(B442="","",MAX(0,IFERROR(INT(--(INDEX('Form Responses'!$G:$G,ROW())&amp;"")),0)))</f>
        <v/>
      </c>
      <c r="J442" s="32">
        <f>IF(B442="","",TRIM(INDEX('Form Responses'!$H:$H,ROW())&amp;""))</f>
        <v/>
      </c>
      <c r="K442" s="32">
        <f>IF(B442="","",TRIM(INDEX('Form Responses'!$I:$I,ROW())&amp;""))</f>
        <v/>
      </c>
      <c r="L442" s="32">
        <f>IF(B442="","",TRIM(INDEX('Form Responses'!$J:$J,ROW())&amp;""))</f>
        <v/>
      </c>
      <c r="M442" s="32">
        <f>IF(B442="","",TRIM(INDEX('Form Responses'!$K:$K,ROW())&amp;""))</f>
        <v/>
      </c>
      <c r="N442" s="32">
        <f>IF(B442="","",IF(E442&lt;&gt;"","P"&amp;E442,"N"&amp;B442))</f>
        <v/>
      </c>
      <c r="O442" s="32">
        <f>IF(N442="",0,IF(COUNTIF(N443:N$602,N442)=0,1,0))</f>
        <v/>
      </c>
      <c r="P442" s="32">
        <f>IF(AND(O442=1,E442&lt;&gt;""),E442,"")</f>
        <v/>
      </c>
      <c r="Q442" s="32">
        <f>IF(O442=1,B442,"")</f>
        <v/>
      </c>
      <c r="R442" s="32">
        <f>IF(O442&lt;&gt;1,"",IF(E442&lt;&gt;"",IFERROR(MATCH(E442,Guests!$S$6:$S$505,0)+5,IFERROR(MATCH(B442,Guests!$A$6:$A$505,0)+5,"")),IFERROR(MATCH(B442,Guests!$A$6:$A$505,0)+5,"")))</f>
        <v/>
      </c>
      <c r="S442" s="32">
        <f>IF(R442="","",TRIM(INDEX(Guests!$E$1:$E$505,R442)&amp;""))</f>
        <v/>
      </c>
      <c r="T442" s="32">
        <f>IF(R442="","",IF(S442="",1,COUNTIF(Guests!$E$6:$E$505,S442)))</f>
        <v/>
      </c>
      <c r="U442" s="32">
        <f>IF(R442="","",IF(S442="",1,IF(COUNTIF(S$1:S441,S442)=0,1,0)))</f>
        <v/>
      </c>
      <c r="V442" s="32">
        <f>IF(AND(R442&lt;&gt;"",G442="Attending",U442=1),MAX(0,H442+I442-T442),0)</f>
        <v/>
      </c>
      <c r="W442" s="32">
        <f>IF(AND(O442=1,R442=""),1,0)</f>
        <v/>
      </c>
      <c r="X442" s="32">
        <f>IF(B442="",0,H442+I442)</f>
        <v/>
      </c>
      <c r="Y442" s="32">
        <f>N(Y441)+O442</f>
        <v/>
      </c>
      <c r="Z442" s="32">
        <f>IF(O442=1,Y442,"")</f>
        <v/>
      </c>
      <c r="AA442" s="32">
        <f>IF(AND(W442=1,G442="Not sure yet"),1,0)</f>
        <v/>
      </c>
      <c r="AB442" s="32">
        <f>N(AB441)+AA442</f>
        <v/>
      </c>
      <c r="AC442" s="32">
        <f>IF(AA442=1,AB442,"")</f>
        <v/>
      </c>
      <c r="AD442" s="32">
        <f>IF(D442="","",IF(LEN(D442)=10,"+1"&amp;D442,IF(AND(LEN(D442)=11,LEFT(D442,1)="1"),"+"&amp;D442,IF(LEFT(C442,1)="+","+"&amp;D442,D442))))</f>
        <v/>
      </c>
      <c r="AE442" s="32">
        <f>IF(B442="","",PROPER(IFERROR(LEFT(B442,FIND(" ",B442)-1),B442)))</f>
        <v/>
      </c>
      <c r="AF442" s="32">
        <f>SUBSTITUTE(SUBSTITUTE(SUBSTITUTE(SUBSTITUTE(SUBSTITUTE(SUBSTITUTE(SUBSTITUTE(SUBSTITUTE(SUBSTITUTE(SUBSTITUTE(AE442,"%","%25"),"&amp;","%26"),"#","%23"),"+","%2B"),"=","%3D"),"?","%3F"),CHAR(34),"%22"),CHAR(10),"%0A"),CHAR(13),"")," ","+")</f>
        <v/>
      </c>
      <c r="AG442" s="32">
        <f>IF(OR(AD442="",AE442=""),"",'Start Here'!$B$20&amp;"#p="&amp;SUBSTITUTE(AD442,"+","%2B")&amp;"&amp;n="&amp;AF442&amp;"&amp;m="&amp;SUBSTITUTE('Start Here'!$B$24,"{name}",AF442))</f>
        <v/>
      </c>
      <c r="AH442" s="32">
        <f>N(AH441)+W442</f>
        <v/>
      </c>
      <c r="AI442" s="32">
        <f>IF(W442=1,AH442,"")</f>
        <v/>
      </c>
    </row>
    <row r="443">
      <c r="A443" s="32">
        <f>IF(INDEX('Form Responses'!$A:$A,ROW())="","",INDEX('Form Responses'!$A:$A,ROW()))</f>
        <v/>
      </c>
      <c r="B443" s="32">
        <f>TRIM(INDEX('Form Responses'!$B:$B,ROW())&amp;"")</f>
        <v/>
      </c>
      <c r="C443" s="32">
        <f>IF(B443="","",TRIM(INDEX('Form Responses'!$C:$C,ROW())&amp;""))</f>
        <v/>
      </c>
      <c r="D443" s="32">
        <f>SUBSTITUTE(SUBSTITUTE(SUBSTITUTE(SUBSTITUTE(SUBSTITUTE(SUBSTITUTE(SUBSTITUTE(SUBSTITUTE(C443," ",""),"-",""),"(",""),")",""),".",""),"+",""),"/",""),CHAR(160),"")</f>
        <v/>
      </c>
      <c r="E443" s="32">
        <f>IF(LEN(D443)&gt;=10,RIGHT(D443,10),D443)</f>
        <v/>
      </c>
      <c r="F443" s="32">
        <f>IF(B443="","",TRIM(INDEX('Form Responses'!$D:$D,ROW())&amp;""))</f>
        <v/>
      </c>
      <c r="G443" s="32">
        <f>IF(B443="","",IF(LEFT(TRIM(INDEX('Form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3" s="32">
        <f>IF(B443="","",MAX(0,IFERROR(INT(--(INDEX('Form Responses'!$F:$F,ROW())&amp;"")),1)))</f>
        <v/>
      </c>
      <c r="I443" s="32">
        <f>IF(B443="","",MAX(0,IFERROR(INT(--(INDEX('Form Responses'!$G:$G,ROW())&amp;"")),0)))</f>
        <v/>
      </c>
      <c r="J443" s="32">
        <f>IF(B443="","",TRIM(INDEX('Form Responses'!$H:$H,ROW())&amp;""))</f>
        <v/>
      </c>
      <c r="K443" s="32">
        <f>IF(B443="","",TRIM(INDEX('Form Responses'!$I:$I,ROW())&amp;""))</f>
        <v/>
      </c>
      <c r="L443" s="32">
        <f>IF(B443="","",TRIM(INDEX('Form Responses'!$J:$J,ROW())&amp;""))</f>
        <v/>
      </c>
      <c r="M443" s="32">
        <f>IF(B443="","",TRIM(INDEX('Form Responses'!$K:$K,ROW())&amp;""))</f>
        <v/>
      </c>
      <c r="N443" s="32">
        <f>IF(B443="","",IF(E443&lt;&gt;"","P"&amp;E443,"N"&amp;B443))</f>
        <v/>
      </c>
      <c r="O443" s="32">
        <f>IF(N443="",0,IF(COUNTIF(N444:N$602,N443)=0,1,0))</f>
        <v/>
      </c>
      <c r="P443" s="32">
        <f>IF(AND(O443=1,E443&lt;&gt;""),E443,"")</f>
        <v/>
      </c>
      <c r="Q443" s="32">
        <f>IF(O443=1,B443,"")</f>
        <v/>
      </c>
      <c r="R443" s="32">
        <f>IF(O443&lt;&gt;1,"",IF(E443&lt;&gt;"",IFERROR(MATCH(E443,Guests!$S$6:$S$505,0)+5,IFERROR(MATCH(B443,Guests!$A$6:$A$505,0)+5,"")),IFERROR(MATCH(B443,Guests!$A$6:$A$505,0)+5,"")))</f>
        <v/>
      </c>
      <c r="S443" s="32">
        <f>IF(R443="","",TRIM(INDEX(Guests!$E$1:$E$505,R443)&amp;""))</f>
        <v/>
      </c>
      <c r="T443" s="32">
        <f>IF(R443="","",IF(S443="",1,COUNTIF(Guests!$E$6:$E$505,S443)))</f>
        <v/>
      </c>
      <c r="U443" s="32">
        <f>IF(R443="","",IF(S443="",1,IF(COUNTIF(S$1:S442,S443)=0,1,0)))</f>
        <v/>
      </c>
      <c r="V443" s="32">
        <f>IF(AND(R443&lt;&gt;"",G443="Attending",U443=1),MAX(0,H443+I443-T443),0)</f>
        <v/>
      </c>
      <c r="W443" s="32">
        <f>IF(AND(O443=1,R443=""),1,0)</f>
        <v/>
      </c>
      <c r="X443" s="32">
        <f>IF(B443="",0,H443+I443)</f>
        <v/>
      </c>
      <c r="Y443" s="32">
        <f>N(Y442)+O443</f>
        <v/>
      </c>
      <c r="Z443" s="32">
        <f>IF(O443=1,Y443,"")</f>
        <v/>
      </c>
      <c r="AA443" s="32">
        <f>IF(AND(W443=1,G443="Not sure yet"),1,0)</f>
        <v/>
      </c>
      <c r="AB443" s="32">
        <f>N(AB442)+AA443</f>
        <v/>
      </c>
      <c r="AC443" s="32">
        <f>IF(AA443=1,AB443,"")</f>
        <v/>
      </c>
      <c r="AD443" s="32">
        <f>IF(D443="","",IF(LEN(D443)=10,"+1"&amp;D443,IF(AND(LEN(D443)=11,LEFT(D443,1)="1"),"+"&amp;D443,IF(LEFT(C443,1)="+","+"&amp;D443,D443))))</f>
        <v/>
      </c>
      <c r="AE443" s="32">
        <f>IF(B443="","",PROPER(IFERROR(LEFT(B443,FIND(" ",B443)-1),B443)))</f>
        <v/>
      </c>
      <c r="AF443" s="32">
        <f>SUBSTITUTE(SUBSTITUTE(SUBSTITUTE(SUBSTITUTE(SUBSTITUTE(SUBSTITUTE(SUBSTITUTE(SUBSTITUTE(SUBSTITUTE(SUBSTITUTE(AE443,"%","%25"),"&amp;","%26"),"#","%23"),"+","%2B"),"=","%3D"),"?","%3F"),CHAR(34),"%22"),CHAR(10),"%0A"),CHAR(13),"")," ","+")</f>
        <v/>
      </c>
      <c r="AG443" s="32">
        <f>IF(OR(AD443="",AE443=""),"",'Start Here'!$B$20&amp;"#p="&amp;SUBSTITUTE(AD443,"+","%2B")&amp;"&amp;n="&amp;AF443&amp;"&amp;m="&amp;SUBSTITUTE('Start Here'!$B$24,"{name}",AF443))</f>
        <v/>
      </c>
      <c r="AH443" s="32">
        <f>N(AH442)+W443</f>
        <v/>
      </c>
      <c r="AI443" s="32">
        <f>IF(W443=1,AH443,"")</f>
        <v/>
      </c>
    </row>
    <row r="444">
      <c r="A444" s="32">
        <f>IF(INDEX('Form Responses'!$A:$A,ROW())="","",INDEX('Form Responses'!$A:$A,ROW()))</f>
        <v/>
      </c>
      <c r="B444" s="32">
        <f>TRIM(INDEX('Form Responses'!$B:$B,ROW())&amp;"")</f>
        <v/>
      </c>
      <c r="C444" s="32">
        <f>IF(B444="","",TRIM(INDEX('Form Responses'!$C:$C,ROW())&amp;""))</f>
        <v/>
      </c>
      <c r="D444" s="32">
        <f>SUBSTITUTE(SUBSTITUTE(SUBSTITUTE(SUBSTITUTE(SUBSTITUTE(SUBSTITUTE(SUBSTITUTE(SUBSTITUTE(C444," ",""),"-",""),"(",""),")",""),".",""),"+",""),"/",""),CHAR(160),"")</f>
        <v/>
      </c>
      <c r="E444" s="32">
        <f>IF(LEN(D444)&gt;=10,RIGHT(D444,10),D444)</f>
        <v/>
      </c>
      <c r="F444" s="32">
        <f>IF(B444="","",TRIM(INDEX('Form Responses'!$D:$D,ROW())&amp;""))</f>
        <v/>
      </c>
      <c r="G444" s="32">
        <f>IF(B444="","",IF(LEFT(TRIM(INDEX('Form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4" s="32">
        <f>IF(B444="","",MAX(0,IFERROR(INT(--(INDEX('Form Responses'!$F:$F,ROW())&amp;"")),1)))</f>
        <v/>
      </c>
      <c r="I444" s="32">
        <f>IF(B444="","",MAX(0,IFERROR(INT(--(INDEX('Form Responses'!$G:$G,ROW())&amp;"")),0)))</f>
        <v/>
      </c>
      <c r="J444" s="32">
        <f>IF(B444="","",TRIM(INDEX('Form Responses'!$H:$H,ROW())&amp;""))</f>
        <v/>
      </c>
      <c r="K444" s="32">
        <f>IF(B444="","",TRIM(INDEX('Form Responses'!$I:$I,ROW())&amp;""))</f>
        <v/>
      </c>
      <c r="L444" s="32">
        <f>IF(B444="","",TRIM(INDEX('Form Responses'!$J:$J,ROW())&amp;""))</f>
        <v/>
      </c>
      <c r="M444" s="32">
        <f>IF(B444="","",TRIM(INDEX('Form Responses'!$K:$K,ROW())&amp;""))</f>
        <v/>
      </c>
      <c r="N444" s="32">
        <f>IF(B444="","",IF(E444&lt;&gt;"","P"&amp;E444,"N"&amp;B444))</f>
        <v/>
      </c>
      <c r="O444" s="32">
        <f>IF(N444="",0,IF(COUNTIF(N445:N$602,N444)=0,1,0))</f>
        <v/>
      </c>
      <c r="P444" s="32">
        <f>IF(AND(O444=1,E444&lt;&gt;""),E444,"")</f>
        <v/>
      </c>
      <c r="Q444" s="32">
        <f>IF(O444=1,B444,"")</f>
        <v/>
      </c>
      <c r="R444" s="32">
        <f>IF(O444&lt;&gt;1,"",IF(E444&lt;&gt;"",IFERROR(MATCH(E444,Guests!$S$6:$S$505,0)+5,IFERROR(MATCH(B444,Guests!$A$6:$A$505,0)+5,"")),IFERROR(MATCH(B444,Guests!$A$6:$A$505,0)+5,"")))</f>
        <v/>
      </c>
      <c r="S444" s="32">
        <f>IF(R444="","",TRIM(INDEX(Guests!$E$1:$E$505,R444)&amp;""))</f>
        <v/>
      </c>
      <c r="T444" s="32">
        <f>IF(R444="","",IF(S444="",1,COUNTIF(Guests!$E$6:$E$505,S444)))</f>
        <v/>
      </c>
      <c r="U444" s="32">
        <f>IF(R444="","",IF(S444="",1,IF(COUNTIF(S$1:S443,S444)=0,1,0)))</f>
        <v/>
      </c>
      <c r="V444" s="32">
        <f>IF(AND(R444&lt;&gt;"",G444="Attending",U444=1),MAX(0,H444+I444-T444),0)</f>
        <v/>
      </c>
      <c r="W444" s="32">
        <f>IF(AND(O444=1,R444=""),1,0)</f>
        <v/>
      </c>
      <c r="X444" s="32">
        <f>IF(B444="",0,H444+I444)</f>
        <v/>
      </c>
      <c r="Y444" s="32">
        <f>N(Y443)+O444</f>
        <v/>
      </c>
      <c r="Z444" s="32">
        <f>IF(O444=1,Y444,"")</f>
        <v/>
      </c>
      <c r="AA444" s="32">
        <f>IF(AND(W444=1,G444="Not sure yet"),1,0)</f>
        <v/>
      </c>
      <c r="AB444" s="32">
        <f>N(AB443)+AA444</f>
        <v/>
      </c>
      <c r="AC444" s="32">
        <f>IF(AA444=1,AB444,"")</f>
        <v/>
      </c>
      <c r="AD444" s="32">
        <f>IF(D444="","",IF(LEN(D444)=10,"+1"&amp;D444,IF(AND(LEN(D444)=11,LEFT(D444,1)="1"),"+"&amp;D444,IF(LEFT(C444,1)="+","+"&amp;D444,D444))))</f>
        <v/>
      </c>
      <c r="AE444" s="32">
        <f>IF(B444="","",PROPER(IFERROR(LEFT(B444,FIND(" ",B444)-1),B444)))</f>
        <v/>
      </c>
      <c r="AF444" s="32">
        <f>SUBSTITUTE(SUBSTITUTE(SUBSTITUTE(SUBSTITUTE(SUBSTITUTE(SUBSTITUTE(SUBSTITUTE(SUBSTITUTE(SUBSTITUTE(SUBSTITUTE(AE444,"%","%25"),"&amp;","%26"),"#","%23"),"+","%2B"),"=","%3D"),"?","%3F"),CHAR(34),"%22"),CHAR(10),"%0A"),CHAR(13),"")," ","+")</f>
        <v/>
      </c>
      <c r="AG444" s="32">
        <f>IF(OR(AD444="",AE444=""),"",'Start Here'!$B$20&amp;"#p="&amp;SUBSTITUTE(AD444,"+","%2B")&amp;"&amp;n="&amp;AF444&amp;"&amp;m="&amp;SUBSTITUTE('Start Here'!$B$24,"{name}",AF444))</f>
        <v/>
      </c>
      <c r="AH444" s="32">
        <f>N(AH443)+W444</f>
        <v/>
      </c>
      <c r="AI444" s="32">
        <f>IF(W444=1,AH444,"")</f>
        <v/>
      </c>
    </row>
    <row r="445">
      <c r="A445" s="32">
        <f>IF(INDEX('Form Responses'!$A:$A,ROW())="","",INDEX('Form Responses'!$A:$A,ROW()))</f>
        <v/>
      </c>
      <c r="B445" s="32">
        <f>TRIM(INDEX('Form Responses'!$B:$B,ROW())&amp;"")</f>
        <v/>
      </c>
      <c r="C445" s="32">
        <f>IF(B445="","",TRIM(INDEX('Form Responses'!$C:$C,ROW())&amp;""))</f>
        <v/>
      </c>
      <c r="D445" s="32">
        <f>SUBSTITUTE(SUBSTITUTE(SUBSTITUTE(SUBSTITUTE(SUBSTITUTE(SUBSTITUTE(SUBSTITUTE(SUBSTITUTE(C445," ",""),"-",""),"(",""),")",""),".",""),"+",""),"/",""),CHAR(160),"")</f>
        <v/>
      </c>
      <c r="E445" s="32">
        <f>IF(LEN(D445)&gt;=10,RIGHT(D445,10),D445)</f>
        <v/>
      </c>
      <c r="F445" s="32">
        <f>IF(B445="","",TRIM(INDEX('Form Responses'!$D:$D,ROW())&amp;""))</f>
        <v/>
      </c>
      <c r="G445" s="32">
        <f>IF(B445="","",IF(LEFT(TRIM(INDEX('Form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5" s="32">
        <f>IF(B445="","",MAX(0,IFERROR(INT(--(INDEX('Form Responses'!$F:$F,ROW())&amp;"")),1)))</f>
        <v/>
      </c>
      <c r="I445" s="32">
        <f>IF(B445="","",MAX(0,IFERROR(INT(--(INDEX('Form Responses'!$G:$G,ROW())&amp;"")),0)))</f>
        <v/>
      </c>
      <c r="J445" s="32">
        <f>IF(B445="","",TRIM(INDEX('Form Responses'!$H:$H,ROW())&amp;""))</f>
        <v/>
      </c>
      <c r="K445" s="32">
        <f>IF(B445="","",TRIM(INDEX('Form Responses'!$I:$I,ROW())&amp;""))</f>
        <v/>
      </c>
      <c r="L445" s="32">
        <f>IF(B445="","",TRIM(INDEX('Form Responses'!$J:$J,ROW())&amp;""))</f>
        <v/>
      </c>
      <c r="M445" s="32">
        <f>IF(B445="","",TRIM(INDEX('Form Responses'!$K:$K,ROW())&amp;""))</f>
        <v/>
      </c>
      <c r="N445" s="32">
        <f>IF(B445="","",IF(E445&lt;&gt;"","P"&amp;E445,"N"&amp;B445))</f>
        <v/>
      </c>
      <c r="O445" s="32">
        <f>IF(N445="",0,IF(COUNTIF(N446:N$602,N445)=0,1,0))</f>
        <v/>
      </c>
      <c r="P445" s="32">
        <f>IF(AND(O445=1,E445&lt;&gt;""),E445,"")</f>
        <v/>
      </c>
      <c r="Q445" s="32">
        <f>IF(O445=1,B445,"")</f>
        <v/>
      </c>
      <c r="R445" s="32">
        <f>IF(O445&lt;&gt;1,"",IF(E445&lt;&gt;"",IFERROR(MATCH(E445,Guests!$S$6:$S$505,0)+5,IFERROR(MATCH(B445,Guests!$A$6:$A$505,0)+5,"")),IFERROR(MATCH(B445,Guests!$A$6:$A$505,0)+5,"")))</f>
        <v/>
      </c>
      <c r="S445" s="32">
        <f>IF(R445="","",TRIM(INDEX(Guests!$E$1:$E$505,R445)&amp;""))</f>
        <v/>
      </c>
      <c r="T445" s="32">
        <f>IF(R445="","",IF(S445="",1,COUNTIF(Guests!$E$6:$E$505,S445)))</f>
        <v/>
      </c>
      <c r="U445" s="32">
        <f>IF(R445="","",IF(S445="",1,IF(COUNTIF(S$1:S444,S445)=0,1,0)))</f>
        <v/>
      </c>
      <c r="V445" s="32">
        <f>IF(AND(R445&lt;&gt;"",G445="Attending",U445=1),MAX(0,H445+I445-T445),0)</f>
        <v/>
      </c>
      <c r="W445" s="32">
        <f>IF(AND(O445=1,R445=""),1,0)</f>
        <v/>
      </c>
      <c r="X445" s="32">
        <f>IF(B445="",0,H445+I445)</f>
        <v/>
      </c>
      <c r="Y445" s="32">
        <f>N(Y444)+O445</f>
        <v/>
      </c>
      <c r="Z445" s="32">
        <f>IF(O445=1,Y445,"")</f>
        <v/>
      </c>
      <c r="AA445" s="32">
        <f>IF(AND(W445=1,G445="Not sure yet"),1,0)</f>
        <v/>
      </c>
      <c r="AB445" s="32">
        <f>N(AB444)+AA445</f>
        <v/>
      </c>
      <c r="AC445" s="32">
        <f>IF(AA445=1,AB445,"")</f>
        <v/>
      </c>
      <c r="AD445" s="32">
        <f>IF(D445="","",IF(LEN(D445)=10,"+1"&amp;D445,IF(AND(LEN(D445)=11,LEFT(D445,1)="1"),"+"&amp;D445,IF(LEFT(C445,1)="+","+"&amp;D445,D445))))</f>
        <v/>
      </c>
      <c r="AE445" s="32">
        <f>IF(B445="","",PROPER(IFERROR(LEFT(B445,FIND(" ",B445)-1),B445)))</f>
        <v/>
      </c>
      <c r="AF445" s="32">
        <f>SUBSTITUTE(SUBSTITUTE(SUBSTITUTE(SUBSTITUTE(SUBSTITUTE(SUBSTITUTE(SUBSTITUTE(SUBSTITUTE(SUBSTITUTE(SUBSTITUTE(AE445,"%","%25"),"&amp;","%26"),"#","%23"),"+","%2B"),"=","%3D"),"?","%3F"),CHAR(34),"%22"),CHAR(10),"%0A"),CHAR(13),"")," ","+")</f>
        <v/>
      </c>
      <c r="AG445" s="32">
        <f>IF(OR(AD445="",AE445=""),"",'Start Here'!$B$20&amp;"#p="&amp;SUBSTITUTE(AD445,"+","%2B")&amp;"&amp;n="&amp;AF445&amp;"&amp;m="&amp;SUBSTITUTE('Start Here'!$B$24,"{name}",AF445))</f>
        <v/>
      </c>
      <c r="AH445" s="32">
        <f>N(AH444)+W445</f>
        <v/>
      </c>
      <c r="AI445" s="32">
        <f>IF(W445=1,AH445,"")</f>
        <v/>
      </c>
    </row>
    <row r="446">
      <c r="A446" s="32">
        <f>IF(INDEX('Form Responses'!$A:$A,ROW())="","",INDEX('Form Responses'!$A:$A,ROW()))</f>
        <v/>
      </c>
      <c r="B446" s="32">
        <f>TRIM(INDEX('Form Responses'!$B:$B,ROW())&amp;"")</f>
        <v/>
      </c>
      <c r="C446" s="32">
        <f>IF(B446="","",TRIM(INDEX('Form Responses'!$C:$C,ROW())&amp;""))</f>
        <v/>
      </c>
      <c r="D446" s="32">
        <f>SUBSTITUTE(SUBSTITUTE(SUBSTITUTE(SUBSTITUTE(SUBSTITUTE(SUBSTITUTE(SUBSTITUTE(SUBSTITUTE(C446," ",""),"-",""),"(",""),")",""),".",""),"+",""),"/",""),CHAR(160),"")</f>
        <v/>
      </c>
      <c r="E446" s="32">
        <f>IF(LEN(D446)&gt;=10,RIGHT(D446,10),D446)</f>
        <v/>
      </c>
      <c r="F446" s="32">
        <f>IF(B446="","",TRIM(INDEX('Form Responses'!$D:$D,ROW())&amp;""))</f>
        <v/>
      </c>
      <c r="G446" s="32">
        <f>IF(B446="","",IF(LEFT(TRIM(INDEX('Form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6" s="32">
        <f>IF(B446="","",MAX(0,IFERROR(INT(--(INDEX('Form Responses'!$F:$F,ROW())&amp;"")),1)))</f>
        <v/>
      </c>
      <c r="I446" s="32">
        <f>IF(B446="","",MAX(0,IFERROR(INT(--(INDEX('Form Responses'!$G:$G,ROW())&amp;"")),0)))</f>
        <v/>
      </c>
      <c r="J446" s="32">
        <f>IF(B446="","",TRIM(INDEX('Form Responses'!$H:$H,ROW())&amp;""))</f>
        <v/>
      </c>
      <c r="K446" s="32">
        <f>IF(B446="","",TRIM(INDEX('Form Responses'!$I:$I,ROW())&amp;""))</f>
        <v/>
      </c>
      <c r="L446" s="32">
        <f>IF(B446="","",TRIM(INDEX('Form Responses'!$J:$J,ROW())&amp;""))</f>
        <v/>
      </c>
      <c r="M446" s="32">
        <f>IF(B446="","",TRIM(INDEX('Form Responses'!$K:$K,ROW())&amp;""))</f>
        <v/>
      </c>
      <c r="N446" s="32">
        <f>IF(B446="","",IF(E446&lt;&gt;"","P"&amp;E446,"N"&amp;B446))</f>
        <v/>
      </c>
      <c r="O446" s="32">
        <f>IF(N446="",0,IF(COUNTIF(N447:N$602,N446)=0,1,0))</f>
        <v/>
      </c>
      <c r="P446" s="32">
        <f>IF(AND(O446=1,E446&lt;&gt;""),E446,"")</f>
        <v/>
      </c>
      <c r="Q446" s="32">
        <f>IF(O446=1,B446,"")</f>
        <v/>
      </c>
      <c r="R446" s="32">
        <f>IF(O446&lt;&gt;1,"",IF(E446&lt;&gt;"",IFERROR(MATCH(E446,Guests!$S$6:$S$505,0)+5,IFERROR(MATCH(B446,Guests!$A$6:$A$505,0)+5,"")),IFERROR(MATCH(B446,Guests!$A$6:$A$505,0)+5,"")))</f>
        <v/>
      </c>
      <c r="S446" s="32">
        <f>IF(R446="","",TRIM(INDEX(Guests!$E$1:$E$505,R446)&amp;""))</f>
        <v/>
      </c>
      <c r="T446" s="32">
        <f>IF(R446="","",IF(S446="",1,COUNTIF(Guests!$E$6:$E$505,S446)))</f>
        <v/>
      </c>
      <c r="U446" s="32">
        <f>IF(R446="","",IF(S446="",1,IF(COUNTIF(S$1:S445,S446)=0,1,0)))</f>
        <v/>
      </c>
      <c r="V446" s="32">
        <f>IF(AND(R446&lt;&gt;"",G446="Attending",U446=1),MAX(0,H446+I446-T446),0)</f>
        <v/>
      </c>
      <c r="W446" s="32">
        <f>IF(AND(O446=1,R446=""),1,0)</f>
        <v/>
      </c>
      <c r="X446" s="32">
        <f>IF(B446="",0,H446+I446)</f>
        <v/>
      </c>
      <c r="Y446" s="32">
        <f>N(Y445)+O446</f>
        <v/>
      </c>
      <c r="Z446" s="32">
        <f>IF(O446=1,Y446,"")</f>
        <v/>
      </c>
      <c r="AA446" s="32">
        <f>IF(AND(W446=1,G446="Not sure yet"),1,0)</f>
        <v/>
      </c>
      <c r="AB446" s="32">
        <f>N(AB445)+AA446</f>
        <v/>
      </c>
      <c r="AC446" s="32">
        <f>IF(AA446=1,AB446,"")</f>
        <v/>
      </c>
      <c r="AD446" s="32">
        <f>IF(D446="","",IF(LEN(D446)=10,"+1"&amp;D446,IF(AND(LEN(D446)=11,LEFT(D446,1)="1"),"+"&amp;D446,IF(LEFT(C446,1)="+","+"&amp;D446,D446))))</f>
        <v/>
      </c>
      <c r="AE446" s="32">
        <f>IF(B446="","",PROPER(IFERROR(LEFT(B446,FIND(" ",B446)-1),B446)))</f>
        <v/>
      </c>
      <c r="AF446" s="32">
        <f>SUBSTITUTE(SUBSTITUTE(SUBSTITUTE(SUBSTITUTE(SUBSTITUTE(SUBSTITUTE(SUBSTITUTE(SUBSTITUTE(SUBSTITUTE(SUBSTITUTE(AE446,"%","%25"),"&amp;","%26"),"#","%23"),"+","%2B"),"=","%3D"),"?","%3F"),CHAR(34),"%22"),CHAR(10),"%0A"),CHAR(13),"")," ","+")</f>
        <v/>
      </c>
      <c r="AG446" s="32">
        <f>IF(OR(AD446="",AE446=""),"",'Start Here'!$B$20&amp;"#p="&amp;SUBSTITUTE(AD446,"+","%2B")&amp;"&amp;n="&amp;AF446&amp;"&amp;m="&amp;SUBSTITUTE('Start Here'!$B$24,"{name}",AF446))</f>
        <v/>
      </c>
      <c r="AH446" s="32">
        <f>N(AH445)+W446</f>
        <v/>
      </c>
      <c r="AI446" s="32">
        <f>IF(W446=1,AH446,"")</f>
        <v/>
      </c>
    </row>
    <row r="447">
      <c r="A447" s="32">
        <f>IF(INDEX('Form Responses'!$A:$A,ROW())="","",INDEX('Form Responses'!$A:$A,ROW()))</f>
        <v/>
      </c>
      <c r="B447" s="32">
        <f>TRIM(INDEX('Form Responses'!$B:$B,ROW())&amp;"")</f>
        <v/>
      </c>
      <c r="C447" s="32">
        <f>IF(B447="","",TRIM(INDEX('Form Responses'!$C:$C,ROW())&amp;""))</f>
        <v/>
      </c>
      <c r="D447" s="32">
        <f>SUBSTITUTE(SUBSTITUTE(SUBSTITUTE(SUBSTITUTE(SUBSTITUTE(SUBSTITUTE(SUBSTITUTE(SUBSTITUTE(C447," ",""),"-",""),"(",""),")",""),".",""),"+",""),"/",""),CHAR(160),"")</f>
        <v/>
      </c>
      <c r="E447" s="32">
        <f>IF(LEN(D447)&gt;=10,RIGHT(D447,10),D447)</f>
        <v/>
      </c>
      <c r="F447" s="32">
        <f>IF(B447="","",TRIM(INDEX('Form Responses'!$D:$D,ROW())&amp;""))</f>
        <v/>
      </c>
      <c r="G447" s="32">
        <f>IF(B447="","",IF(LEFT(TRIM(INDEX('Form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7" s="32">
        <f>IF(B447="","",MAX(0,IFERROR(INT(--(INDEX('Form Responses'!$F:$F,ROW())&amp;"")),1)))</f>
        <v/>
      </c>
      <c r="I447" s="32">
        <f>IF(B447="","",MAX(0,IFERROR(INT(--(INDEX('Form Responses'!$G:$G,ROW())&amp;"")),0)))</f>
        <v/>
      </c>
      <c r="J447" s="32">
        <f>IF(B447="","",TRIM(INDEX('Form Responses'!$H:$H,ROW())&amp;""))</f>
        <v/>
      </c>
      <c r="K447" s="32">
        <f>IF(B447="","",TRIM(INDEX('Form Responses'!$I:$I,ROW())&amp;""))</f>
        <v/>
      </c>
      <c r="L447" s="32">
        <f>IF(B447="","",TRIM(INDEX('Form Responses'!$J:$J,ROW())&amp;""))</f>
        <v/>
      </c>
      <c r="M447" s="32">
        <f>IF(B447="","",TRIM(INDEX('Form Responses'!$K:$K,ROW())&amp;""))</f>
        <v/>
      </c>
      <c r="N447" s="32">
        <f>IF(B447="","",IF(E447&lt;&gt;"","P"&amp;E447,"N"&amp;B447))</f>
        <v/>
      </c>
      <c r="O447" s="32">
        <f>IF(N447="",0,IF(COUNTIF(N448:N$602,N447)=0,1,0))</f>
        <v/>
      </c>
      <c r="P447" s="32">
        <f>IF(AND(O447=1,E447&lt;&gt;""),E447,"")</f>
        <v/>
      </c>
      <c r="Q447" s="32">
        <f>IF(O447=1,B447,"")</f>
        <v/>
      </c>
      <c r="R447" s="32">
        <f>IF(O447&lt;&gt;1,"",IF(E447&lt;&gt;"",IFERROR(MATCH(E447,Guests!$S$6:$S$505,0)+5,IFERROR(MATCH(B447,Guests!$A$6:$A$505,0)+5,"")),IFERROR(MATCH(B447,Guests!$A$6:$A$505,0)+5,"")))</f>
        <v/>
      </c>
      <c r="S447" s="32">
        <f>IF(R447="","",TRIM(INDEX(Guests!$E$1:$E$505,R447)&amp;""))</f>
        <v/>
      </c>
      <c r="T447" s="32">
        <f>IF(R447="","",IF(S447="",1,COUNTIF(Guests!$E$6:$E$505,S447)))</f>
        <v/>
      </c>
      <c r="U447" s="32">
        <f>IF(R447="","",IF(S447="",1,IF(COUNTIF(S$1:S446,S447)=0,1,0)))</f>
        <v/>
      </c>
      <c r="V447" s="32">
        <f>IF(AND(R447&lt;&gt;"",G447="Attending",U447=1),MAX(0,H447+I447-T447),0)</f>
        <v/>
      </c>
      <c r="W447" s="32">
        <f>IF(AND(O447=1,R447=""),1,0)</f>
        <v/>
      </c>
      <c r="X447" s="32">
        <f>IF(B447="",0,H447+I447)</f>
        <v/>
      </c>
      <c r="Y447" s="32">
        <f>N(Y446)+O447</f>
        <v/>
      </c>
      <c r="Z447" s="32">
        <f>IF(O447=1,Y447,"")</f>
        <v/>
      </c>
      <c r="AA447" s="32">
        <f>IF(AND(W447=1,G447="Not sure yet"),1,0)</f>
        <v/>
      </c>
      <c r="AB447" s="32">
        <f>N(AB446)+AA447</f>
        <v/>
      </c>
      <c r="AC447" s="32">
        <f>IF(AA447=1,AB447,"")</f>
        <v/>
      </c>
      <c r="AD447" s="32">
        <f>IF(D447="","",IF(LEN(D447)=10,"+1"&amp;D447,IF(AND(LEN(D447)=11,LEFT(D447,1)="1"),"+"&amp;D447,IF(LEFT(C447,1)="+","+"&amp;D447,D447))))</f>
        <v/>
      </c>
      <c r="AE447" s="32">
        <f>IF(B447="","",PROPER(IFERROR(LEFT(B447,FIND(" ",B447)-1),B447)))</f>
        <v/>
      </c>
      <c r="AF447" s="32">
        <f>SUBSTITUTE(SUBSTITUTE(SUBSTITUTE(SUBSTITUTE(SUBSTITUTE(SUBSTITUTE(SUBSTITUTE(SUBSTITUTE(SUBSTITUTE(SUBSTITUTE(AE447,"%","%25"),"&amp;","%26"),"#","%23"),"+","%2B"),"=","%3D"),"?","%3F"),CHAR(34),"%22"),CHAR(10),"%0A"),CHAR(13),"")," ","+")</f>
        <v/>
      </c>
      <c r="AG447" s="32">
        <f>IF(OR(AD447="",AE447=""),"",'Start Here'!$B$20&amp;"#p="&amp;SUBSTITUTE(AD447,"+","%2B")&amp;"&amp;n="&amp;AF447&amp;"&amp;m="&amp;SUBSTITUTE('Start Here'!$B$24,"{name}",AF447))</f>
        <v/>
      </c>
      <c r="AH447" s="32">
        <f>N(AH446)+W447</f>
        <v/>
      </c>
      <c r="AI447" s="32">
        <f>IF(W447=1,AH447,"")</f>
        <v/>
      </c>
    </row>
    <row r="448">
      <c r="A448" s="32">
        <f>IF(INDEX('Form Responses'!$A:$A,ROW())="","",INDEX('Form Responses'!$A:$A,ROW()))</f>
        <v/>
      </c>
      <c r="B448" s="32">
        <f>TRIM(INDEX('Form Responses'!$B:$B,ROW())&amp;"")</f>
        <v/>
      </c>
      <c r="C448" s="32">
        <f>IF(B448="","",TRIM(INDEX('Form Responses'!$C:$C,ROW())&amp;""))</f>
        <v/>
      </c>
      <c r="D448" s="32">
        <f>SUBSTITUTE(SUBSTITUTE(SUBSTITUTE(SUBSTITUTE(SUBSTITUTE(SUBSTITUTE(SUBSTITUTE(SUBSTITUTE(C448," ",""),"-",""),"(",""),")",""),".",""),"+",""),"/",""),CHAR(160),"")</f>
        <v/>
      </c>
      <c r="E448" s="32">
        <f>IF(LEN(D448)&gt;=10,RIGHT(D448,10),D448)</f>
        <v/>
      </c>
      <c r="F448" s="32">
        <f>IF(B448="","",TRIM(INDEX('Form Responses'!$D:$D,ROW())&amp;""))</f>
        <v/>
      </c>
      <c r="G448" s="32">
        <f>IF(B448="","",IF(LEFT(TRIM(INDEX('Form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8" s="32">
        <f>IF(B448="","",MAX(0,IFERROR(INT(--(INDEX('Form Responses'!$F:$F,ROW())&amp;"")),1)))</f>
        <v/>
      </c>
      <c r="I448" s="32">
        <f>IF(B448="","",MAX(0,IFERROR(INT(--(INDEX('Form Responses'!$G:$G,ROW())&amp;"")),0)))</f>
        <v/>
      </c>
      <c r="J448" s="32">
        <f>IF(B448="","",TRIM(INDEX('Form Responses'!$H:$H,ROW())&amp;""))</f>
        <v/>
      </c>
      <c r="K448" s="32">
        <f>IF(B448="","",TRIM(INDEX('Form Responses'!$I:$I,ROW())&amp;""))</f>
        <v/>
      </c>
      <c r="L448" s="32">
        <f>IF(B448="","",TRIM(INDEX('Form Responses'!$J:$J,ROW())&amp;""))</f>
        <v/>
      </c>
      <c r="M448" s="32">
        <f>IF(B448="","",TRIM(INDEX('Form Responses'!$K:$K,ROW())&amp;""))</f>
        <v/>
      </c>
      <c r="N448" s="32">
        <f>IF(B448="","",IF(E448&lt;&gt;"","P"&amp;E448,"N"&amp;B448))</f>
        <v/>
      </c>
      <c r="O448" s="32">
        <f>IF(N448="",0,IF(COUNTIF(N449:N$602,N448)=0,1,0))</f>
        <v/>
      </c>
      <c r="P448" s="32">
        <f>IF(AND(O448=1,E448&lt;&gt;""),E448,"")</f>
        <v/>
      </c>
      <c r="Q448" s="32">
        <f>IF(O448=1,B448,"")</f>
        <v/>
      </c>
      <c r="R448" s="32">
        <f>IF(O448&lt;&gt;1,"",IF(E448&lt;&gt;"",IFERROR(MATCH(E448,Guests!$S$6:$S$505,0)+5,IFERROR(MATCH(B448,Guests!$A$6:$A$505,0)+5,"")),IFERROR(MATCH(B448,Guests!$A$6:$A$505,0)+5,"")))</f>
        <v/>
      </c>
      <c r="S448" s="32">
        <f>IF(R448="","",TRIM(INDEX(Guests!$E$1:$E$505,R448)&amp;""))</f>
        <v/>
      </c>
      <c r="T448" s="32">
        <f>IF(R448="","",IF(S448="",1,COUNTIF(Guests!$E$6:$E$505,S448)))</f>
        <v/>
      </c>
      <c r="U448" s="32">
        <f>IF(R448="","",IF(S448="",1,IF(COUNTIF(S$1:S447,S448)=0,1,0)))</f>
        <v/>
      </c>
      <c r="V448" s="32">
        <f>IF(AND(R448&lt;&gt;"",G448="Attending",U448=1),MAX(0,H448+I448-T448),0)</f>
        <v/>
      </c>
      <c r="W448" s="32">
        <f>IF(AND(O448=1,R448=""),1,0)</f>
        <v/>
      </c>
      <c r="X448" s="32">
        <f>IF(B448="",0,H448+I448)</f>
        <v/>
      </c>
      <c r="Y448" s="32">
        <f>N(Y447)+O448</f>
        <v/>
      </c>
      <c r="Z448" s="32">
        <f>IF(O448=1,Y448,"")</f>
        <v/>
      </c>
      <c r="AA448" s="32">
        <f>IF(AND(W448=1,G448="Not sure yet"),1,0)</f>
        <v/>
      </c>
      <c r="AB448" s="32">
        <f>N(AB447)+AA448</f>
        <v/>
      </c>
      <c r="AC448" s="32">
        <f>IF(AA448=1,AB448,"")</f>
        <v/>
      </c>
      <c r="AD448" s="32">
        <f>IF(D448="","",IF(LEN(D448)=10,"+1"&amp;D448,IF(AND(LEN(D448)=11,LEFT(D448,1)="1"),"+"&amp;D448,IF(LEFT(C448,1)="+","+"&amp;D448,D448))))</f>
        <v/>
      </c>
      <c r="AE448" s="32">
        <f>IF(B448="","",PROPER(IFERROR(LEFT(B448,FIND(" ",B448)-1),B448)))</f>
        <v/>
      </c>
      <c r="AF448" s="32">
        <f>SUBSTITUTE(SUBSTITUTE(SUBSTITUTE(SUBSTITUTE(SUBSTITUTE(SUBSTITUTE(SUBSTITUTE(SUBSTITUTE(SUBSTITUTE(SUBSTITUTE(AE448,"%","%25"),"&amp;","%26"),"#","%23"),"+","%2B"),"=","%3D"),"?","%3F"),CHAR(34),"%22"),CHAR(10),"%0A"),CHAR(13),"")," ","+")</f>
        <v/>
      </c>
      <c r="AG448" s="32">
        <f>IF(OR(AD448="",AE448=""),"",'Start Here'!$B$20&amp;"#p="&amp;SUBSTITUTE(AD448,"+","%2B")&amp;"&amp;n="&amp;AF448&amp;"&amp;m="&amp;SUBSTITUTE('Start Here'!$B$24,"{name}",AF448))</f>
        <v/>
      </c>
      <c r="AH448" s="32">
        <f>N(AH447)+W448</f>
        <v/>
      </c>
      <c r="AI448" s="32">
        <f>IF(W448=1,AH448,"")</f>
        <v/>
      </c>
    </row>
    <row r="449">
      <c r="A449" s="32">
        <f>IF(INDEX('Form Responses'!$A:$A,ROW())="","",INDEX('Form Responses'!$A:$A,ROW()))</f>
        <v/>
      </c>
      <c r="B449" s="32">
        <f>TRIM(INDEX('Form Responses'!$B:$B,ROW())&amp;"")</f>
        <v/>
      </c>
      <c r="C449" s="32">
        <f>IF(B449="","",TRIM(INDEX('Form Responses'!$C:$C,ROW())&amp;""))</f>
        <v/>
      </c>
      <c r="D449" s="32">
        <f>SUBSTITUTE(SUBSTITUTE(SUBSTITUTE(SUBSTITUTE(SUBSTITUTE(SUBSTITUTE(SUBSTITUTE(SUBSTITUTE(C449," ",""),"-",""),"(",""),")",""),".",""),"+",""),"/",""),CHAR(160),"")</f>
        <v/>
      </c>
      <c r="E449" s="32">
        <f>IF(LEN(D449)&gt;=10,RIGHT(D449,10),D449)</f>
        <v/>
      </c>
      <c r="F449" s="32">
        <f>IF(B449="","",TRIM(INDEX('Form Responses'!$D:$D,ROW())&amp;""))</f>
        <v/>
      </c>
      <c r="G449" s="32">
        <f>IF(B449="","",IF(LEFT(TRIM(INDEX('Form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49" s="32">
        <f>IF(B449="","",MAX(0,IFERROR(INT(--(INDEX('Form Responses'!$F:$F,ROW())&amp;"")),1)))</f>
        <v/>
      </c>
      <c r="I449" s="32">
        <f>IF(B449="","",MAX(0,IFERROR(INT(--(INDEX('Form Responses'!$G:$G,ROW())&amp;"")),0)))</f>
        <v/>
      </c>
      <c r="J449" s="32">
        <f>IF(B449="","",TRIM(INDEX('Form Responses'!$H:$H,ROW())&amp;""))</f>
        <v/>
      </c>
      <c r="K449" s="32">
        <f>IF(B449="","",TRIM(INDEX('Form Responses'!$I:$I,ROW())&amp;""))</f>
        <v/>
      </c>
      <c r="L449" s="32">
        <f>IF(B449="","",TRIM(INDEX('Form Responses'!$J:$J,ROW())&amp;""))</f>
        <v/>
      </c>
      <c r="M449" s="32">
        <f>IF(B449="","",TRIM(INDEX('Form Responses'!$K:$K,ROW())&amp;""))</f>
        <v/>
      </c>
      <c r="N449" s="32">
        <f>IF(B449="","",IF(E449&lt;&gt;"","P"&amp;E449,"N"&amp;B449))</f>
        <v/>
      </c>
      <c r="O449" s="32">
        <f>IF(N449="",0,IF(COUNTIF(N450:N$602,N449)=0,1,0))</f>
        <v/>
      </c>
      <c r="P449" s="32">
        <f>IF(AND(O449=1,E449&lt;&gt;""),E449,"")</f>
        <v/>
      </c>
      <c r="Q449" s="32">
        <f>IF(O449=1,B449,"")</f>
        <v/>
      </c>
      <c r="R449" s="32">
        <f>IF(O449&lt;&gt;1,"",IF(E449&lt;&gt;"",IFERROR(MATCH(E449,Guests!$S$6:$S$505,0)+5,IFERROR(MATCH(B449,Guests!$A$6:$A$505,0)+5,"")),IFERROR(MATCH(B449,Guests!$A$6:$A$505,0)+5,"")))</f>
        <v/>
      </c>
      <c r="S449" s="32">
        <f>IF(R449="","",TRIM(INDEX(Guests!$E$1:$E$505,R449)&amp;""))</f>
        <v/>
      </c>
      <c r="T449" s="32">
        <f>IF(R449="","",IF(S449="",1,COUNTIF(Guests!$E$6:$E$505,S449)))</f>
        <v/>
      </c>
      <c r="U449" s="32">
        <f>IF(R449="","",IF(S449="",1,IF(COUNTIF(S$1:S448,S449)=0,1,0)))</f>
        <v/>
      </c>
      <c r="V449" s="32">
        <f>IF(AND(R449&lt;&gt;"",G449="Attending",U449=1),MAX(0,H449+I449-T449),0)</f>
        <v/>
      </c>
      <c r="W449" s="32">
        <f>IF(AND(O449=1,R449=""),1,0)</f>
        <v/>
      </c>
      <c r="X449" s="32">
        <f>IF(B449="",0,H449+I449)</f>
        <v/>
      </c>
      <c r="Y449" s="32">
        <f>N(Y448)+O449</f>
        <v/>
      </c>
      <c r="Z449" s="32">
        <f>IF(O449=1,Y449,"")</f>
        <v/>
      </c>
      <c r="AA449" s="32">
        <f>IF(AND(W449=1,G449="Not sure yet"),1,0)</f>
        <v/>
      </c>
      <c r="AB449" s="32">
        <f>N(AB448)+AA449</f>
        <v/>
      </c>
      <c r="AC449" s="32">
        <f>IF(AA449=1,AB449,"")</f>
        <v/>
      </c>
      <c r="AD449" s="32">
        <f>IF(D449="","",IF(LEN(D449)=10,"+1"&amp;D449,IF(AND(LEN(D449)=11,LEFT(D449,1)="1"),"+"&amp;D449,IF(LEFT(C449,1)="+","+"&amp;D449,D449))))</f>
        <v/>
      </c>
      <c r="AE449" s="32">
        <f>IF(B449="","",PROPER(IFERROR(LEFT(B449,FIND(" ",B449)-1),B449)))</f>
        <v/>
      </c>
      <c r="AF449" s="32">
        <f>SUBSTITUTE(SUBSTITUTE(SUBSTITUTE(SUBSTITUTE(SUBSTITUTE(SUBSTITUTE(SUBSTITUTE(SUBSTITUTE(SUBSTITUTE(SUBSTITUTE(AE449,"%","%25"),"&amp;","%26"),"#","%23"),"+","%2B"),"=","%3D"),"?","%3F"),CHAR(34),"%22"),CHAR(10),"%0A"),CHAR(13),"")," ","+")</f>
        <v/>
      </c>
      <c r="AG449" s="32">
        <f>IF(OR(AD449="",AE449=""),"",'Start Here'!$B$20&amp;"#p="&amp;SUBSTITUTE(AD449,"+","%2B")&amp;"&amp;n="&amp;AF449&amp;"&amp;m="&amp;SUBSTITUTE('Start Here'!$B$24,"{name}",AF449))</f>
        <v/>
      </c>
      <c r="AH449" s="32">
        <f>N(AH448)+W449</f>
        <v/>
      </c>
      <c r="AI449" s="32">
        <f>IF(W449=1,AH449,"")</f>
        <v/>
      </c>
    </row>
    <row r="450">
      <c r="A450" s="32">
        <f>IF(INDEX('Form Responses'!$A:$A,ROW())="","",INDEX('Form Responses'!$A:$A,ROW()))</f>
        <v/>
      </c>
      <c r="B450" s="32">
        <f>TRIM(INDEX('Form Responses'!$B:$B,ROW())&amp;"")</f>
        <v/>
      </c>
      <c r="C450" s="32">
        <f>IF(B450="","",TRIM(INDEX('Form Responses'!$C:$C,ROW())&amp;""))</f>
        <v/>
      </c>
      <c r="D450" s="32">
        <f>SUBSTITUTE(SUBSTITUTE(SUBSTITUTE(SUBSTITUTE(SUBSTITUTE(SUBSTITUTE(SUBSTITUTE(SUBSTITUTE(C450," ",""),"-",""),"(",""),")",""),".",""),"+",""),"/",""),CHAR(160),"")</f>
        <v/>
      </c>
      <c r="E450" s="32">
        <f>IF(LEN(D450)&gt;=10,RIGHT(D450,10),D450)</f>
        <v/>
      </c>
      <c r="F450" s="32">
        <f>IF(B450="","",TRIM(INDEX('Form Responses'!$D:$D,ROW())&amp;""))</f>
        <v/>
      </c>
      <c r="G450" s="32">
        <f>IF(B450="","",IF(LEFT(TRIM(INDEX('Form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0" s="32">
        <f>IF(B450="","",MAX(0,IFERROR(INT(--(INDEX('Form Responses'!$F:$F,ROW())&amp;"")),1)))</f>
        <v/>
      </c>
      <c r="I450" s="32">
        <f>IF(B450="","",MAX(0,IFERROR(INT(--(INDEX('Form Responses'!$G:$G,ROW())&amp;"")),0)))</f>
        <v/>
      </c>
      <c r="J450" s="32">
        <f>IF(B450="","",TRIM(INDEX('Form Responses'!$H:$H,ROW())&amp;""))</f>
        <v/>
      </c>
      <c r="K450" s="32">
        <f>IF(B450="","",TRIM(INDEX('Form Responses'!$I:$I,ROW())&amp;""))</f>
        <v/>
      </c>
      <c r="L450" s="32">
        <f>IF(B450="","",TRIM(INDEX('Form Responses'!$J:$J,ROW())&amp;""))</f>
        <v/>
      </c>
      <c r="M450" s="32">
        <f>IF(B450="","",TRIM(INDEX('Form Responses'!$K:$K,ROW())&amp;""))</f>
        <v/>
      </c>
      <c r="N450" s="32">
        <f>IF(B450="","",IF(E450&lt;&gt;"","P"&amp;E450,"N"&amp;B450))</f>
        <v/>
      </c>
      <c r="O450" s="32">
        <f>IF(N450="",0,IF(COUNTIF(N451:N$602,N450)=0,1,0))</f>
        <v/>
      </c>
      <c r="P450" s="32">
        <f>IF(AND(O450=1,E450&lt;&gt;""),E450,"")</f>
        <v/>
      </c>
      <c r="Q450" s="32">
        <f>IF(O450=1,B450,"")</f>
        <v/>
      </c>
      <c r="R450" s="32">
        <f>IF(O450&lt;&gt;1,"",IF(E450&lt;&gt;"",IFERROR(MATCH(E450,Guests!$S$6:$S$505,0)+5,IFERROR(MATCH(B450,Guests!$A$6:$A$505,0)+5,"")),IFERROR(MATCH(B450,Guests!$A$6:$A$505,0)+5,"")))</f>
        <v/>
      </c>
      <c r="S450" s="32">
        <f>IF(R450="","",TRIM(INDEX(Guests!$E$1:$E$505,R450)&amp;""))</f>
        <v/>
      </c>
      <c r="T450" s="32">
        <f>IF(R450="","",IF(S450="",1,COUNTIF(Guests!$E$6:$E$505,S450)))</f>
        <v/>
      </c>
      <c r="U450" s="32">
        <f>IF(R450="","",IF(S450="",1,IF(COUNTIF(S$1:S449,S450)=0,1,0)))</f>
        <v/>
      </c>
      <c r="V450" s="32">
        <f>IF(AND(R450&lt;&gt;"",G450="Attending",U450=1),MAX(0,H450+I450-T450),0)</f>
        <v/>
      </c>
      <c r="W450" s="32">
        <f>IF(AND(O450=1,R450=""),1,0)</f>
        <v/>
      </c>
      <c r="X450" s="32">
        <f>IF(B450="",0,H450+I450)</f>
        <v/>
      </c>
      <c r="Y450" s="32">
        <f>N(Y449)+O450</f>
        <v/>
      </c>
      <c r="Z450" s="32">
        <f>IF(O450=1,Y450,"")</f>
        <v/>
      </c>
      <c r="AA450" s="32">
        <f>IF(AND(W450=1,G450="Not sure yet"),1,0)</f>
        <v/>
      </c>
      <c r="AB450" s="32">
        <f>N(AB449)+AA450</f>
        <v/>
      </c>
      <c r="AC450" s="32">
        <f>IF(AA450=1,AB450,"")</f>
        <v/>
      </c>
      <c r="AD450" s="32">
        <f>IF(D450="","",IF(LEN(D450)=10,"+1"&amp;D450,IF(AND(LEN(D450)=11,LEFT(D450,1)="1"),"+"&amp;D450,IF(LEFT(C450,1)="+","+"&amp;D450,D450))))</f>
        <v/>
      </c>
      <c r="AE450" s="32">
        <f>IF(B450="","",PROPER(IFERROR(LEFT(B450,FIND(" ",B450)-1),B450)))</f>
        <v/>
      </c>
      <c r="AF450" s="32">
        <f>SUBSTITUTE(SUBSTITUTE(SUBSTITUTE(SUBSTITUTE(SUBSTITUTE(SUBSTITUTE(SUBSTITUTE(SUBSTITUTE(SUBSTITUTE(SUBSTITUTE(AE450,"%","%25"),"&amp;","%26"),"#","%23"),"+","%2B"),"=","%3D"),"?","%3F"),CHAR(34),"%22"),CHAR(10),"%0A"),CHAR(13),"")," ","+")</f>
        <v/>
      </c>
      <c r="AG450" s="32">
        <f>IF(OR(AD450="",AE450=""),"",'Start Here'!$B$20&amp;"#p="&amp;SUBSTITUTE(AD450,"+","%2B")&amp;"&amp;n="&amp;AF450&amp;"&amp;m="&amp;SUBSTITUTE('Start Here'!$B$24,"{name}",AF450))</f>
        <v/>
      </c>
      <c r="AH450" s="32">
        <f>N(AH449)+W450</f>
        <v/>
      </c>
      <c r="AI450" s="32">
        <f>IF(W450=1,AH450,"")</f>
        <v/>
      </c>
    </row>
    <row r="451">
      <c r="A451" s="32">
        <f>IF(INDEX('Form Responses'!$A:$A,ROW())="","",INDEX('Form Responses'!$A:$A,ROW()))</f>
        <v/>
      </c>
      <c r="B451" s="32">
        <f>TRIM(INDEX('Form Responses'!$B:$B,ROW())&amp;"")</f>
        <v/>
      </c>
      <c r="C451" s="32">
        <f>IF(B451="","",TRIM(INDEX('Form Responses'!$C:$C,ROW())&amp;""))</f>
        <v/>
      </c>
      <c r="D451" s="32">
        <f>SUBSTITUTE(SUBSTITUTE(SUBSTITUTE(SUBSTITUTE(SUBSTITUTE(SUBSTITUTE(SUBSTITUTE(SUBSTITUTE(C451," ",""),"-",""),"(",""),")",""),".",""),"+",""),"/",""),CHAR(160),"")</f>
        <v/>
      </c>
      <c r="E451" s="32">
        <f>IF(LEN(D451)&gt;=10,RIGHT(D451,10),D451)</f>
        <v/>
      </c>
      <c r="F451" s="32">
        <f>IF(B451="","",TRIM(INDEX('Form Responses'!$D:$D,ROW())&amp;""))</f>
        <v/>
      </c>
      <c r="G451" s="32">
        <f>IF(B451="","",IF(LEFT(TRIM(INDEX('Form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1" s="32">
        <f>IF(B451="","",MAX(0,IFERROR(INT(--(INDEX('Form Responses'!$F:$F,ROW())&amp;"")),1)))</f>
        <v/>
      </c>
      <c r="I451" s="32">
        <f>IF(B451="","",MAX(0,IFERROR(INT(--(INDEX('Form Responses'!$G:$G,ROW())&amp;"")),0)))</f>
        <v/>
      </c>
      <c r="J451" s="32">
        <f>IF(B451="","",TRIM(INDEX('Form Responses'!$H:$H,ROW())&amp;""))</f>
        <v/>
      </c>
      <c r="K451" s="32">
        <f>IF(B451="","",TRIM(INDEX('Form Responses'!$I:$I,ROW())&amp;""))</f>
        <v/>
      </c>
      <c r="L451" s="32">
        <f>IF(B451="","",TRIM(INDEX('Form Responses'!$J:$J,ROW())&amp;""))</f>
        <v/>
      </c>
      <c r="M451" s="32">
        <f>IF(B451="","",TRIM(INDEX('Form Responses'!$K:$K,ROW())&amp;""))</f>
        <v/>
      </c>
      <c r="N451" s="32">
        <f>IF(B451="","",IF(E451&lt;&gt;"","P"&amp;E451,"N"&amp;B451))</f>
        <v/>
      </c>
      <c r="O451" s="32">
        <f>IF(N451="",0,IF(COUNTIF(N452:N$602,N451)=0,1,0))</f>
        <v/>
      </c>
      <c r="P451" s="32">
        <f>IF(AND(O451=1,E451&lt;&gt;""),E451,"")</f>
        <v/>
      </c>
      <c r="Q451" s="32">
        <f>IF(O451=1,B451,"")</f>
        <v/>
      </c>
      <c r="R451" s="32">
        <f>IF(O451&lt;&gt;1,"",IF(E451&lt;&gt;"",IFERROR(MATCH(E451,Guests!$S$6:$S$505,0)+5,IFERROR(MATCH(B451,Guests!$A$6:$A$505,0)+5,"")),IFERROR(MATCH(B451,Guests!$A$6:$A$505,0)+5,"")))</f>
        <v/>
      </c>
      <c r="S451" s="32">
        <f>IF(R451="","",TRIM(INDEX(Guests!$E$1:$E$505,R451)&amp;""))</f>
        <v/>
      </c>
      <c r="T451" s="32">
        <f>IF(R451="","",IF(S451="",1,COUNTIF(Guests!$E$6:$E$505,S451)))</f>
        <v/>
      </c>
      <c r="U451" s="32">
        <f>IF(R451="","",IF(S451="",1,IF(COUNTIF(S$1:S450,S451)=0,1,0)))</f>
        <v/>
      </c>
      <c r="V451" s="32">
        <f>IF(AND(R451&lt;&gt;"",G451="Attending",U451=1),MAX(0,H451+I451-T451),0)</f>
        <v/>
      </c>
      <c r="W451" s="32">
        <f>IF(AND(O451=1,R451=""),1,0)</f>
        <v/>
      </c>
      <c r="X451" s="32">
        <f>IF(B451="",0,H451+I451)</f>
        <v/>
      </c>
      <c r="Y451" s="32">
        <f>N(Y450)+O451</f>
        <v/>
      </c>
      <c r="Z451" s="32">
        <f>IF(O451=1,Y451,"")</f>
        <v/>
      </c>
      <c r="AA451" s="32">
        <f>IF(AND(W451=1,G451="Not sure yet"),1,0)</f>
        <v/>
      </c>
      <c r="AB451" s="32">
        <f>N(AB450)+AA451</f>
        <v/>
      </c>
      <c r="AC451" s="32">
        <f>IF(AA451=1,AB451,"")</f>
        <v/>
      </c>
      <c r="AD451" s="32">
        <f>IF(D451="","",IF(LEN(D451)=10,"+1"&amp;D451,IF(AND(LEN(D451)=11,LEFT(D451,1)="1"),"+"&amp;D451,IF(LEFT(C451,1)="+","+"&amp;D451,D451))))</f>
        <v/>
      </c>
      <c r="AE451" s="32">
        <f>IF(B451="","",PROPER(IFERROR(LEFT(B451,FIND(" ",B451)-1),B451)))</f>
        <v/>
      </c>
      <c r="AF451" s="32">
        <f>SUBSTITUTE(SUBSTITUTE(SUBSTITUTE(SUBSTITUTE(SUBSTITUTE(SUBSTITUTE(SUBSTITUTE(SUBSTITUTE(SUBSTITUTE(SUBSTITUTE(AE451,"%","%25"),"&amp;","%26"),"#","%23"),"+","%2B"),"=","%3D"),"?","%3F"),CHAR(34),"%22"),CHAR(10),"%0A"),CHAR(13),"")," ","+")</f>
        <v/>
      </c>
      <c r="AG451" s="32">
        <f>IF(OR(AD451="",AE451=""),"",'Start Here'!$B$20&amp;"#p="&amp;SUBSTITUTE(AD451,"+","%2B")&amp;"&amp;n="&amp;AF451&amp;"&amp;m="&amp;SUBSTITUTE('Start Here'!$B$24,"{name}",AF451))</f>
        <v/>
      </c>
      <c r="AH451" s="32">
        <f>N(AH450)+W451</f>
        <v/>
      </c>
      <c r="AI451" s="32">
        <f>IF(W451=1,AH451,"")</f>
        <v/>
      </c>
    </row>
    <row r="452">
      <c r="A452" s="32">
        <f>IF(INDEX('Form Responses'!$A:$A,ROW())="","",INDEX('Form Responses'!$A:$A,ROW()))</f>
        <v/>
      </c>
      <c r="B452" s="32">
        <f>TRIM(INDEX('Form Responses'!$B:$B,ROW())&amp;"")</f>
        <v/>
      </c>
      <c r="C452" s="32">
        <f>IF(B452="","",TRIM(INDEX('Form Responses'!$C:$C,ROW())&amp;""))</f>
        <v/>
      </c>
      <c r="D452" s="32">
        <f>SUBSTITUTE(SUBSTITUTE(SUBSTITUTE(SUBSTITUTE(SUBSTITUTE(SUBSTITUTE(SUBSTITUTE(SUBSTITUTE(C452," ",""),"-",""),"(",""),")",""),".",""),"+",""),"/",""),CHAR(160),"")</f>
        <v/>
      </c>
      <c r="E452" s="32">
        <f>IF(LEN(D452)&gt;=10,RIGHT(D452,10),D452)</f>
        <v/>
      </c>
      <c r="F452" s="32">
        <f>IF(B452="","",TRIM(INDEX('Form Responses'!$D:$D,ROW())&amp;""))</f>
        <v/>
      </c>
      <c r="G452" s="32">
        <f>IF(B452="","",IF(LEFT(TRIM(INDEX('Form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2" s="32">
        <f>IF(B452="","",MAX(0,IFERROR(INT(--(INDEX('Form Responses'!$F:$F,ROW())&amp;"")),1)))</f>
        <v/>
      </c>
      <c r="I452" s="32">
        <f>IF(B452="","",MAX(0,IFERROR(INT(--(INDEX('Form Responses'!$G:$G,ROW())&amp;"")),0)))</f>
        <v/>
      </c>
      <c r="J452" s="32">
        <f>IF(B452="","",TRIM(INDEX('Form Responses'!$H:$H,ROW())&amp;""))</f>
        <v/>
      </c>
      <c r="K452" s="32">
        <f>IF(B452="","",TRIM(INDEX('Form Responses'!$I:$I,ROW())&amp;""))</f>
        <v/>
      </c>
      <c r="L452" s="32">
        <f>IF(B452="","",TRIM(INDEX('Form Responses'!$J:$J,ROW())&amp;""))</f>
        <v/>
      </c>
      <c r="M452" s="32">
        <f>IF(B452="","",TRIM(INDEX('Form Responses'!$K:$K,ROW())&amp;""))</f>
        <v/>
      </c>
      <c r="N452" s="32">
        <f>IF(B452="","",IF(E452&lt;&gt;"","P"&amp;E452,"N"&amp;B452))</f>
        <v/>
      </c>
      <c r="O452" s="32">
        <f>IF(N452="",0,IF(COUNTIF(N453:N$602,N452)=0,1,0))</f>
        <v/>
      </c>
      <c r="P452" s="32">
        <f>IF(AND(O452=1,E452&lt;&gt;""),E452,"")</f>
        <v/>
      </c>
      <c r="Q452" s="32">
        <f>IF(O452=1,B452,"")</f>
        <v/>
      </c>
      <c r="R452" s="32">
        <f>IF(O452&lt;&gt;1,"",IF(E452&lt;&gt;"",IFERROR(MATCH(E452,Guests!$S$6:$S$505,0)+5,IFERROR(MATCH(B452,Guests!$A$6:$A$505,0)+5,"")),IFERROR(MATCH(B452,Guests!$A$6:$A$505,0)+5,"")))</f>
        <v/>
      </c>
      <c r="S452" s="32">
        <f>IF(R452="","",TRIM(INDEX(Guests!$E$1:$E$505,R452)&amp;""))</f>
        <v/>
      </c>
      <c r="T452" s="32">
        <f>IF(R452="","",IF(S452="",1,COUNTIF(Guests!$E$6:$E$505,S452)))</f>
        <v/>
      </c>
      <c r="U452" s="32">
        <f>IF(R452="","",IF(S452="",1,IF(COUNTIF(S$1:S451,S452)=0,1,0)))</f>
        <v/>
      </c>
      <c r="V452" s="32">
        <f>IF(AND(R452&lt;&gt;"",G452="Attending",U452=1),MAX(0,H452+I452-T452),0)</f>
        <v/>
      </c>
      <c r="W452" s="32">
        <f>IF(AND(O452=1,R452=""),1,0)</f>
        <v/>
      </c>
      <c r="X452" s="32">
        <f>IF(B452="",0,H452+I452)</f>
        <v/>
      </c>
      <c r="Y452" s="32">
        <f>N(Y451)+O452</f>
        <v/>
      </c>
      <c r="Z452" s="32">
        <f>IF(O452=1,Y452,"")</f>
        <v/>
      </c>
      <c r="AA452" s="32">
        <f>IF(AND(W452=1,G452="Not sure yet"),1,0)</f>
        <v/>
      </c>
      <c r="AB452" s="32">
        <f>N(AB451)+AA452</f>
        <v/>
      </c>
      <c r="AC452" s="32">
        <f>IF(AA452=1,AB452,"")</f>
        <v/>
      </c>
      <c r="AD452" s="32">
        <f>IF(D452="","",IF(LEN(D452)=10,"+1"&amp;D452,IF(AND(LEN(D452)=11,LEFT(D452,1)="1"),"+"&amp;D452,IF(LEFT(C452,1)="+","+"&amp;D452,D452))))</f>
        <v/>
      </c>
      <c r="AE452" s="32">
        <f>IF(B452="","",PROPER(IFERROR(LEFT(B452,FIND(" ",B452)-1),B452)))</f>
        <v/>
      </c>
      <c r="AF452" s="32">
        <f>SUBSTITUTE(SUBSTITUTE(SUBSTITUTE(SUBSTITUTE(SUBSTITUTE(SUBSTITUTE(SUBSTITUTE(SUBSTITUTE(SUBSTITUTE(SUBSTITUTE(AE452,"%","%25"),"&amp;","%26"),"#","%23"),"+","%2B"),"=","%3D"),"?","%3F"),CHAR(34),"%22"),CHAR(10),"%0A"),CHAR(13),"")," ","+")</f>
        <v/>
      </c>
      <c r="AG452" s="32">
        <f>IF(OR(AD452="",AE452=""),"",'Start Here'!$B$20&amp;"#p="&amp;SUBSTITUTE(AD452,"+","%2B")&amp;"&amp;n="&amp;AF452&amp;"&amp;m="&amp;SUBSTITUTE('Start Here'!$B$24,"{name}",AF452))</f>
        <v/>
      </c>
      <c r="AH452" s="32">
        <f>N(AH451)+W452</f>
        <v/>
      </c>
      <c r="AI452" s="32">
        <f>IF(W452=1,AH452,"")</f>
        <v/>
      </c>
    </row>
    <row r="453">
      <c r="A453" s="32">
        <f>IF(INDEX('Form Responses'!$A:$A,ROW())="","",INDEX('Form Responses'!$A:$A,ROW()))</f>
        <v/>
      </c>
      <c r="B453" s="32">
        <f>TRIM(INDEX('Form Responses'!$B:$B,ROW())&amp;"")</f>
        <v/>
      </c>
      <c r="C453" s="32">
        <f>IF(B453="","",TRIM(INDEX('Form Responses'!$C:$C,ROW())&amp;""))</f>
        <v/>
      </c>
      <c r="D453" s="32">
        <f>SUBSTITUTE(SUBSTITUTE(SUBSTITUTE(SUBSTITUTE(SUBSTITUTE(SUBSTITUTE(SUBSTITUTE(SUBSTITUTE(C453," ",""),"-",""),"(",""),")",""),".",""),"+",""),"/",""),CHAR(160),"")</f>
        <v/>
      </c>
      <c r="E453" s="32">
        <f>IF(LEN(D453)&gt;=10,RIGHT(D453,10),D453)</f>
        <v/>
      </c>
      <c r="F453" s="32">
        <f>IF(B453="","",TRIM(INDEX('Form Responses'!$D:$D,ROW())&amp;""))</f>
        <v/>
      </c>
      <c r="G453" s="32">
        <f>IF(B453="","",IF(LEFT(TRIM(INDEX('Form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3" s="32">
        <f>IF(B453="","",MAX(0,IFERROR(INT(--(INDEX('Form Responses'!$F:$F,ROW())&amp;"")),1)))</f>
        <v/>
      </c>
      <c r="I453" s="32">
        <f>IF(B453="","",MAX(0,IFERROR(INT(--(INDEX('Form Responses'!$G:$G,ROW())&amp;"")),0)))</f>
        <v/>
      </c>
      <c r="J453" s="32">
        <f>IF(B453="","",TRIM(INDEX('Form Responses'!$H:$H,ROW())&amp;""))</f>
        <v/>
      </c>
      <c r="K453" s="32">
        <f>IF(B453="","",TRIM(INDEX('Form Responses'!$I:$I,ROW())&amp;""))</f>
        <v/>
      </c>
      <c r="L453" s="32">
        <f>IF(B453="","",TRIM(INDEX('Form Responses'!$J:$J,ROW())&amp;""))</f>
        <v/>
      </c>
      <c r="M453" s="32">
        <f>IF(B453="","",TRIM(INDEX('Form Responses'!$K:$K,ROW())&amp;""))</f>
        <v/>
      </c>
      <c r="N453" s="32">
        <f>IF(B453="","",IF(E453&lt;&gt;"","P"&amp;E453,"N"&amp;B453))</f>
        <v/>
      </c>
      <c r="O453" s="32">
        <f>IF(N453="",0,IF(COUNTIF(N454:N$602,N453)=0,1,0))</f>
        <v/>
      </c>
      <c r="P453" s="32">
        <f>IF(AND(O453=1,E453&lt;&gt;""),E453,"")</f>
        <v/>
      </c>
      <c r="Q453" s="32">
        <f>IF(O453=1,B453,"")</f>
        <v/>
      </c>
      <c r="R453" s="32">
        <f>IF(O453&lt;&gt;1,"",IF(E453&lt;&gt;"",IFERROR(MATCH(E453,Guests!$S$6:$S$505,0)+5,IFERROR(MATCH(B453,Guests!$A$6:$A$505,0)+5,"")),IFERROR(MATCH(B453,Guests!$A$6:$A$505,0)+5,"")))</f>
        <v/>
      </c>
      <c r="S453" s="32">
        <f>IF(R453="","",TRIM(INDEX(Guests!$E$1:$E$505,R453)&amp;""))</f>
        <v/>
      </c>
      <c r="T453" s="32">
        <f>IF(R453="","",IF(S453="",1,COUNTIF(Guests!$E$6:$E$505,S453)))</f>
        <v/>
      </c>
      <c r="U453" s="32">
        <f>IF(R453="","",IF(S453="",1,IF(COUNTIF(S$1:S452,S453)=0,1,0)))</f>
        <v/>
      </c>
      <c r="V453" s="32">
        <f>IF(AND(R453&lt;&gt;"",G453="Attending",U453=1),MAX(0,H453+I453-T453),0)</f>
        <v/>
      </c>
      <c r="W453" s="32">
        <f>IF(AND(O453=1,R453=""),1,0)</f>
        <v/>
      </c>
      <c r="X453" s="32">
        <f>IF(B453="",0,H453+I453)</f>
        <v/>
      </c>
      <c r="Y453" s="32">
        <f>N(Y452)+O453</f>
        <v/>
      </c>
      <c r="Z453" s="32">
        <f>IF(O453=1,Y453,"")</f>
        <v/>
      </c>
      <c r="AA453" s="32">
        <f>IF(AND(W453=1,G453="Not sure yet"),1,0)</f>
        <v/>
      </c>
      <c r="AB453" s="32">
        <f>N(AB452)+AA453</f>
        <v/>
      </c>
      <c r="AC453" s="32">
        <f>IF(AA453=1,AB453,"")</f>
        <v/>
      </c>
      <c r="AD453" s="32">
        <f>IF(D453="","",IF(LEN(D453)=10,"+1"&amp;D453,IF(AND(LEN(D453)=11,LEFT(D453,1)="1"),"+"&amp;D453,IF(LEFT(C453,1)="+","+"&amp;D453,D453))))</f>
        <v/>
      </c>
      <c r="AE453" s="32">
        <f>IF(B453="","",PROPER(IFERROR(LEFT(B453,FIND(" ",B453)-1),B453)))</f>
        <v/>
      </c>
      <c r="AF453" s="32">
        <f>SUBSTITUTE(SUBSTITUTE(SUBSTITUTE(SUBSTITUTE(SUBSTITUTE(SUBSTITUTE(SUBSTITUTE(SUBSTITUTE(SUBSTITUTE(SUBSTITUTE(AE453,"%","%25"),"&amp;","%26"),"#","%23"),"+","%2B"),"=","%3D"),"?","%3F"),CHAR(34),"%22"),CHAR(10),"%0A"),CHAR(13),"")," ","+")</f>
        <v/>
      </c>
      <c r="AG453" s="32">
        <f>IF(OR(AD453="",AE453=""),"",'Start Here'!$B$20&amp;"#p="&amp;SUBSTITUTE(AD453,"+","%2B")&amp;"&amp;n="&amp;AF453&amp;"&amp;m="&amp;SUBSTITUTE('Start Here'!$B$24,"{name}",AF453))</f>
        <v/>
      </c>
      <c r="AH453" s="32">
        <f>N(AH452)+W453</f>
        <v/>
      </c>
      <c r="AI453" s="32">
        <f>IF(W453=1,AH453,"")</f>
        <v/>
      </c>
    </row>
    <row r="454">
      <c r="A454" s="32">
        <f>IF(INDEX('Form Responses'!$A:$A,ROW())="","",INDEX('Form Responses'!$A:$A,ROW()))</f>
        <v/>
      </c>
      <c r="B454" s="32">
        <f>TRIM(INDEX('Form Responses'!$B:$B,ROW())&amp;"")</f>
        <v/>
      </c>
      <c r="C454" s="32">
        <f>IF(B454="","",TRIM(INDEX('Form Responses'!$C:$C,ROW())&amp;""))</f>
        <v/>
      </c>
      <c r="D454" s="32">
        <f>SUBSTITUTE(SUBSTITUTE(SUBSTITUTE(SUBSTITUTE(SUBSTITUTE(SUBSTITUTE(SUBSTITUTE(SUBSTITUTE(C454," ",""),"-",""),"(",""),")",""),".",""),"+",""),"/",""),CHAR(160),"")</f>
        <v/>
      </c>
      <c r="E454" s="32">
        <f>IF(LEN(D454)&gt;=10,RIGHT(D454,10),D454)</f>
        <v/>
      </c>
      <c r="F454" s="32">
        <f>IF(B454="","",TRIM(INDEX('Form Responses'!$D:$D,ROW())&amp;""))</f>
        <v/>
      </c>
      <c r="G454" s="32">
        <f>IF(B454="","",IF(LEFT(TRIM(INDEX('Form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4" s="32">
        <f>IF(B454="","",MAX(0,IFERROR(INT(--(INDEX('Form Responses'!$F:$F,ROW())&amp;"")),1)))</f>
        <v/>
      </c>
      <c r="I454" s="32">
        <f>IF(B454="","",MAX(0,IFERROR(INT(--(INDEX('Form Responses'!$G:$G,ROW())&amp;"")),0)))</f>
        <v/>
      </c>
      <c r="J454" s="32">
        <f>IF(B454="","",TRIM(INDEX('Form Responses'!$H:$H,ROW())&amp;""))</f>
        <v/>
      </c>
      <c r="K454" s="32">
        <f>IF(B454="","",TRIM(INDEX('Form Responses'!$I:$I,ROW())&amp;""))</f>
        <v/>
      </c>
      <c r="L454" s="32">
        <f>IF(B454="","",TRIM(INDEX('Form Responses'!$J:$J,ROW())&amp;""))</f>
        <v/>
      </c>
      <c r="M454" s="32">
        <f>IF(B454="","",TRIM(INDEX('Form Responses'!$K:$K,ROW())&amp;""))</f>
        <v/>
      </c>
      <c r="N454" s="32">
        <f>IF(B454="","",IF(E454&lt;&gt;"","P"&amp;E454,"N"&amp;B454))</f>
        <v/>
      </c>
      <c r="O454" s="32">
        <f>IF(N454="",0,IF(COUNTIF(N455:N$602,N454)=0,1,0))</f>
        <v/>
      </c>
      <c r="P454" s="32">
        <f>IF(AND(O454=1,E454&lt;&gt;""),E454,"")</f>
        <v/>
      </c>
      <c r="Q454" s="32">
        <f>IF(O454=1,B454,"")</f>
        <v/>
      </c>
      <c r="R454" s="32">
        <f>IF(O454&lt;&gt;1,"",IF(E454&lt;&gt;"",IFERROR(MATCH(E454,Guests!$S$6:$S$505,0)+5,IFERROR(MATCH(B454,Guests!$A$6:$A$505,0)+5,"")),IFERROR(MATCH(B454,Guests!$A$6:$A$505,0)+5,"")))</f>
        <v/>
      </c>
      <c r="S454" s="32">
        <f>IF(R454="","",TRIM(INDEX(Guests!$E$1:$E$505,R454)&amp;""))</f>
        <v/>
      </c>
      <c r="T454" s="32">
        <f>IF(R454="","",IF(S454="",1,COUNTIF(Guests!$E$6:$E$505,S454)))</f>
        <v/>
      </c>
      <c r="U454" s="32">
        <f>IF(R454="","",IF(S454="",1,IF(COUNTIF(S$1:S453,S454)=0,1,0)))</f>
        <v/>
      </c>
      <c r="V454" s="32">
        <f>IF(AND(R454&lt;&gt;"",G454="Attending",U454=1),MAX(0,H454+I454-T454),0)</f>
        <v/>
      </c>
      <c r="W454" s="32">
        <f>IF(AND(O454=1,R454=""),1,0)</f>
        <v/>
      </c>
      <c r="X454" s="32">
        <f>IF(B454="",0,H454+I454)</f>
        <v/>
      </c>
      <c r="Y454" s="32">
        <f>N(Y453)+O454</f>
        <v/>
      </c>
      <c r="Z454" s="32">
        <f>IF(O454=1,Y454,"")</f>
        <v/>
      </c>
      <c r="AA454" s="32">
        <f>IF(AND(W454=1,G454="Not sure yet"),1,0)</f>
        <v/>
      </c>
      <c r="AB454" s="32">
        <f>N(AB453)+AA454</f>
        <v/>
      </c>
      <c r="AC454" s="32">
        <f>IF(AA454=1,AB454,"")</f>
        <v/>
      </c>
      <c r="AD454" s="32">
        <f>IF(D454="","",IF(LEN(D454)=10,"+1"&amp;D454,IF(AND(LEN(D454)=11,LEFT(D454,1)="1"),"+"&amp;D454,IF(LEFT(C454,1)="+","+"&amp;D454,D454))))</f>
        <v/>
      </c>
      <c r="AE454" s="32">
        <f>IF(B454="","",PROPER(IFERROR(LEFT(B454,FIND(" ",B454)-1),B454)))</f>
        <v/>
      </c>
      <c r="AF454" s="32">
        <f>SUBSTITUTE(SUBSTITUTE(SUBSTITUTE(SUBSTITUTE(SUBSTITUTE(SUBSTITUTE(SUBSTITUTE(SUBSTITUTE(SUBSTITUTE(SUBSTITUTE(AE454,"%","%25"),"&amp;","%26"),"#","%23"),"+","%2B"),"=","%3D"),"?","%3F"),CHAR(34),"%22"),CHAR(10),"%0A"),CHAR(13),"")," ","+")</f>
        <v/>
      </c>
      <c r="AG454" s="32">
        <f>IF(OR(AD454="",AE454=""),"",'Start Here'!$B$20&amp;"#p="&amp;SUBSTITUTE(AD454,"+","%2B")&amp;"&amp;n="&amp;AF454&amp;"&amp;m="&amp;SUBSTITUTE('Start Here'!$B$24,"{name}",AF454))</f>
        <v/>
      </c>
      <c r="AH454" s="32">
        <f>N(AH453)+W454</f>
        <v/>
      </c>
      <c r="AI454" s="32">
        <f>IF(W454=1,AH454,"")</f>
        <v/>
      </c>
    </row>
    <row r="455">
      <c r="A455" s="32">
        <f>IF(INDEX('Form Responses'!$A:$A,ROW())="","",INDEX('Form Responses'!$A:$A,ROW()))</f>
        <v/>
      </c>
      <c r="B455" s="32">
        <f>TRIM(INDEX('Form Responses'!$B:$B,ROW())&amp;"")</f>
        <v/>
      </c>
      <c r="C455" s="32">
        <f>IF(B455="","",TRIM(INDEX('Form Responses'!$C:$C,ROW())&amp;""))</f>
        <v/>
      </c>
      <c r="D455" s="32">
        <f>SUBSTITUTE(SUBSTITUTE(SUBSTITUTE(SUBSTITUTE(SUBSTITUTE(SUBSTITUTE(SUBSTITUTE(SUBSTITUTE(C455," ",""),"-",""),"(",""),")",""),".",""),"+",""),"/",""),CHAR(160),"")</f>
        <v/>
      </c>
      <c r="E455" s="32">
        <f>IF(LEN(D455)&gt;=10,RIGHT(D455,10),D455)</f>
        <v/>
      </c>
      <c r="F455" s="32">
        <f>IF(B455="","",TRIM(INDEX('Form Responses'!$D:$D,ROW())&amp;""))</f>
        <v/>
      </c>
      <c r="G455" s="32">
        <f>IF(B455="","",IF(LEFT(TRIM(INDEX('Form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5" s="32">
        <f>IF(B455="","",MAX(0,IFERROR(INT(--(INDEX('Form Responses'!$F:$F,ROW())&amp;"")),1)))</f>
        <v/>
      </c>
      <c r="I455" s="32">
        <f>IF(B455="","",MAX(0,IFERROR(INT(--(INDEX('Form Responses'!$G:$G,ROW())&amp;"")),0)))</f>
        <v/>
      </c>
      <c r="J455" s="32">
        <f>IF(B455="","",TRIM(INDEX('Form Responses'!$H:$H,ROW())&amp;""))</f>
        <v/>
      </c>
      <c r="K455" s="32">
        <f>IF(B455="","",TRIM(INDEX('Form Responses'!$I:$I,ROW())&amp;""))</f>
        <v/>
      </c>
      <c r="L455" s="32">
        <f>IF(B455="","",TRIM(INDEX('Form Responses'!$J:$J,ROW())&amp;""))</f>
        <v/>
      </c>
      <c r="M455" s="32">
        <f>IF(B455="","",TRIM(INDEX('Form Responses'!$K:$K,ROW())&amp;""))</f>
        <v/>
      </c>
      <c r="N455" s="32">
        <f>IF(B455="","",IF(E455&lt;&gt;"","P"&amp;E455,"N"&amp;B455))</f>
        <v/>
      </c>
      <c r="O455" s="32">
        <f>IF(N455="",0,IF(COUNTIF(N456:N$602,N455)=0,1,0))</f>
        <v/>
      </c>
      <c r="P455" s="32">
        <f>IF(AND(O455=1,E455&lt;&gt;""),E455,"")</f>
        <v/>
      </c>
      <c r="Q455" s="32">
        <f>IF(O455=1,B455,"")</f>
        <v/>
      </c>
      <c r="R455" s="32">
        <f>IF(O455&lt;&gt;1,"",IF(E455&lt;&gt;"",IFERROR(MATCH(E455,Guests!$S$6:$S$505,0)+5,IFERROR(MATCH(B455,Guests!$A$6:$A$505,0)+5,"")),IFERROR(MATCH(B455,Guests!$A$6:$A$505,0)+5,"")))</f>
        <v/>
      </c>
      <c r="S455" s="32">
        <f>IF(R455="","",TRIM(INDEX(Guests!$E$1:$E$505,R455)&amp;""))</f>
        <v/>
      </c>
      <c r="T455" s="32">
        <f>IF(R455="","",IF(S455="",1,COUNTIF(Guests!$E$6:$E$505,S455)))</f>
        <v/>
      </c>
      <c r="U455" s="32">
        <f>IF(R455="","",IF(S455="",1,IF(COUNTIF(S$1:S454,S455)=0,1,0)))</f>
        <v/>
      </c>
      <c r="V455" s="32">
        <f>IF(AND(R455&lt;&gt;"",G455="Attending",U455=1),MAX(0,H455+I455-T455),0)</f>
        <v/>
      </c>
      <c r="W455" s="32">
        <f>IF(AND(O455=1,R455=""),1,0)</f>
        <v/>
      </c>
      <c r="X455" s="32">
        <f>IF(B455="",0,H455+I455)</f>
        <v/>
      </c>
      <c r="Y455" s="32">
        <f>N(Y454)+O455</f>
        <v/>
      </c>
      <c r="Z455" s="32">
        <f>IF(O455=1,Y455,"")</f>
        <v/>
      </c>
      <c r="AA455" s="32">
        <f>IF(AND(W455=1,G455="Not sure yet"),1,0)</f>
        <v/>
      </c>
      <c r="AB455" s="32">
        <f>N(AB454)+AA455</f>
        <v/>
      </c>
      <c r="AC455" s="32">
        <f>IF(AA455=1,AB455,"")</f>
        <v/>
      </c>
      <c r="AD455" s="32">
        <f>IF(D455="","",IF(LEN(D455)=10,"+1"&amp;D455,IF(AND(LEN(D455)=11,LEFT(D455,1)="1"),"+"&amp;D455,IF(LEFT(C455,1)="+","+"&amp;D455,D455))))</f>
        <v/>
      </c>
      <c r="AE455" s="32">
        <f>IF(B455="","",PROPER(IFERROR(LEFT(B455,FIND(" ",B455)-1),B455)))</f>
        <v/>
      </c>
      <c r="AF455" s="32">
        <f>SUBSTITUTE(SUBSTITUTE(SUBSTITUTE(SUBSTITUTE(SUBSTITUTE(SUBSTITUTE(SUBSTITUTE(SUBSTITUTE(SUBSTITUTE(SUBSTITUTE(AE455,"%","%25"),"&amp;","%26"),"#","%23"),"+","%2B"),"=","%3D"),"?","%3F"),CHAR(34),"%22"),CHAR(10),"%0A"),CHAR(13),"")," ","+")</f>
        <v/>
      </c>
      <c r="AG455" s="32">
        <f>IF(OR(AD455="",AE455=""),"",'Start Here'!$B$20&amp;"#p="&amp;SUBSTITUTE(AD455,"+","%2B")&amp;"&amp;n="&amp;AF455&amp;"&amp;m="&amp;SUBSTITUTE('Start Here'!$B$24,"{name}",AF455))</f>
        <v/>
      </c>
      <c r="AH455" s="32">
        <f>N(AH454)+W455</f>
        <v/>
      </c>
      <c r="AI455" s="32">
        <f>IF(W455=1,AH455,"")</f>
        <v/>
      </c>
    </row>
    <row r="456">
      <c r="A456" s="32">
        <f>IF(INDEX('Form Responses'!$A:$A,ROW())="","",INDEX('Form Responses'!$A:$A,ROW()))</f>
        <v/>
      </c>
      <c r="B456" s="32">
        <f>TRIM(INDEX('Form Responses'!$B:$B,ROW())&amp;"")</f>
        <v/>
      </c>
      <c r="C456" s="32">
        <f>IF(B456="","",TRIM(INDEX('Form Responses'!$C:$C,ROW())&amp;""))</f>
        <v/>
      </c>
      <c r="D456" s="32">
        <f>SUBSTITUTE(SUBSTITUTE(SUBSTITUTE(SUBSTITUTE(SUBSTITUTE(SUBSTITUTE(SUBSTITUTE(SUBSTITUTE(C456," ",""),"-",""),"(",""),")",""),".",""),"+",""),"/",""),CHAR(160),"")</f>
        <v/>
      </c>
      <c r="E456" s="32">
        <f>IF(LEN(D456)&gt;=10,RIGHT(D456,10),D456)</f>
        <v/>
      </c>
      <c r="F456" s="32">
        <f>IF(B456="","",TRIM(INDEX('Form Responses'!$D:$D,ROW())&amp;""))</f>
        <v/>
      </c>
      <c r="G456" s="32">
        <f>IF(B456="","",IF(LEFT(TRIM(INDEX('Form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6" s="32">
        <f>IF(B456="","",MAX(0,IFERROR(INT(--(INDEX('Form Responses'!$F:$F,ROW())&amp;"")),1)))</f>
        <v/>
      </c>
      <c r="I456" s="32">
        <f>IF(B456="","",MAX(0,IFERROR(INT(--(INDEX('Form Responses'!$G:$G,ROW())&amp;"")),0)))</f>
        <v/>
      </c>
      <c r="J456" s="32">
        <f>IF(B456="","",TRIM(INDEX('Form Responses'!$H:$H,ROW())&amp;""))</f>
        <v/>
      </c>
      <c r="K456" s="32">
        <f>IF(B456="","",TRIM(INDEX('Form Responses'!$I:$I,ROW())&amp;""))</f>
        <v/>
      </c>
      <c r="L456" s="32">
        <f>IF(B456="","",TRIM(INDEX('Form Responses'!$J:$J,ROW())&amp;""))</f>
        <v/>
      </c>
      <c r="M456" s="32">
        <f>IF(B456="","",TRIM(INDEX('Form Responses'!$K:$K,ROW())&amp;""))</f>
        <v/>
      </c>
      <c r="N456" s="32">
        <f>IF(B456="","",IF(E456&lt;&gt;"","P"&amp;E456,"N"&amp;B456))</f>
        <v/>
      </c>
      <c r="O456" s="32">
        <f>IF(N456="",0,IF(COUNTIF(N457:N$602,N456)=0,1,0))</f>
        <v/>
      </c>
      <c r="P456" s="32">
        <f>IF(AND(O456=1,E456&lt;&gt;""),E456,"")</f>
        <v/>
      </c>
      <c r="Q456" s="32">
        <f>IF(O456=1,B456,"")</f>
        <v/>
      </c>
      <c r="R456" s="32">
        <f>IF(O456&lt;&gt;1,"",IF(E456&lt;&gt;"",IFERROR(MATCH(E456,Guests!$S$6:$S$505,0)+5,IFERROR(MATCH(B456,Guests!$A$6:$A$505,0)+5,"")),IFERROR(MATCH(B456,Guests!$A$6:$A$505,0)+5,"")))</f>
        <v/>
      </c>
      <c r="S456" s="32">
        <f>IF(R456="","",TRIM(INDEX(Guests!$E$1:$E$505,R456)&amp;""))</f>
        <v/>
      </c>
      <c r="T456" s="32">
        <f>IF(R456="","",IF(S456="",1,COUNTIF(Guests!$E$6:$E$505,S456)))</f>
        <v/>
      </c>
      <c r="U456" s="32">
        <f>IF(R456="","",IF(S456="",1,IF(COUNTIF(S$1:S455,S456)=0,1,0)))</f>
        <v/>
      </c>
      <c r="V456" s="32">
        <f>IF(AND(R456&lt;&gt;"",G456="Attending",U456=1),MAX(0,H456+I456-T456),0)</f>
        <v/>
      </c>
      <c r="W456" s="32">
        <f>IF(AND(O456=1,R456=""),1,0)</f>
        <v/>
      </c>
      <c r="X456" s="32">
        <f>IF(B456="",0,H456+I456)</f>
        <v/>
      </c>
      <c r="Y456" s="32">
        <f>N(Y455)+O456</f>
        <v/>
      </c>
      <c r="Z456" s="32">
        <f>IF(O456=1,Y456,"")</f>
        <v/>
      </c>
      <c r="AA456" s="32">
        <f>IF(AND(W456=1,G456="Not sure yet"),1,0)</f>
        <v/>
      </c>
      <c r="AB456" s="32">
        <f>N(AB455)+AA456</f>
        <v/>
      </c>
      <c r="AC456" s="32">
        <f>IF(AA456=1,AB456,"")</f>
        <v/>
      </c>
      <c r="AD456" s="32">
        <f>IF(D456="","",IF(LEN(D456)=10,"+1"&amp;D456,IF(AND(LEN(D456)=11,LEFT(D456,1)="1"),"+"&amp;D456,IF(LEFT(C456,1)="+","+"&amp;D456,D456))))</f>
        <v/>
      </c>
      <c r="AE456" s="32">
        <f>IF(B456="","",PROPER(IFERROR(LEFT(B456,FIND(" ",B456)-1),B456)))</f>
        <v/>
      </c>
      <c r="AF456" s="32">
        <f>SUBSTITUTE(SUBSTITUTE(SUBSTITUTE(SUBSTITUTE(SUBSTITUTE(SUBSTITUTE(SUBSTITUTE(SUBSTITUTE(SUBSTITUTE(SUBSTITUTE(AE456,"%","%25"),"&amp;","%26"),"#","%23"),"+","%2B"),"=","%3D"),"?","%3F"),CHAR(34),"%22"),CHAR(10),"%0A"),CHAR(13),"")," ","+")</f>
        <v/>
      </c>
      <c r="AG456" s="32">
        <f>IF(OR(AD456="",AE456=""),"",'Start Here'!$B$20&amp;"#p="&amp;SUBSTITUTE(AD456,"+","%2B")&amp;"&amp;n="&amp;AF456&amp;"&amp;m="&amp;SUBSTITUTE('Start Here'!$B$24,"{name}",AF456))</f>
        <v/>
      </c>
      <c r="AH456" s="32">
        <f>N(AH455)+W456</f>
        <v/>
      </c>
      <c r="AI456" s="32">
        <f>IF(W456=1,AH456,"")</f>
        <v/>
      </c>
    </row>
    <row r="457">
      <c r="A457" s="32">
        <f>IF(INDEX('Form Responses'!$A:$A,ROW())="","",INDEX('Form Responses'!$A:$A,ROW()))</f>
        <v/>
      </c>
      <c r="B457" s="32">
        <f>TRIM(INDEX('Form Responses'!$B:$B,ROW())&amp;"")</f>
        <v/>
      </c>
      <c r="C457" s="32">
        <f>IF(B457="","",TRIM(INDEX('Form Responses'!$C:$C,ROW())&amp;""))</f>
        <v/>
      </c>
      <c r="D457" s="32">
        <f>SUBSTITUTE(SUBSTITUTE(SUBSTITUTE(SUBSTITUTE(SUBSTITUTE(SUBSTITUTE(SUBSTITUTE(SUBSTITUTE(C457," ",""),"-",""),"(",""),")",""),".",""),"+",""),"/",""),CHAR(160),"")</f>
        <v/>
      </c>
      <c r="E457" s="32">
        <f>IF(LEN(D457)&gt;=10,RIGHT(D457,10),D457)</f>
        <v/>
      </c>
      <c r="F457" s="32">
        <f>IF(B457="","",TRIM(INDEX('Form Responses'!$D:$D,ROW())&amp;""))</f>
        <v/>
      </c>
      <c r="G457" s="32">
        <f>IF(B457="","",IF(LEFT(TRIM(INDEX('Form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7" s="32">
        <f>IF(B457="","",MAX(0,IFERROR(INT(--(INDEX('Form Responses'!$F:$F,ROW())&amp;"")),1)))</f>
        <v/>
      </c>
      <c r="I457" s="32">
        <f>IF(B457="","",MAX(0,IFERROR(INT(--(INDEX('Form Responses'!$G:$G,ROW())&amp;"")),0)))</f>
        <v/>
      </c>
      <c r="J457" s="32">
        <f>IF(B457="","",TRIM(INDEX('Form Responses'!$H:$H,ROW())&amp;""))</f>
        <v/>
      </c>
      <c r="K457" s="32">
        <f>IF(B457="","",TRIM(INDEX('Form Responses'!$I:$I,ROW())&amp;""))</f>
        <v/>
      </c>
      <c r="L457" s="32">
        <f>IF(B457="","",TRIM(INDEX('Form Responses'!$J:$J,ROW())&amp;""))</f>
        <v/>
      </c>
      <c r="M457" s="32">
        <f>IF(B457="","",TRIM(INDEX('Form Responses'!$K:$K,ROW())&amp;""))</f>
        <v/>
      </c>
      <c r="N457" s="32">
        <f>IF(B457="","",IF(E457&lt;&gt;"","P"&amp;E457,"N"&amp;B457))</f>
        <v/>
      </c>
      <c r="O457" s="32">
        <f>IF(N457="",0,IF(COUNTIF(N458:N$602,N457)=0,1,0))</f>
        <v/>
      </c>
      <c r="P457" s="32">
        <f>IF(AND(O457=1,E457&lt;&gt;""),E457,"")</f>
        <v/>
      </c>
      <c r="Q457" s="32">
        <f>IF(O457=1,B457,"")</f>
        <v/>
      </c>
      <c r="R457" s="32">
        <f>IF(O457&lt;&gt;1,"",IF(E457&lt;&gt;"",IFERROR(MATCH(E457,Guests!$S$6:$S$505,0)+5,IFERROR(MATCH(B457,Guests!$A$6:$A$505,0)+5,"")),IFERROR(MATCH(B457,Guests!$A$6:$A$505,0)+5,"")))</f>
        <v/>
      </c>
      <c r="S457" s="32">
        <f>IF(R457="","",TRIM(INDEX(Guests!$E$1:$E$505,R457)&amp;""))</f>
        <v/>
      </c>
      <c r="T457" s="32">
        <f>IF(R457="","",IF(S457="",1,COUNTIF(Guests!$E$6:$E$505,S457)))</f>
        <v/>
      </c>
      <c r="U457" s="32">
        <f>IF(R457="","",IF(S457="",1,IF(COUNTIF(S$1:S456,S457)=0,1,0)))</f>
        <v/>
      </c>
      <c r="V457" s="32">
        <f>IF(AND(R457&lt;&gt;"",G457="Attending",U457=1),MAX(0,H457+I457-T457),0)</f>
        <v/>
      </c>
      <c r="W457" s="32">
        <f>IF(AND(O457=1,R457=""),1,0)</f>
        <v/>
      </c>
      <c r="X457" s="32">
        <f>IF(B457="",0,H457+I457)</f>
        <v/>
      </c>
      <c r="Y457" s="32">
        <f>N(Y456)+O457</f>
        <v/>
      </c>
      <c r="Z457" s="32">
        <f>IF(O457=1,Y457,"")</f>
        <v/>
      </c>
      <c r="AA457" s="32">
        <f>IF(AND(W457=1,G457="Not sure yet"),1,0)</f>
        <v/>
      </c>
      <c r="AB457" s="32">
        <f>N(AB456)+AA457</f>
        <v/>
      </c>
      <c r="AC457" s="32">
        <f>IF(AA457=1,AB457,"")</f>
        <v/>
      </c>
      <c r="AD457" s="32">
        <f>IF(D457="","",IF(LEN(D457)=10,"+1"&amp;D457,IF(AND(LEN(D457)=11,LEFT(D457,1)="1"),"+"&amp;D457,IF(LEFT(C457,1)="+","+"&amp;D457,D457))))</f>
        <v/>
      </c>
      <c r="AE457" s="32">
        <f>IF(B457="","",PROPER(IFERROR(LEFT(B457,FIND(" ",B457)-1),B457)))</f>
        <v/>
      </c>
      <c r="AF457" s="32">
        <f>SUBSTITUTE(SUBSTITUTE(SUBSTITUTE(SUBSTITUTE(SUBSTITUTE(SUBSTITUTE(SUBSTITUTE(SUBSTITUTE(SUBSTITUTE(SUBSTITUTE(AE457,"%","%25"),"&amp;","%26"),"#","%23"),"+","%2B"),"=","%3D"),"?","%3F"),CHAR(34),"%22"),CHAR(10),"%0A"),CHAR(13),"")," ","+")</f>
        <v/>
      </c>
      <c r="AG457" s="32">
        <f>IF(OR(AD457="",AE457=""),"",'Start Here'!$B$20&amp;"#p="&amp;SUBSTITUTE(AD457,"+","%2B")&amp;"&amp;n="&amp;AF457&amp;"&amp;m="&amp;SUBSTITUTE('Start Here'!$B$24,"{name}",AF457))</f>
        <v/>
      </c>
      <c r="AH457" s="32">
        <f>N(AH456)+W457</f>
        <v/>
      </c>
      <c r="AI457" s="32">
        <f>IF(W457=1,AH457,"")</f>
        <v/>
      </c>
    </row>
    <row r="458">
      <c r="A458" s="32">
        <f>IF(INDEX('Form Responses'!$A:$A,ROW())="","",INDEX('Form Responses'!$A:$A,ROW()))</f>
        <v/>
      </c>
      <c r="B458" s="32">
        <f>TRIM(INDEX('Form Responses'!$B:$B,ROW())&amp;"")</f>
        <v/>
      </c>
      <c r="C458" s="32">
        <f>IF(B458="","",TRIM(INDEX('Form Responses'!$C:$C,ROW())&amp;""))</f>
        <v/>
      </c>
      <c r="D458" s="32">
        <f>SUBSTITUTE(SUBSTITUTE(SUBSTITUTE(SUBSTITUTE(SUBSTITUTE(SUBSTITUTE(SUBSTITUTE(SUBSTITUTE(C458," ",""),"-",""),"(",""),")",""),".",""),"+",""),"/",""),CHAR(160),"")</f>
        <v/>
      </c>
      <c r="E458" s="32">
        <f>IF(LEN(D458)&gt;=10,RIGHT(D458,10),D458)</f>
        <v/>
      </c>
      <c r="F458" s="32">
        <f>IF(B458="","",TRIM(INDEX('Form Responses'!$D:$D,ROW())&amp;""))</f>
        <v/>
      </c>
      <c r="G458" s="32">
        <f>IF(B458="","",IF(LEFT(TRIM(INDEX('Form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8" s="32">
        <f>IF(B458="","",MAX(0,IFERROR(INT(--(INDEX('Form Responses'!$F:$F,ROW())&amp;"")),1)))</f>
        <v/>
      </c>
      <c r="I458" s="32">
        <f>IF(B458="","",MAX(0,IFERROR(INT(--(INDEX('Form Responses'!$G:$G,ROW())&amp;"")),0)))</f>
        <v/>
      </c>
      <c r="J458" s="32">
        <f>IF(B458="","",TRIM(INDEX('Form Responses'!$H:$H,ROW())&amp;""))</f>
        <v/>
      </c>
      <c r="K458" s="32">
        <f>IF(B458="","",TRIM(INDEX('Form Responses'!$I:$I,ROW())&amp;""))</f>
        <v/>
      </c>
      <c r="L458" s="32">
        <f>IF(B458="","",TRIM(INDEX('Form Responses'!$J:$J,ROW())&amp;""))</f>
        <v/>
      </c>
      <c r="M458" s="32">
        <f>IF(B458="","",TRIM(INDEX('Form Responses'!$K:$K,ROW())&amp;""))</f>
        <v/>
      </c>
      <c r="N458" s="32">
        <f>IF(B458="","",IF(E458&lt;&gt;"","P"&amp;E458,"N"&amp;B458))</f>
        <v/>
      </c>
      <c r="O458" s="32">
        <f>IF(N458="",0,IF(COUNTIF(N459:N$602,N458)=0,1,0))</f>
        <v/>
      </c>
      <c r="P458" s="32">
        <f>IF(AND(O458=1,E458&lt;&gt;""),E458,"")</f>
        <v/>
      </c>
      <c r="Q458" s="32">
        <f>IF(O458=1,B458,"")</f>
        <v/>
      </c>
      <c r="R458" s="32">
        <f>IF(O458&lt;&gt;1,"",IF(E458&lt;&gt;"",IFERROR(MATCH(E458,Guests!$S$6:$S$505,0)+5,IFERROR(MATCH(B458,Guests!$A$6:$A$505,0)+5,"")),IFERROR(MATCH(B458,Guests!$A$6:$A$505,0)+5,"")))</f>
        <v/>
      </c>
      <c r="S458" s="32">
        <f>IF(R458="","",TRIM(INDEX(Guests!$E$1:$E$505,R458)&amp;""))</f>
        <v/>
      </c>
      <c r="T458" s="32">
        <f>IF(R458="","",IF(S458="",1,COUNTIF(Guests!$E$6:$E$505,S458)))</f>
        <v/>
      </c>
      <c r="U458" s="32">
        <f>IF(R458="","",IF(S458="",1,IF(COUNTIF(S$1:S457,S458)=0,1,0)))</f>
        <v/>
      </c>
      <c r="V458" s="32">
        <f>IF(AND(R458&lt;&gt;"",G458="Attending",U458=1),MAX(0,H458+I458-T458),0)</f>
        <v/>
      </c>
      <c r="W458" s="32">
        <f>IF(AND(O458=1,R458=""),1,0)</f>
        <v/>
      </c>
      <c r="X458" s="32">
        <f>IF(B458="",0,H458+I458)</f>
        <v/>
      </c>
      <c r="Y458" s="32">
        <f>N(Y457)+O458</f>
        <v/>
      </c>
      <c r="Z458" s="32">
        <f>IF(O458=1,Y458,"")</f>
        <v/>
      </c>
      <c r="AA458" s="32">
        <f>IF(AND(W458=1,G458="Not sure yet"),1,0)</f>
        <v/>
      </c>
      <c r="AB458" s="32">
        <f>N(AB457)+AA458</f>
        <v/>
      </c>
      <c r="AC458" s="32">
        <f>IF(AA458=1,AB458,"")</f>
        <v/>
      </c>
      <c r="AD458" s="32">
        <f>IF(D458="","",IF(LEN(D458)=10,"+1"&amp;D458,IF(AND(LEN(D458)=11,LEFT(D458,1)="1"),"+"&amp;D458,IF(LEFT(C458,1)="+","+"&amp;D458,D458))))</f>
        <v/>
      </c>
      <c r="AE458" s="32">
        <f>IF(B458="","",PROPER(IFERROR(LEFT(B458,FIND(" ",B458)-1),B458)))</f>
        <v/>
      </c>
      <c r="AF458" s="32">
        <f>SUBSTITUTE(SUBSTITUTE(SUBSTITUTE(SUBSTITUTE(SUBSTITUTE(SUBSTITUTE(SUBSTITUTE(SUBSTITUTE(SUBSTITUTE(SUBSTITUTE(AE458,"%","%25"),"&amp;","%26"),"#","%23"),"+","%2B"),"=","%3D"),"?","%3F"),CHAR(34),"%22"),CHAR(10),"%0A"),CHAR(13),"")," ","+")</f>
        <v/>
      </c>
      <c r="AG458" s="32">
        <f>IF(OR(AD458="",AE458=""),"",'Start Here'!$B$20&amp;"#p="&amp;SUBSTITUTE(AD458,"+","%2B")&amp;"&amp;n="&amp;AF458&amp;"&amp;m="&amp;SUBSTITUTE('Start Here'!$B$24,"{name}",AF458))</f>
        <v/>
      </c>
      <c r="AH458" s="32">
        <f>N(AH457)+W458</f>
        <v/>
      </c>
      <c r="AI458" s="32">
        <f>IF(W458=1,AH458,"")</f>
        <v/>
      </c>
    </row>
    <row r="459">
      <c r="A459" s="32">
        <f>IF(INDEX('Form Responses'!$A:$A,ROW())="","",INDEX('Form Responses'!$A:$A,ROW()))</f>
        <v/>
      </c>
      <c r="B459" s="32">
        <f>TRIM(INDEX('Form Responses'!$B:$B,ROW())&amp;"")</f>
        <v/>
      </c>
      <c r="C459" s="32">
        <f>IF(B459="","",TRIM(INDEX('Form Responses'!$C:$C,ROW())&amp;""))</f>
        <v/>
      </c>
      <c r="D459" s="32">
        <f>SUBSTITUTE(SUBSTITUTE(SUBSTITUTE(SUBSTITUTE(SUBSTITUTE(SUBSTITUTE(SUBSTITUTE(SUBSTITUTE(C459," ",""),"-",""),"(",""),")",""),".",""),"+",""),"/",""),CHAR(160),"")</f>
        <v/>
      </c>
      <c r="E459" s="32">
        <f>IF(LEN(D459)&gt;=10,RIGHT(D459,10),D459)</f>
        <v/>
      </c>
      <c r="F459" s="32">
        <f>IF(B459="","",TRIM(INDEX('Form Responses'!$D:$D,ROW())&amp;""))</f>
        <v/>
      </c>
      <c r="G459" s="32">
        <f>IF(B459="","",IF(LEFT(TRIM(INDEX('Form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59" s="32">
        <f>IF(B459="","",MAX(0,IFERROR(INT(--(INDEX('Form Responses'!$F:$F,ROW())&amp;"")),1)))</f>
        <v/>
      </c>
      <c r="I459" s="32">
        <f>IF(B459="","",MAX(0,IFERROR(INT(--(INDEX('Form Responses'!$G:$G,ROW())&amp;"")),0)))</f>
        <v/>
      </c>
      <c r="J459" s="32">
        <f>IF(B459="","",TRIM(INDEX('Form Responses'!$H:$H,ROW())&amp;""))</f>
        <v/>
      </c>
      <c r="K459" s="32">
        <f>IF(B459="","",TRIM(INDEX('Form Responses'!$I:$I,ROW())&amp;""))</f>
        <v/>
      </c>
      <c r="L459" s="32">
        <f>IF(B459="","",TRIM(INDEX('Form Responses'!$J:$J,ROW())&amp;""))</f>
        <v/>
      </c>
      <c r="M459" s="32">
        <f>IF(B459="","",TRIM(INDEX('Form Responses'!$K:$K,ROW())&amp;""))</f>
        <v/>
      </c>
      <c r="N459" s="32">
        <f>IF(B459="","",IF(E459&lt;&gt;"","P"&amp;E459,"N"&amp;B459))</f>
        <v/>
      </c>
      <c r="O459" s="32">
        <f>IF(N459="",0,IF(COUNTIF(N460:N$602,N459)=0,1,0))</f>
        <v/>
      </c>
      <c r="P459" s="32">
        <f>IF(AND(O459=1,E459&lt;&gt;""),E459,"")</f>
        <v/>
      </c>
      <c r="Q459" s="32">
        <f>IF(O459=1,B459,"")</f>
        <v/>
      </c>
      <c r="R459" s="32">
        <f>IF(O459&lt;&gt;1,"",IF(E459&lt;&gt;"",IFERROR(MATCH(E459,Guests!$S$6:$S$505,0)+5,IFERROR(MATCH(B459,Guests!$A$6:$A$505,0)+5,"")),IFERROR(MATCH(B459,Guests!$A$6:$A$505,0)+5,"")))</f>
        <v/>
      </c>
      <c r="S459" s="32">
        <f>IF(R459="","",TRIM(INDEX(Guests!$E$1:$E$505,R459)&amp;""))</f>
        <v/>
      </c>
      <c r="T459" s="32">
        <f>IF(R459="","",IF(S459="",1,COUNTIF(Guests!$E$6:$E$505,S459)))</f>
        <v/>
      </c>
      <c r="U459" s="32">
        <f>IF(R459="","",IF(S459="",1,IF(COUNTIF(S$1:S458,S459)=0,1,0)))</f>
        <v/>
      </c>
      <c r="V459" s="32">
        <f>IF(AND(R459&lt;&gt;"",G459="Attending",U459=1),MAX(0,H459+I459-T459),0)</f>
        <v/>
      </c>
      <c r="W459" s="32">
        <f>IF(AND(O459=1,R459=""),1,0)</f>
        <v/>
      </c>
      <c r="X459" s="32">
        <f>IF(B459="",0,H459+I459)</f>
        <v/>
      </c>
      <c r="Y459" s="32">
        <f>N(Y458)+O459</f>
        <v/>
      </c>
      <c r="Z459" s="32">
        <f>IF(O459=1,Y459,"")</f>
        <v/>
      </c>
      <c r="AA459" s="32">
        <f>IF(AND(W459=1,G459="Not sure yet"),1,0)</f>
        <v/>
      </c>
      <c r="AB459" s="32">
        <f>N(AB458)+AA459</f>
        <v/>
      </c>
      <c r="AC459" s="32">
        <f>IF(AA459=1,AB459,"")</f>
        <v/>
      </c>
      <c r="AD459" s="32">
        <f>IF(D459="","",IF(LEN(D459)=10,"+1"&amp;D459,IF(AND(LEN(D459)=11,LEFT(D459,1)="1"),"+"&amp;D459,IF(LEFT(C459,1)="+","+"&amp;D459,D459))))</f>
        <v/>
      </c>
      <c r="AE459" s="32">
        <f>IF(B459="","",PROPER(IFERROR(LEFT(B459,FIND(" ",B459)-1),B459)))</f>
        <v/>
      </c>
      <c r="AF459" s="32">
        <f>SUBSTITUTE(SUBSTITUTE(SUBSTITUTE(SUBSTITUTE(SUBSTITUTE(SUBSTITUTE(SUBSTITUTE(SUBSTITUTE(SUBSTITUTE(SUBSTITUTE(AE459,"%","%25"),"&amp;","%26"),"#","%23"),"+","%2B"),"=","%3D"),"?","%3F"),CHAR(34),"%22"),CHAR(10),"%0A"),CHAR(13),"")," ","+")</f>
        <v/>
      </c>
      <c r="AG459" s="32">
        <f>IF(OR(AD459="",AE459=""),"",'Start Here'!$B$20&amp;"#p="&amp;SUBSTITUTE(AD459,"+","%2B")&amp;"&amp;n="&amp;AF459&amp;"&amp;m="&amp;SUBSTITUTE('Start Here'!$B$24,"{name}",AF459))</f>
        <v/>
      </c>
      <c r="AH459" s="32">
        <f>N(AH458)+W459</f>
        <v/>
      </c>
      <c r="AI459" s="32">
        <f>IF(W459=1,AH459,"")</f>
        <v/>
      </c>
    </row>
    <row r="460">
      <c r="A460" s="32">
        <f>IF(INDEX('Form Responses'!$A:$A,ROW())="","",INDEX('Form Responses'!$A:$A,ROW()))</f>
        <v/>
      </c>
      <c r="B460" s="32">
        <f>TRIM(INDEX('Form Responses'!$B:$B,ROW())&amp;"")</f>
        <v/>
      </c>
      <c r="C460" s="32">
        <f>IF(B460="","",TRIM(INDEX('Form Responses'!$C:$C,ROW())&amp;""))</f>
        <v/>
      </c>
      <c r="D460" s="32">
        <f>SUBSTITUTE(SUBSTITUTE(SUBSTITUTE(SUBSTITUTE(SUBSTITUTE(SUBSTITUTE(SUBSTITUTE(SUBSTITUTE(C460," ",""),"-",""),"(",""),")",""),".",""),"+",""),"/",""),CHAR(160),"")</f>
        <v/>
      </c>
      <c r="E460" s="32">
        <f>IF(LEN(D460)&gt;=10,RIGHT(D460,10),D460)</f>
        <v/>
      </c>
      <c r="F460" s="32">
        <f>IF(B460="","",TRIM(INDEX('Form Responses'!$D:$D,ROW())&amp;""))</f>
        <v/>
      </c>
      <c r="G460" s="32">
        <f>IF(B460="","",IF(LEFT(TRIM(INDEX('Form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0" s="32">
        <f>IF(B460="","",MAX(0,IFERROR(INT(--(INDEX('Form Responses'!$F:$F,ROW())&amp;"")),1)))</f>
        <v/>
      </c>
      <c r="I460" s="32">
        <f>IF(B460="","",MAX(0,IFERROR(INT(--(INDEX('Form Responses'!$G:$G,ROW())&amp;"")),0)))</f>
        <v/>
      </c>
      <c r="J460" s="32">
        <f>IF(B460="","",TRIM(INDEX('Form Responses'!$H:$H,ROW())&amp;""))</f>
        <v/>
      </c>
      <c r="K460" s="32">
        <f>IF(B460="","",TRIM(INDEX('Form Responses'!$I:$I,ROW())&amp;""))</f>
        <v/>
      </c>
      <c r="L460" s="32">
        <f>IF(B460="","",TRIM(INDEX('Form Responses'!$J:$J,ROW())&amp;""))</f>
        <v/>
      </c>
      <c r="M460" s="32">
        <f>IF(B460="","",TRIM(INDEX('Form Responses'!$K:$K,ROW())&amp;""))</f>
        <v/>
      </c>
      <c r="N460" s="32">
        <f>IF(B460="","",IF(E460&lt;&gt;"","P"&amp;E460,"N"&amp;B460))</f>
        <v/>
      </c>
      <c r="O460" s="32">
        <f>IF(N460="",0,IF(COUNTIF(N461:N$602,N460)=0,1,0))</f>
        <v/>
      </c>
      <c r="P460" s="32">
        <f>IF(AND(O460=1,E460&lt;&gt;""),E460,"")</f>
        <v/>
      </c>
      <c r="Q460" s="32">
        <f>IF(O460=1,B460,"")</f>
        <v/>
      </c>
      <c r="R460" s="32">
        <f>IF(O460&lt;&gt;1,"",IF(E460&lt;&gt;"",IFERROR(MATCH(E460,Guests!$S$6:$S$505,0)+5,IFERROR(MATCH(B460,Guests!$A$6:$A$505,0)+5,"")),IFERROR(MATCH(B460,Guests!$A$6:$A$505,0)+5,"")))</f>
        <v/>
      </c>
      <c r="S460" s="32">
        <f>IF(R460="","",TRIM(INDEX(Guests!$E$1:$E$505,R460)&amp;""))</f>
        <v/>
      </c>
      <c r="T460" s="32">
        <f>IF(R460="","",IF(S460="",1,COUNTIF(Guests!$E$6:$E$505,S460)))</f>
        <v/>
      </c>
      <c r="U460" s="32">
        <f>IF(R460="","",IF(S460="",1,IF(COUNTIF(S$1:S459,S460)=0,1,0)))</f>
        <v/>
      </c>
      <c r="V460" s="32">
        <f>IF(AND(R460&lt;&gt;"",G460="Attending",U460=1),MAX(0,H460+I460-T460),0)</f>
        <v/>
      </c>
      <c r="W460" s="32">
        <f>IF(AND(O460=1,R460=""),1,0)</f>
        <v/>
      </c>
      <c r="X460" s="32">
        <f>IF(B460="",0,H460+I460)</f>
        <v/>
      </c>
      <c r="Y460" s="32">
        <f>N(Y459)+O460</f>
        <v/>
      </c>
      <c r="Z460" s="32">
        <f>IF(O460=1,Y460,"")</f>
        <v/>
      </c>
      <c r="AA460" s="32">
        <f>IF(AND(W460=1,G460="Not sure yet"),1,0)</f>
        <v/>
      </c>
      <c r="AB460" s="32">
        <f>N(AB459)+AA460</f>
        <v/>
      </c>
      <c r="AC460" s="32">
        <f>IF(AA460=1,AB460,"")</f>
        <v/>
      </c>
      <c r="AD460" s="32">
        <f>IF(D460="","",IF(LEN(D460)=10,"+1"&amp;D460,IF(AND(LEN(D460)=11,LEFT(D460,1)="1"),"+"&amp;D460,IF(LEFT(C460,1)="+","+"&amp;D460,D460))))</f>
        <v/>
      </c>
      <c r="AE460" s="32">
        <f>IF(B460="","",PROPER(IFERROR(LEFT(B460,FIND(" ",B460)-1),B460)))</f>
        <v/>
      </c>
      <c r="AF460" s="32">
        <f>SUBSTITUTE(SUBSTITUTE(SUBSTITUTE(SUBSTITUTE(SUBSTITUTE(SUBSTITUTE(SUBSTITUTE(SUBSTITUTE(SUBSTITUTE(SUBSTITUTE(AE460,"%","%25"),"&amp;","%26"),"#","%23"),"+","%2B"),"=","%3D"),"?","%3F"),CHAR(34),"%22"),CHAR(10),"%0A"),CHAR(13),"")," ","+")</f>
        <v/>
      </c>
      <c r="AG460" s="32">
        <f>IF(OR(AD460="",AE460=""),"",'Start Here'!$B$20&amp;"#p="&amp;SUBSTITUTE(AD460,"+","%2B")&amp;"&amp;n="&amp;AF460&amp;"&amp;m="&amp;SUBSTITUTE('Start Here'!$B$24,"{name}",AF460))</f>
        <v/>
      </c>
      <c r="AH460" s="32">
        <f>N(AH459)+W460</f>
        <v/>
      </c>
      <c r="AI460" s="32">
        <f>IF(W460=1,AH460,"")</f>
        <v/>
      </c>
    </row>
    <row r="461">
      <c r="A461" s="32">
        <f>IF(INDEX('Form Responses'!$A:$A,ROW())="","",INDEX('Form Responses'!$A:$A,ROW()))</f>
        <v/>
      </c>
      <c r="B461" s="32">
        <f>TRIM(INDEX('Form Responses'!$B:$B,ROW())&amp;"")</f>
        <v/>
      </c>
      <c r="C461" s="32">
        <f>IF(B461="","",TRIM(INDEX('Form Responses'!$C:$C,ROW())&amp;""))</f>
        <v/>
      </c>
      <c r="D461" s="32">
        <f>SUBSTITUTE(SUBSTITUTE(SUBSTITUTE(SUBSTITUTE(SUBSTITUTE(SUBSTITUTE(SUBSTITUTE(SUBSTITUTE(C461," ",""),"-",""),"(",""),")",""),".",""),"+",""),"/",""),CHAR(160),"")</f>
        <v/>
      </c>
      <c r="E461" s="32">
        <f>IF(LEN(D461)&gt;=10,RIGHT(D461,10),D461)</f>
        <v/>
      </c>
      <c r="F461" s="32">
        <f>IF(B461="","",TRIM(INDEX('Form Responses'!$D:$D,ROW())&amp;""))</f>
        <v/>
      </c>
      <c r="G461" s="32">
        <f>IF(B461="","",IF(LEFT(TRIM(INDEX('Form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1" s="32">
        <f>IF(B461="","",MAX(0,IFERROR(INT(--(INDEX('Form Responses'!$F:$F,ROW())&amp;"")),1)))</f>
        <v/>
      </c>
      <c r="I461" s="32">
        <f>IF(B461="","",MAX(0,IFERROR(INT(--(INDEX('Form Responses'!$G:$G,ROW())&amp;"")),0)))</f>
        <v/>
      </c>
      <c r="J461" s="32">
        <f>IF(B461="","",TRIM(INDEX('Form Responses'!$H:$H,ROW())&amp;""))</f>
        <v/>
      </c>
      <c r="K461" s="32">
        <f>IF(B461="","",TRIM(INDEX('Form Responses'!$I:$I,ROW())&amp;""))</f>
        <v/>
      </c>
      <c r="L461" s="32">
        <f>IF(B461="","",TRIM(INDEX('Form Responses'!$J:$J,ROW())&amp;""))</f>
        <v/>
      </c>
      <c r="M461" s="32">
        <f>IF(B461="","",TRIM(INDEX('Form Responses'!$K:$K,ROW())&amp;""))</f>
        <v/>
      </c>
      <c r="N461" s="32">
        <f>IF(B461="","",IF(E461&lt;&gt;"","P"&amp;E461,"N"&amp;B461))</f>
        <v/>
      </c>
      <c r="O461" s="32">
        <f>IF(N461="",0,IF(COUNTIF(N462:N$602,N461)=0,1,0))</f>
        <v/>
      </c>
      <c r="P461" s="32">
        <f>IF(AND(O461=1,E461&lt;&gt;""),E461,"")</f>
        <v/>
      </c>
      <c r="Q461" s="32">
        <f>IF(O461=1,B461,"")</f>
        <v/>
      </c>
      <c r="R461" s="32">
        <f>IF(O461&lt;&gt;1,"",IF(E461&lt;&gt;"",IFERROR(MATCH(E461,Guests!$S$6:$S$505,0)+5,IFERROR(MATCH(B461,Guests!$A$6:$A$505,0)+5,"")),IFERROR(MATCH(B461,Guests!$A$6:$A$505,0)+5,"")))</f>
        <v/>
      </c>
      <c r="S461" s="32">
        <f>IF(R461="","",TRIM(INDEX(Guests!$E$1:$E$505,R461)&amp;""))</f>
        <v/>
      </c>
      <c r="T461" s="32">
        <f>IF(R461="","",IF(S461="",1,COUNTIF(Guests!$E$6:$E$505,S461)))</f>
        <v/>
      </c>
      <c r="U461" s="32">
        <f>IF(R461="","",IF(S461="",1,IF(COUNTIF(S$1:S460,S461)=0,1,0)))</f>
        <v/>
      </c>
      <c r="V461" s="32">
        <f>IF(AND(R461&lt;&gt;"",G461="Attending",U461=1),MAX(0,H461+I461-T461),0)</f>
        <v/>
      </c>
      <c r="W461" s="32">
        <f>IF(AND(O461=1,R461=""),1,0)</f>
        <v/>
      </c>
      <c r="X461" s="32">
        <f>IF(B461="",0,H461+I461)</f>
        <v/>
      </c>
      <c r="Y461" s="32">
        <f>N(Y460)+O461</f>
        <v/>
      </c>
      <c r="Z461" s="32">
        <f>IF(O461=1,Y461,"")</f>
        <v/>
      </c>
      <c r="AA461" s="32">
        <f>IF(AND(W461=1,G461="Not sure yet"),1,0)</f>
        <v/>
      </c>
      <c r="AB461" s="32">
        <f>N(AB460)+AA461</f>
        <v/>
      </c>
      <c r="AC461" s="32">
        <f>IF(AA461=1,AB461,"")</f>
        <v/>
      </c>
      <c r="AD461" s="32">
        <f>IF(D461="","",IF(LEN(D461)=10,"+1"&amp;D461,IF(AND(LEN(D461)=11,LEFT(D461,1)="1"),"+"&amp;D461,IF(LEFT(C461,1)="+","+"&amp;D461,D461))))</f>
        <v/>
      </c>
      <c r="AE461" s="32">
        <f>IF(B461="","",PROPER(IFERROR(LEFT(B461,FIND(" ",B461)-1),B461)))</f>
        <v/>
      </c>
      <c r="AF461" s="32">
        <f>SUBSTITUTE(SUBSTITUTE(SUBSTITUTE(SUBSTITUTE(SUBSTITUTE(SUBSTITUTE(SUBSTITUTE(SUBSTITUTE(SUBSTITUTE(SUBSTITUTE(AE461,"%","%25"),"&amp;","%26"),"#","%23"),"+","%2B"),"=","%3D"),"?","%3F"),CHAR(34),"%22"),CHAR(10),"%0A"),CHAR(13),"")," ","+")</f>
        <v/>
      </c>
      <c r="AG461" s="32">
        <f>IF(OR(AD461="",AE461=""),"",'Start Here'!$B$20&amp;"#p="&amp;SUBSTITUTE(AD461,"+","%2B")&amp;"&amp;n="&amp;AF461&amp;"&amp;m="&amp;SUBSTITUTE('Start Here'!$B$24,"{name}",AF461))</f>
        <v/>
      </c>
      <c r="AH461" s="32">
        <f>N(AH460)+W461</f>
        <v/>
      </c>
      <c r="AI461" s="32">
        <f>IF(W461=1,AH461,"")</f>
        <v/>
      </c>
    </row>
    <row r="462">
      <c r="A462" s="32">
        <f>IF(INDEX('Form Responses'!$A:$A,ROW())="","",INDEX('Form Responses'!$A:$A,ROW()))</f>
        <v/>
      </c>
      <c r="B462" s="32">
        <f>TRIM(INDEX('Form Responses'!$B:$B,ROW())&amp;"")</f>
        <v/>
      </c>
      <c r="C462" s="32">
        <f>IF(B462="","",TRIM(INDEX('Form Responses'!$C:$C,ROW())&amp;""))</f>
        <v/>
      </c>
      <c r="D462" s="32">
        <f>SUBSTITUTE(SUBSTITUTE(SUBSTITUTE(SUBSTITUTE(SUBSTITUTE(SUBSTITUTE(SUBSTITUTE(SUBSTITUTE(C462," ",""),"-",""),"(",""),")",""),".",""),"+",""),"/",""),CHAR(160),"")</f>
        <v/>
      </c>
      <c r="E462" s="32">
        <f>IF(LEN(D462)&gt;=10,RIGHT(D462,10),D462)</f>
        <v/>
      </c>
      <c r="F462" s="32">
        <f>IF(B462="","",TRIM(INDEX('Form Responses'!$D:$D,ROW())&amp;""))</f>
        <v/>
      </c>
      <c r="G462" s="32">
        <f>IF(B462="","",IF(LEFT(TRIM(INDEX('Form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2" s="32">
        <f>IF(B462="","",MAX(0,IFERROR(INT(--(INDEX('Form Responses'!$F:$F,ROW())&amp;"")),1)))</f>
        <v/>
      </c>
      <c r="I462" s="32">
        <f>IF(B462="","",MAX(0,IFERROR(INT(--(INDEX('Form Responses'!$G:$G,ROW())&amp;"")),0)))</f>
        <v/>
      </c>
      <c r="J462" s="32">
        <f>IF(B462="","",TRIM(INDEX('Form Responses'!$H:$H,ROW())&amp;""))</f>
        <v/>
      </c>
      <c r="K462" s="32">
        <f>IF(B462="","",TRIM(INDEX('Form Responses'!$I:$I,ROW())&amp;""))</f>
        <v/>
      </c>
      <c r="L462" s="32">
        <f>IF(B462="","",TRIM(INDEX('Form Responses'!$J:$J,ROW())&amp;""))</f>
        <v/>
      </c>
      <c r="M462" s="32">
        <f>IF(B462="","",TRIM(INDEX('Form Responses'!$K:$K,ROW())&amp;""))</f>
        <v/>
      </c>
      <c r="N462" s="32">
        <f>IF(B462="","",IF(E462&lt;&gt;"","P"&amp;E462,"N"&amp;B462))</f>
        <v/>
      </c>
      <c r="O462" s="32">
        <f>IF(N462="",0,IF(COUNTIF(N463:N$602,N462)=0,1,0))</f>
        <v/>
      </c>
      <c r="P462" s="32">
        <f>IF(AND(O462=1,E462&lt;&gt;""),E462,"")</f>
        <v/>
      </c>
      <c r="Q462" s="32">
        <f>IF(O462=1,B462,"")</f>
        <v/>
      </c>
      <c r="R462" s="32">
        <f>IF(O462&lt;&gt;1,"",IF(E462&lt;&gt;"",IFERROR(MATCH(E462,Guests!$S$6:$S$505,0)+5,IFERROR(MATCH(B462,Guests!$A$6:$A$505,0)+5,"")),IFERROR(MATCH(B462,Guests!$A$6:$A$505,0)+5,"")))</f>
        <v/>
      </c>
      <c r="S462" s="32">
        <f>IF(R462="","",TRIM(INDEX(Guests!$E$1:$E$505,R462)&amp;""))</f>
        <v/>
      </c>
      <c r="T462" s="32">
        <f>IF(R462="","",IF(S462="",1,COUNTIF(Guests!$E$6:$E$505,S462)))</f>
        <v/>
      </c>
      <c r="U462" s="32">
        <f>IF(R462="","",IF(S462="",1,IF(COUNTIF(S$1:S461,S462)=0,1,0)))</f>
        <v/>
      </c>
      <c r="V462" s="32">
        <f>IF(AND(R462&lt;&gt;"",G462="Attending",U462=1),MAX(0,H462+I462-T462),0)</f>
        <v/>
      </c>
      <c r="W462" s="32">
        <f>IF(AND(O462=1,R462=""),1,0)</f>
        <v/>
      </c>
      <c r="X462" s="32">
        <f>IF(B462="",0,H462+I462)</f>
        <v/>
      </c>
      <c r="Y462" s="32">
        <f>N(Y461)+O462</f>
        <v/>
      </c>
      <c r="Z462" s="32">
        <f>IF(O462=1,Y462,"")</f>
        <v/>
      </c>
      <c r="AA462" s="32">
        <f>IF(AND(W462=1,G462="Not sure yet"),1,0)</f>
        <v/>
      </c>
      <c r="AB462" s="32">
        <f>N(AB461)+AA462</f>
        <v/>
      </c>
      <c r="AC462" s="32">
        <f>IF(AA462=1,AB462,"")</f>
        <v/>
      </c>
      <c r="AD462" s="32">
        <f>IF(D462="","",IF(LEN(D462)=10,"+1"&amp;D462,IF(AND(LEN(D462)=11,LEFT(D462,1)="1"),"+"&amp;D462,IF(LEFT(C462,1)="+","+"&amp;D462,D462))))</f>
        <v/>
      </c>
      <c r="AE462" s="32">
        <f>IF(B462="","",PROPER(IFERROR(LEFT(B462,FIND(" ",B462)-1),B462)))</f>
        <v/>
      </c>
      <c r="AF462" s="32">
        <f>SUBSTITUTE(SUBSTITUTE(SUBSTITUTE(SUBSTITUTE(SUBSTITUTE(SUBSTITUTE(SUBSTITUTE(SUBSTITUTE(SUBSTITUTE(SUBSTITUTE(AE462,"%","%25"),"&amp;","%26"),"#","%23"),"+","%2B"),"=","%3D"),"?","%3F"),CHAR(34),"%22"),CHAR(10),"%0A"),CHAR(13),"")," ","+")</f>
        <v/>
      </c>
      <c r="AG462" s="32">
        <f>IF(OR(AD462="",AE462=""),"",'Start Here'!$B$20&amp;"#p="&amp;SUBSTITUTE(AD462,"+","%2B")&amp;"&amp;n="&amp;AF462&amp;"&amp;m="&amp;SUBSTITUTE('Start Here'!$B$24,"{name}",AF462))</f>
        <v/>
      </c>
      <c r="AH462" s="32">
        <f>N(AH461)+W462</f>
        <v/>
      </c>
      <c r="AI462" s="32">
        <f>IF(W462=1,AH462,"")</f>
        <v/>
      </c>
    </row>
    <row r="463">
      <c r="A463" s="32">
        <f>IF(INDEX('Form Responses'!$A:$A,ROW())="","",INDEX('Form Responses'!$A:$A,ROW()))</f>
        <v/>
      </c>
      <c r="B463" s="32">
        <f>TRIM(INDEX('Form Responses'!$B:$B,ROW())&amp;"")</f>
        <v/>
      </c>
      <c r="C463" s="32">
        <f>IF(B463="","",TRIM(INDEX('Form Responses'!$C:$C,ROW())&amp;""))</f>
        <v/>
      </c>
      <c r="D463" s="32">
        <f>SUBSTITUTE(SUBSTITUTE(SUBSTITUTE(SUBSTITUTE(SUBSTITUTE(SUBSTITUTE(SUBSTITUTE(SUBSTITUTE(C463," ",""),"-",""),"(",""),")",""),".",""),"+",""),"/",""),CHAR(160),"")</f>
        <v/>
      </c>
      <c r="E463" s="32">
        <f>IF(LEN(D463)&gt;=10,RIGHT(D463,10),D463)</f>
        <v/>
      </c>
      <c r="F463" s="32">
        <f>IF(B463="","",TRIM(INDEX('Form Responses'!$D:$D,ROW())&amp;""))</f>
        <v/>
      </c>
      <c r="G463" s="32">
        <f>IF(B463="","",IF(LEFT(TRIM(INDEX('Form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3" s="32">
        <f>IF(B463="","",MAX(0,IFERROR(INT(--(INDEX('Form Responses'!$F:$F,ROW())&amp;"")),1)))</f>
        <v/>
      </c>
      <c r="I463" s="32">
        <f>IF(B463="","",MAX(0,IFERROR(INT(--(INDEX('Form Responses'!$G:$G,ROW())&amp;"")),0)))</f>
        <v/>
      </c>
      <c r="J463" s="32">
        <f>IF(B463="","",TRIM(INDEX('Form Responses'!$H:$H,ROW())&amp;""))</f>
        <v/>
      </c>
      <c r="K463" s="32">
        <f>IF(B463="","",TRIM(INDEX('Form Responses'!$I:$I,ROW())&amp;""))</f>
        <v/>
      </c>
      <c r="L463" s="32">
        <f>IF(B463="","",TRIM(INDEX('Form Responses'!$J:$J,ROW())&amp;""))</f>
        <v/>
      </c>
      <c r="M463" s="32">
        <f>IF(B463="","",TRIM(INDEX('Form Responses'!$K:$K,ROW())&amp;""))</f>
        <v/>
      </c>
      <c r="N463" s="32">
        <f>IF(B463="","",IF(E463&lt;&gt;"","P"&amp;E463,"N"&amp;B463))</f>
        <v/>
      </c>
      <c r="O463" s="32">
        <f>IF(N463="",0,IF(COUNTIF(N464:N$602,N463)=0,1,0))</f>
        <v/>
      </c>
      <c r="P463" s="32">
        <f>IF(AND(O463=1,E463&lt;&gt;""),E463,"")</f>
        <v/>
      </c>
      <c r="Q463" s="32">
        <f>IF(O463=1,B463,"")</f>
        <v/>
      </c>
      <c r="R463" s="32">
        <f>IF(O463&lt;&gt;1,"",IF(E463&lt;&gt;"",IFERROR(MATCH(E463,Guests!$S$6:$S$505,0)+5,IFERROR(MATCH(B463,Guests!$A$6:$A$505,0)+5,"")),IFERROR(MATCH(B463,Guests!$A$6:$A$505,0)+5,"")))</f>
        <v/>
      </c>
      <c r="S463" s="32">
        <f>IF(R463="","",TRIM(INDEX(Guests!$E$1:$E$505,R463)&amp;""))</f>
        <v/>
      </c>
      <c r="T463" s="32">
        <f>IF(R463="","",IF(S463="",1,COUNTIF(Guests!$E$6:$E$505,S463)))</f>
        <v/>
      </c>
      <c r="U463" s="32">
        <f>IF(R463="","",IF(S463="",1,IF(COUNTIF(S$1:S462,S463)=0,1,0)))</f>
        <v/>
      </c>
      <c r="V463" s="32">
        <f>IF(AND(R463&lt;&gt;"",G463="Attending",U463=1),MAX(0,H463+I463-T463),0)</f>
        <v/>
      </c>
      <c r="W463" s="32">
        <f>IF(AND(O463=1,R463=""),1,0)</f>
        <v/>
      </c>
      <c r="X463" s="32">
        <f>IF(B463="",0,H463+I463)</f>
        <v/>
      </c>
      <c r="Y463" s="32">
        <f>N(Y462)+O463</f>
        <v/>
      </c>
      <c r="Z463" s="32">
        <f>IF(O463=1,Y463,"")</f>
        <v/>
      </c>
      <c r="AA463" s="32">
        <f>IF(AND(W463=1,G463="Not sure yet"),1,0)</f>
        <v/>
      </c>
      <c r="AB463" s="32">
        <f>N(AB462)+AA463</f>
        <v/>
      </c>
      <c r="AC463" s="32">
        <f>IF(AA463=1,AB463,"")</f>
        <v/>
      </c>
      <c r="AD463" s="32">
        <f>IF(D463="","",IF(LEN(D463)=10,"+1"&amp;D463,IF(AND(LEN(D463)=11,LEFT(D463,1)="1"),"+"&amp;D463,IF(LEFT(C463,1)="+","+"&amp;D463,D463))))</f>
        <v/>
      </c>
      <c r="AE463" s="32">
        <f>IF(B463="","",PROPER(IFERROR(LEFT(B463,FIND(" ",B463)-1),B463)))</f>
        <v/>
      </c>
      <c r="AF463" s="32">
        <f>SUBSTITUTE(SUBSTITUTE(SUBSTITUTE(SUBSTITUTE(SUBSTITUTE(SUBSTITUTE(SUBSTITUTE(SUBSTITUTE(SUBSTITUTE(SUBSTITUTE(AE463,"%","%25"),"&amp;","%26"),"#","%23"),"+","%2B"),"=","%3D"),"?","%3F"),CHAR(34),"%22"),CHAR(10),"%0A"),CHAR(13),"")," ","+")</f>
        <v/>
      </c>
      <c r="AG463" s="32">
        <f>IF(OR(AD463="",AE463=""),"",'Start Here'!$B$20&amp;"#p="&amp;SUBSTITUTE(AD463,"+","%2B")&amp;"&amp;n="&amp;AF463&amp;"&amp;m="&amp;SUBSTITUTE('Start Here'!$B$24,"{name}",AF463))</f>
        <v/>
      </c>
      <c r="AH463" s="32">
        <f>N(AH462)+W463</f>
        <v/>
      </c>
      <c r="AI463" s="32">
        <f>IF(W463=1,AH463,"")</f>
        <v/>
      </c>
    </row>
    <row r="464">
      <c r="A464" s="32">
        <f>IF(INDEX('Form Responses'!$A:$A,ROW())="","",INDEX('Form Responses'!$A:$A,ROW()))</f>
        <v/>
      </c>
      <c r="B464" s="32">
        <f>TRIM(INDEX('Form Responses'!$B:$B,ROW())&amp;"")</f>
        <v/>
      </c>
      <c r="C464" s="32">
        <f>IF(B464="","",TRIM(INDEX('Form Responses'!$C:$C,ROW())&amp;""))</f>
        <v/>
      </c>
      <c r="D464" s="32">
        <f>SUBSTITUTE(SUBSTITUTE(SUBSTITUTE(SUBSTITUTE(SUBSTITUTE(SUBSTITUTE(SUBSTITUTE(SUBSTITUTE(C464," ",""),"-",""),"(",""),")",""),".",""),"+",""),"/",""),CHAR(160),"")</f>
        <v/>
      </c>
      <c r="E464" s="32">
        <f>IF(LEN(D464)&gt;=10,RIGHT(D464,10),D464)</f>
        <v/>
      </c>
      <c r="F464" s="32">
        <f>IF(B464="","",TRIM(INDEX('Form Responses'!$D:$D,ROW())&amp;""))</f>
        <v/>
      </c>
      <c r="G464" s="32">
        <f>IF(B464="","",IF(LEFT(TRIM(INDEX('Form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4" s="32">
        <f>IF(B464="","",MAX(0,IFERROR(INT(--(INDEX('Form Responses'!$F:$F,ROW())&amp;"")),1)))</f>
        <v/>
      </c>
      <c r="I464" s="32">
        <f>IF(B464="","",MAX(0,IFERROR(INT(--(INDEX('Form Responses'!$G:$G,ROW())&amp;"")),0)))</f>
        <v/>
      </c>
      <c r="J464" s="32">
        <f>IF(B464="","",TRIM(INDEX('Form Responses'!$H:$H,ROW())&amp;""))</f>
        <v/>
      </c>
      <c r="K464" s="32">
        <f>IF(B464="","",TRIM(INDEX('Form Responses'!$I:$I,ROW())&amp;""))</f>
        <v/>
      </c>
      <c r="L464" s="32">
        <f>IF(B464="","",TRIM(INDEX('Form Responses'!$J:$J,ROW())&amp;""))</f>
        <v/>
      </c>
      <c r="M464" s="32">
        <f>IF(B464="","",TRIM(INDEX('Form Responses'!$K:$K,ROW())&amp;""))</f>
        <v/>
      </c>
      <c r="N464" s="32">
        <f>IF(B464="","",IF(E464&lt;&gt;"","P"&amp;E464,"N"&amp;B464))</f>
        <v/>
      </c>
      <c r="O464" s="32">
        <f>IF(N464="",0,IF(COUNTIF(N465:N$602,N464)=0,1,0))</f>
        <v/>
      </c>
      <c r="P464" s="32">
        <f>IF(AND(O464=1,E464&lt;&gt;""),E464,"")</f>
        <v/>
      </c>
      <c r="Q464" s="32">
        <f>IF(O464=1,B464,"")</f>
        <v/>
      </c>
      <c r="R464" s="32">
        <f>IF(O464&lt;&gt;1,"",IF(E464&lt;&gt;"",IFERROR(MATCH(E464,Guests!$S$6:$S$505,0)+5,IFERROR(MATCH(B464,Guests!$A$6:$A$505,0)+5,"")),IFERROR(MATCH(B464,Guests!$A$6:$A$505,0)+5,"")))</f>
        <v/>
      </c>
      <c r="S464" s="32">
        <f>IF(R464="","",TRIM(INDEX(Guests!$E$1:$E$505,R464)&amp;""))</f>
        <v/>
      </c>
      <c r="T464" s="32">
        <f>IF(R464="","",IF(S464="",1,COUNTIF(Guests!$E$6:$E$505,S464)))</f>
        <v/>
      </c>
      <c r="U464" s="32">
        <f>IF(R464="","",IF(S464="",1,IF(COUNTIF(S$1:S463,S464)=0,1,0)))</f>
        <v/>
      </c>
      <c r="V464" s="32">
        <f>IF(AND(R464&lt;&gt;"",G464="Attending",U464=1),MAX(0,H464+I464-T464),0)</f>
        <v/>
      </c>
      <c r="W464" s="32">
        <f>IF(AND(O464=1,R464=""),1,0)</f>
        <v/>
      </c>
      <c r="X464" s="32">
        <f>IF(B464="",0,H464+I464)</f>
        <v/>
      </c>
      <c r="Y464" s="32">
        <f>N(Y463)+O464</f>
        <v/>
      </c>
      <c r="Z464" s="32">
        <f>IF(O464=1,Y464,"")</f>
        <v/>
      </c>
      <c r="AA464" s="32">
        <f>IF(AND(W464=1,G464="Not sure yet"),1,0)</f>
        <v/>
      </c>
      <c r="AB464" s="32">
        <f>N(AB463)+AA464</f>
        <v/>
      </c>
      <c r="AC464" s="32">
        <f>IF(AA464=1,AB464,"")</f>
        <v/>
      </c>
      <c r="AD464" s="32">
        <f>IF(D464="","",IF(LEN(D464)=10,"+1"&amp;D464,IF(AND(LEN(D464)=11,LEFT(D464,1)="1"),"+"&amp;D464,IF(LEFT(C464,1)="+","+"&amp;D464,D464))))</f>
        <v/>
      </c>
      <c r="AE464" s="32">
        <f>IF(B464="","",PROPER(IFERROR(LEFT(B464,FIND(" ",B464)-1),B464)))</f>
        <v/>
      </c>
      <c r="AF464" s="32">
        <f>SUBSTITUTE(SUBSTITUTE(SUBSTITUTE(SUBSTITUTE(SUBSTITUTE(SUBSTITUTE(SUBSTITUTE(SUBSTITUTE(SUBSTITUTE(SUBSTITUTE(AE464,"%","%25"),"&amp;","%26"),"#","%23"),"+","%2B"),"=","%3D"),"?","%3F"),CHAR(34),"%22"),CHAR(10),"%0A"),CHAR(13),"")," ","+")</f>
        <v/>
      </c>
      <c r="AG464" s="32">
        <f>IF(OR(AD464="",AE464=""),"",'Start Here'!$B$20&amp;"#p="&amp;SUBSTITUTE(AD464,"+","%2B")&amp;"&amp;n="&amp;AF464&amp;"&amp;m="&amp;SUBSTITUTE('Start Here'!$B$24,"{name}",AF464))</f>
        <v/>
      </c>
      <c r="AH464" s="32">
        <f>N(AH463)+W464</f>
        <v/>
      </c>
      <c r="AI464" s="32">
        <f>IF(W464=1,AH464,"")</f>
        <v/>
      </c>
    </row>
    <row r="465">
      <c r="A465" s="32">
        <f>IF(INDEX('Form Responses'!$A:$A,ROW())="","",INDEX('Form Responses'!$A:$A,ROW()))</f>
        <v/>
      </c>
      <c r="B465" s="32">
        <f>TRIM(INDEX('Form Responses'!$B:$B,ROW())&amp;"")</f>
        <v/>
      </c>
      <c r="C465" s="32">
        <f>IF(B465="","",TRIM(INDEX('Form Responses'!$C:$C,ROW())&amp;""))</f>
        <v/>
      </c>
      <c r="D465" s="32">
        <f>SUBSTITUTE(SUBSTITUTE(SUBSTITUTE(SUBSTITUTE(SUBSTITUTE(SUBSTITUTE(SUBSTITUTE(SUBSTITUTE(C465," ",""),"-",""),"(",""),")",""),".",""),"+",""),"/",""),CHAR(160),"")</f>
        <v/>
      </c>
      <c r="E465" s="32">
        <f>IF(LEN(D465)&gt;=10,RIGHT(D465,10),D465)</f>
        <v/>
      </c>
      <c r="F465" s="32">
        <f>IF(B465="","",TRIM(INDEX('Form Responses'!$D:$D,ROW())&amp;""))</f>
        <v/>
      </c>
      <c r="G465" s="32">
        <f>IF(B465="","",IF(LEFT(TRIM(INDEX('Form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5" s="32">
        <f>IF(B465="","",MAX(0,IFERROR(INT(--(INDEX('Form Responses'!$F:$F,ROW())&amp;"")),1)))</f>
        <v/>
      </c>
      <c r="I465" s="32">
        <f>IF(B465="","",MAX(0,IFERROR(INT(--(INDEX('Form Responses'!$G:$G,ROW())&amp;"")),0)))</f>
        <v/>
      </c>
      <c r="J465" s="32">
        <f>IF(B465="","",TRIM(INDEX('Form Responses'!$H:$H,ROW())&amp;""))</f>
        <v/>
      </c>
      <c r="K465" s="32">
        <f>IF(B465="","",TRIM(INDEX('Form Responses'!$I:$I,ROW())&amp;""))</f>
        <v/>
      </c>
      <c r="L465" s="32">
        <f>IF(B465="","",TRIM(INDEX('Form Responses'!$J:$J,ROW())&amp;""))</f>
        <v/>
      </c>
      <c r="M465" s="32">
        <f>IF(B465="","",TRIM(INDEX('Form Responses'!$K:$K,ROW())&amp;""))</f>
        <v/>
      </c>
      <c r="N465" s="32">
        <f>IF(B465="","",IF(E465&lt;&gt;"","P"&amp;E465,"N"&amp;B465))</f>
        <v/>
      </c>
      <c r="O465" s="32">
        <f>IF(N465="",0,IF(COUNTIF(N466:N$602,N465)=0,1,0))</f>
        <v/>
      </c>
      <c r="P465" s="32">
        <f>IF(AND(O465=1,E465&lt;&gt;""),E465,"")</f>
        <v/>
      </c>
      <c r="Q465" s="32">
        <f>IF(O465=1,B465,"")</f>
        <v/>
      </c>
      <c r="R465" s="32">
        <f>IF(O465&lt;&gt;1,"",IF(E465&lt;&gt;"",IFERROR(MATCH(E465,Guests!$S$6:$S$505,0)+5,IFERROR(MATCH(B465,Guests!$A$6:$A$505,0)+5,"")),IFERROR(MATCH(B465,Guests!$A$6:$A$505,0)+5,"")))</f>
        <v/>
      </c>
      <c r="S465" s="32">
        <f>IF(R465="","",TRIM(INDEX(Guests!$E$1:$E$505,R465)&amp;""))</f>
        <v/>
      </c>
      <c r="T465" s="32">
        <f>IF(R465="","",IF(S465="",1,COUNTIF(Guests!$E$6:$E$505,S465)))</f>
        <v/>
      </c>
      <c r="U465" s="32">
        <f>IF(R465="","",IF(S465="",1,IF(COUNTIF(S$1:S464,S465)=0,1,0)))</f>
        <v/>
      </c>
      <c r="V465" s="32">
        <f>IF(AND(R465&lt;&gt;"",G465="Attending",U465=1),MAX(0,H465+I465-T465),0)</f>
        <v/>
      </c>
      <c r="W465" s="32">
        <f>IF(AND(O465=1,R465=""),1,0)</f>
        <v/>
      </c>
      <c r="X465" s="32">
        <f>IF(B465="",0,H465+I465)</f>
        <v/>
      </c>
      <c r="Y465" s="32">
        <f>N(Y464)+O465</f>
        <v/>
      </c>
      <c r="Z465" s="32">
        <f>IF(O465=1,Y465,"")</f>
        <v/>
      </c>
      <c r="AA465" s="32">
        <f>IF(AND(W465=1,G465="Not sure yet"),1,0)</f>
        <v/>
      </c>
      <c r="AB465" s="32">
        <f>N(AB464)+AA465</f>
        <v/>
      </c>
      <c r="AC465" s="32">
        <f>IF(AA465=1,AB465,"")</f>
        <v/>
      </c>
      <c r="AD465" s="32">
        <f>IF(D465="","",IF(LEN(D465)=10,"+1"&amp;D465,IF(AND(LEN(D465)=11,LEFT(D465,1)="1"),"+"&amp;D465,IF(LEFT(C465,1)="+","+"&amp;D465,D465))))</f>
        <v/>
      </c>
      <c r="AE465" s="32">
        <f>IF(B465="","",PROPER(IFERROR(LEFT(B465,FIND(" ",B465)-1),B465)))</f>
        <v/>
      </c>
      <c r="AF465" s="32">
        <f>SUBSTITUTE(SUBSTITUTE(SUBSTITUTE(SUBSTITUTE(SUBSTITUTE(SUBSTITUTE(SUBSTITUTE(SUBSTITUTE(SUBSTITUTE(SUBSTITUTE(AE465,"%","%25"),"&amp;","%26"),"#","%23"),"+","%2B"),"=","%3D"),"?","%3F"),CHAR(34),"%22"),CHAR(10),"%0A"),CHAR(13),"")," ","+")</f>
        <v/>
      </c>
      <c r="AG465" s="32">
        <f>IF(OR(AD465="",AE465=""),"",'Start Here'!$B$20&amp;"#p="&amp;SUBSTITUTE(AD465,"+","%2B")&amp;"&amp;n="&amp;AF465&amp;"&amp;m="&amp;SUBSTITUTE('Start Here'!$B$24,"{name}",AF465))</f>
        <v/>
      </c>
      <c r="AH465" s="32">
        <f>N(AH464)+W465</f>
        <v/>
      </c>
      <c r="AI465" s="32">
        <f>IF(W465=1,AH465,"")</f>
        <v/>
      </c>
    </row>
    <row r="466">
      <c r="A466" s="32">
        <f>IF(INDEX('Form Responses'!$A:$A,ROW())="","",INDEX('Form Responses'!$A:$A,ROW()))</f>
        <v/>
      </c>
      <c r="B466" s="32">
        <f>TRIM(INDEX('Form Responses'!$B:$B,ROW())&amp;"")</f>
        <v/>
      </c>
      <c r="C466" s="32">
        <f>IF(B466="","",TRIM(INDEX('Form Responses'!$C:$C,ROW())&amp;""))</f>
        <v/>
      </c>
      <c r="D466" s="32">
        <f>SUBSTITUTE(SUBSTITUTE(SUBSTITUTE(SUBSTITUTE(SUBSTITUTE(SUBSTITUTE(SUBSTITUTE(SUBSTITUTE(C466," ",""),"-",""),"(",""),")",""),".",""),"+",""),"/",""),CHAR(160),"")</f>
        <v/>
      </c>
      <c r="E466" s="32">
        <f>IF(LEN(D466)&gt;=10,RIGHT(D466,10),D466)</f>
        <v/>
      </c>
      <c r="F466" s="32">
        <f>IF(B466="","",TRIM(INDEX('Form Responses'!$D:$D,ROW())&amp;""))</f>
        <v/>
      </c>
      <c r="G466" s="32">
        <f>IF(B466="","",IF(LEFT(TRIM(INDEX('Form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6" s="32">
        <f>IF(B466="","",MAX(0,IFERROR(INT(--(INDEX('Form Responses'!$F:$F,ROW())&amp;"")),1)))</f>
        <v/>
      </c>
      <c r="I466" s="32">
        <f>IF(B466="","",MAX(0,IFERROR(INT(--(INDEX('Form Responses'!$G:$G,ROW())&amp;"")),0)))</f>
        <v/>
      </c>
      <c r="J466" s="32">
        <f>IF(B466="","",TRIM(INDEX('Form Responses'!$H:$H,ROW())&amp;""))</f>
        <v/>
      </c>
      <c r="K466" s="32">
        <f>IF(B466="","",TRIM(INDEX('Form Responses'!$I:$I,ROW())&amp;""))</f>
        <v/>
      </c>
      <c r="L466" s="32">
        <f>IF(B466="","",TRIM(INDEX('Form Responses'!$J:$J,ROW())&amp;""))</f>
        <v/>
      </c>
      <c r="M466" s="32">
        <f>IF(B466="","",TRIM(INDEX('Form Responses'!$K:$K,ROW())&amp;""))</f>
        <v/>
      </c>
      <c r="N466" s="32">
        <f>IF(B466="","",IF(E466&lt;&gt;"","P"&amp;E466,"N"&amp;B466))</f>
        <v/>
      </c>
      <c r="O466" s="32">
        <f>IF(N466="",0,IF(COUNTIF(N467:N$602,N466)=0,1,0))</f>
        <v/>
      </c>
      <c r="P466" s="32">
        <f>IF(AND(O466=1,E466&lt;&gt;""),E466,"")</f>
        <v/>
      </c>
      <c r="Q466" s="32">
        <f>IF(O466=1,B466,"")</f>
        <v/>
      </c>
      <c r="R466" s="32">
        <f>IF(O466&lt;&gt;1,"",IF(E466&lt;&gt;"",IFERROR(MATCH(E466,Guests!$S$6:$S$505,0)+5,IFERROR(MATCH(B466,Guests!$A$6:$A$505,0)+5,"")),IFERROR(MATCH(B466,Guests!$A$6:$A$505,0)+5,"")))</f>
        <v/>
      </c>
      <c r="S466" s="32">
        <f>IF(R466="","",TRIM(INDEX(Guests!$E$1:$E$505,R466)&amp;""))</f>
        <v/>
      </c>
      <c r="T466" s="32">
        <f>IF(R466="","",IF(S466="",1,COUNTIF(Guests!$E$6:$E$505,S466)))</f>
        <v/>
      </c>
      <c r="U466" s="32">
        <f>IF(R466="","",IF(S466="",1,IF(COUNTIF(S$1:S465,S466)=0,1,0)))</f>
        <v/>
      </c>
      <c r="V466" s="32">
        <f>IF(AND(R466&lt;&gt;"",G466="Attending",U466=1),MAX(0,H466+I466-T466),0)</f>
        <v/>
      </c>
      <c r="W466" s="32">
        <f>IF(AND(O466=1,R466=""),1,0)</f>
        <v/>
      </c>
      <c r="X466" s="32">
        <f>IF(B466="",0,H466+I466)</f>
        <v/>
      </c>
      <c r="Y466" s="32">
        <f>N(Y465)+O466</f>
        <v/>
      </c>
      <c r="Z466" s="32">
        <f>IF(O466=1,Y466,"")</f>
        <v/>
      </c>
      <c r="AA466" s="32">
        <f>IF(AND(W466=1,G466="Not sure yet"),1,0)</f>
        <v/>
      </c>
      <c r="AB466" s="32">
        <f>N(AB465)+AA466</f>
        <v/>
      </c>
      <c r="AC466" s="32">
        <f>IF(AA466=1,AB466,"")</f>
        <v/>
      </c>
      <c r="AD466" s="32">
        <f>IF(D466="","",IF(LEN(D466)=10,"+1"&amp;D466,IF(AND(LEN(D466)=11,LEFT(D466,1)="1"),"+"&amp;D466,IF(LEFT(C466,1)="+","+"&amp;D466,D466))))</f>
        <v/>
      </c>
      <c r="AE466" s="32">
        <f>IF(B466="","",PROPER(IFERROR(LEFT(B466,FIND(" ",B466)-1),B466)))</f>
        <v/>
      </c>
      <c r="AF466" s="32">
        <f>SUBSTITUTE(SUBSTITUTE(SUBSTITUTE(SUBSTITUTE(SUBSTITUTE(SUBSTITUTE(SUBSTITUTE(SUBSTITUTE(SUBSTITUTE(SUBSTITUTE(AE466,"%","%25"),"&amp;","%26"),"#","%23"),"+","%2B"),"=","%3D"),"?","%3F"),CHAR(34),"%22"),CHAR(10),"%0A"),CHAR(13),"")," ","+")</f>
        <v/>
      </c>
      <c r="AG466" s="32">
        <f>IF(OR(AD466="",AE466=""),"",'Start Here'!$B$20&amp;"#p="&amp;SUBSTITUTE(AD466,"+","%2B")&amp;"&amp;n="&amp;AF466&amp;"&amp;m="&amp;SUBSTITUTE('Start Here'!$B$24,"{name}",AF466))</f>
        <v/>
      </c>
      <c r="AH466" s="32">
        <f>N(AH465)+W466</f>
        <v/>
      </c>
      <c r="AI466" s="32">
        <f>IF(W466=1,AH466,"")</f>
        <v/>
      </c>
    </row>
    <row r="467">
      <c r="A467" s="32">
        <f>IF(INDEX('Form Responses'!$A:$A,ROW())="","",INDEX('Form Responses'!$A:$A,ROW()))</f>
        <v/>
      </c>
      <c r="B467" s="32">
        <f>TRIM(INDEX('Form Responses'!$B:$B,ROW())&amp;"")</f>
        <v/>
      </c>
      <c r="C467" s="32">
        <f>IF(B467="","",TRIM(INDEX('Form Responses'!$C:$C,ROW())&amp;""))</f>
        <v/>
      </c>
      <c r="D467" s="32">
        <f>SUBSTITUTE(SUBSTITUTE(SUBSTITUTE(SUBSTITUTE(SUBSTITUTE(SUBSTITUTE(SUBSTITUTE(SUBSTITUTE(C467," ",""),"-",""),"(",""),")",""),".",""),"+",""),"/",""),CHAR(160),"")</f>
        <v/>
      </c>
      <c r="E467" s="32">
        <f>IF(LEN(D467)&gt;=10,RIGHT(D467,10),D467)</f>
        <v/>
      </c>
      <c r="F467" s="32">
        <f>IF(B467="","",TRIM(INDEX('Form Responses'!$D:$D,ROW())&amp;""))</f>
        <v/>
      </c>
      <c r="G467" s="32">
        <f>IF(B467="","",IF(LEFT(TRIM(INDEX('Form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7" s="32">
        <f>IF(B467="","",MAX(0,IFERROR(INT(--(INDEX('Form Responses'!$F:$F,ROW())&amp;"")),1)))</f>
        <v/>
      </c>
      <c r="I467" s="32">
        <f>IF(B467="","",MAX(0,IFERROR(INT(--(INDEX('Form Responses'!$G:$G,ROW())&amp;"")),0)))</f>
        <v/>
      </c>
      <c r="J467" s="32">
        <f>IF(B467="","",TRIM(INDEX('Form Responses'!$H:$H,ROW())&amp;""))</f>
        <v/>
      </c>
      <c r="K467" s="32">
        <f>IF(B467="","",TRIM(INDEX('Form Responses'!$I:$I,ROW())&amp;""))</f>
        <v/>
      </c>
      <c r="L467" s="32">
        <f>IF(B467="","",TRIM(INDEX('Form Responses'!$J:$J,ROW())&amp;""))</f>
        <v/>
      </c>
      <c r="M467" s="32">
        <f>IF(B467="","",TRIM(INDEX('Form Responses'!$K:$K,ROW())&amp;""))</f>
        <v/>
      </c>
      <c r="N467" s="32">
        <f>IF(B467="","",IF(E467&lt;&gt;"","P"&amp;E467,"N"&amp;B467))</f>
        <v/>
      </c>
      <c r="O467" s="32">
        <f>IF(N467="",0,IF(COUNTIF(N468:N$602,N467)=0,1,0))</f>
        <v/>
      </c>
      <c r="P467" s="32">
        <f>IF(AND(O467=1,E467&lt;&gt;""),E467,"")</f>
        <v/>
      </c>
      <c r="Q467" s="32">
        <f>IF(O467=1,B467,"")</f>
        <v/>
      </c>
      <c r="R467" s="32">
        <f>IF(O467&lt;&gt;1,"",IF(E467&lt;&gt;"",IFERROR(MATCH(E467,Guests!$S$6:$S$505,0)+5,IFERROR(MATCH(B467,Guests!$A$6:$A$505,0)+5,"")),IFERROR(MATCH(B467,Guests!$A$6:$A$505,0)+5,"")))</f>
        <v/>
      </c>
      <c r="S467" s="32">
        <f>IF(R467="","",TRIM(INDEX(Guests!$E$1:$E$505,R467)&amp;""))</f>
        <v/>
      </c>
      <c r="T467" s="32">
        <f>IF(R467="","",IF(S467="",1,COUNTIF(Guests!$E$6:$E$505,S467)))</f>
        <v/>
      </c>
      <c r="U467" s="32">
        <f>IF(R467="","",IF(S467="",1,IF(COUNTIF(S$1:S466,S467)=0,1,0)))</f>
        <v/>
      </c>
      <c r="V467" s="32">
        <f>IF(AND(R467&lt;&gt;"",G467="Attending",U467=1),MAX(0,H467+I467-T467),0)</f>
        <v/>
      </c>
      <c r="W467" s="32">
        <f>IF(AND(O467=1,R467=""),1,0)</f>
        <v/>
      </c>
      <c r="X467" s="32">
        <f>IF(B467="",0,H467+I467)</f>
        <v/>
      </c>
      <c r="Y467" s="32">
        <f>N(Y466)+O467</f>
        <v/>
      </c>
      <c r="Z467" s="32">
        <f>IF(O467=1,Y467,"")</f>
        <v/>
      </c>
      <c r="AA467" s="32">
        <f>IF(AND(W467=1,G467="Not sure yet"),1,0)</f>
        <v/>
      </c>
      <c r="AB467" s="32">
        <f>N(AB466)+AA467</f>
        <v/>
      </c>
      <c r="AC467" s="32">
        <f>IF(AA467=1,AB467,"")</f>
        <v/>
      </c>
      <c r="AD467" s="32">
        <f>IF(D467="","",IF(LEN(D467)=10,"+1"&amp;D467,IF(AND(LEN(D467)=11,LEFT(D467,1)="1"),"+"&amp;D467,IF(LEFT(C467,1)="+","+"&amp;D467,D467))))</f>
        <v/>
      </c>
      <c r="AE467" s="32">
        <f>IF(B467="","",PROPER(IFERROR(LEFT(B467,FIND(" ",B467)-1),B467)))</f>
        <v/>
      </c>
      <c r="AF467" s="32">
        <f>SUBSTITUTE(SUBSTITUTE(SUBSTITUTE(SUBSTITUTE(SUBSTITUTE(SUBSTITUTE(SUBSTITUTE(SUBSTITUTE(SUBSTITUTE(SUBSTITUTE(AE467,"%","%25"),"&amp;","%26"),"#","%23"),"+","%2B"),"=","%3D"),"?","%3F"),CHAR(34),"%22"),CHAR(10),"%0A"),CHAR(13),"")," ","+")</f>
        <v/>
      </c>
      <c r="AG467" s="32">
        <f>IF(OR(AD467="",AE467=""),"",'Start Here'!$B$20&amp;"#p="&amp;SUBSTITUTE(AD467,"+","%2B")&amp;"&amp;n="&amp;AF467&amp;"&amp;m="&amp;SUBSTITUTE('Start Here'!$B$24,"{name}",AF467))</f>
        <v/>
      </c>
      <c r="AH467" s="32">
        <f>N(AH466)+W467</f>
        <v/>
      </c>
      <c r="AI467" s="32">
        <f>IF(W467=1,AH467,"")</f>
        <v/>
      </c>
    </row>
    <row r="468">
      <c r="A468" s="32">
        <f>IF(INDEX('Form Responses'!$A:$A,ROW())="","",INDEX('Form Responses'!$A:$A,ROW()))</f>
        <v/>
      </c>
      <c r="B468" s="32">
        <f>TRIM(INDEX('Form Responses'!$B:$B,ROW())&amp;"")</f>
        <v/>
      </c>
      <c r="C468" s="32">
        <f>IF(B468="","",TRIM(INDEX('Form Responses'!$C:$C,ROW())&amp;""))</f>
        <v/>
      </c>
      <c r="D468" s="32">
        <f>SUBSTITUTE(SUBSTITUTE(SUBSTITUTE(SUBSTITUTE(SUBSTITUTE(SUBSTITUTE(SUBSTITUTE(SUBSTITUTE(C468," ",""),"-",""),"(",""),")",""),".",""),"+",""),"/",""),CHAR(160),"")</f>
        <v/>
      </c>
      <c r="E468" s="32">
        <f>IF(LEN(D468)&gt;=10,RIGHT(D468,10),D468)</f>
        <v/>
      </c>
      <c r="F468" s="32">
        <f>IF(B468="","",TRIM(INDEX('Form Responses'!$D:$D,ROW())&amp;""))</f>
        <v/>
      </c>
      <c r="G468" s="32">
        <f>IF(B468="","",IF(LEFT(TRIM(INDEX('Form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8" s="32">
        <f>IF(B468="","",MAX(0,IFERROR(INT(--(INDEX('Form Responses'!$F:$F,ROW())&amp;"")),1)))</f>
        <v/>
      </c>
      <c r="I468" s="32">
        <f>IF(B468="","",MAX(0,IFERROR(INT(--(INDEX('Form Responses'!$G:$G,ROW())&amp;"")),0)))</f>
        <v/>
      </c>
      <c r="J468" s="32">
        <f>IF(B468="","",TRIM(INDEX('Form Responses'!$H:$H,ROW())&amp;""))</f>
        <v/>
      </c>
      <c r="K468" s="32">
        <f>IF(B468="","",TRIM(INDEX('Form Responses'!$I:$I,ROW())&amp;""))</f>
        <v/>
      </c>
      <c r="L468" s="32">
        <f>IF(B468="","",TRIM(INDEX('Form Responses'!$J:$J,ROW())&amp;""))</f>
        <v/>
      </c>
      <c r="M468" s="32">
        <f>IF(B468="","",TRIM(INDEX('Form Responses'!$K:$K,ROW())&amp;""))</f>
        <v/>
      </c>
      <c r="N468" s="32">
        <f>IF(B468="","",IF(E468&lt;&gt;"","P"&amp;E468,"N"&amp;B468))</f>
        <v/>
      </c>
      <c r="O468" s="32">
        <f>IF(N468="",0,IF(COUNTIF(N469:N$602,N468)=0,1,0))</f>
        <v/>
      </c>
      <c r="P468" s="32">
        <f>IF(AND(O468=1,E468&lt;&gt;""),E468,"")</f>
        <v/>
      </c>
      <c r="Q468" s="32">
        <f>IF(O468=1,B468,"")</f>
        <v/>
      </c>
      <c r="R468" s="32">
        <f>IF(O468&lt;&gt;1,"",IF(E468&lt;&gt;"",IFERROR(MATCH(E468,Guests!$S$6:$S$505,0)+5,IFERROR(MATCH(B468,Guests!$A$6:$A$505,0)+5,"")),IFERROR(MATCH(B468,Guests!$A$6:$A$505,0)+5,"")))</f>
        <v/>
      </c>
      <c r="S468" s="32">
        <f>IF(R468="","",TRIM(INDEX(Guests!$E$1:$E$505,R468)&amp;""))</f>
        <v/>
      </c>
      <c r="T468" s="32">
        <f>IF(R468="","",IF(S468="",1,COUNTIF(Guests!$E$6:$E$505,S468)))</f>
        <v/>
      </c>
      <c r="U468" s="32">
        <f>IF(R468="","",IF(S468="",1,IF(COUNTIF(S$1:S467,S468)=0,1,0)))</f>
        <v/>
      </c>
      <c r="V468" s="32">
        <f>IF(AND(R468&lt;&gt;"",G468="Attending",U468=1),MAX(0,H468+I468-T468),0)</f>
        <v/>
      </c>
      <c r="W468" s="32">
        <f>IF(AND(O468=1,R468=""),1,0)</f>
        <v/>
      </c>
      <c r="X468" s="32">
        <f>IF(B468="",0,H468+I468)</f>
        <v/>
      </c>
      <c r="Y468" s="32">
        <f>N(Y467)+O468</f>
        <v/>
      </c>
      <c r="Z468" s="32">
        <f>IF(O468=1,Y468,"")</f>
        <v/>
      </c>
      <c r="AA468" s="32">
        <f>IF(AND(W468=1,G468="Not sure yet"),1,0)</f>
        <v/>
      </c>
      <c r="AB468" s="32">
        <f>N(AB467)+AA468</f>
        <v/>
      </c>
      <c r="AC468" s="32">
        <f>IF(AA468=1,AB468,"")</f>
        <v/>
      </c>
      <c r="AD468" s="32">
        <f>IF(D468="","",IF(LEN(D468)=10,"+1"&amp;D468,IF(AND(LEN(D468)=11,LEFT(D468,1)="1"),"+"&amp;D468,IF(LEFT(C468,1)="+","+"&amp;D468,D468))))</f>
        <v/>
      </c>
      <c r="AE468" s="32">
        <f>IF(B468="","",PROPER(IFERROR(LEFT(B468,FIND(" ",B468)-1),B468)))</f>
        <v/>
      </c>
      <c r="AF468" s="32">
        <f>SUBSTITUTE(SUBSTITUTE(SUBSTITUTE(SUBSTITUTE(SUBSTITUTE(SUBSTITUTE(SUBSTITUTE(SUBSTITUTE(SUBSTITUTE(SUBSTITUTE(AE468,"%","%25"),"&amp;","%26"),"#","%23"),"+","%2B"),"=","%3D"),"?","%3F"),CHAR(34),"%22"),CHAR(10),"%0A"),CHAR(13),"")," ","+")</f>
        <v/>
      </c>
      <c r="AG468" s="32">
        <f>IF(OR(AD468="",AE468=""),"",'Start Here'!$B$20&amp;"#p="&amp;SUBSTITUTE(AD468,"+","%2B")&amp;"&amp;n="&amp;AF468&amp;"&amp;m="&amp;SUBSTITUTE('Start Here'!$B$24,"{name}",AF468))</f>
        <v/>
      </c>
      <c r="AH468" s="32">
        <f>N(AH467)+W468</f>
        <v/>
      </c>
      <c r="AI468" s="32">
        <f>IF(W468=1,AH468,"")</f>
        <v/>
      </c>
    </row>
    <row r="469">
      <c r="A469" s="32">
        <f>IF(INDEX('Form Responses'!$A:$A,ROW())="","",INDEX('Form Responses'!$A:$A,ROW()))</f>
        <v/>
      </c>
      <c r="B469" s="32">
        <f>TRIM(INDEX('Form Responses'!$B:$B,ROW())&amp;"")</f>
        <v/>
      </c>
      <c r="C469" s="32">
        <f>IF(B469="","",TRIM(INDEX('Form Responses'!$C:$C,ROW())&amp;""))</f>
        <v/>
      </c>
      <c r="D469" s="32">
        <f>SUBSTITUTE(SUBSTITUTE(SUBSTITUTE(SUBSTITUTE(SUBSTITUTE(SUBSTITUTE(SUBSTITUTE(SUBSTITUTE(C469," ",""),"-",""),"(",""),")",""),".",""),"+",""),"/",""),CHAR(160),"")</f>
        <v/>
      </c>
      <c r="E469" s="32">
        <f>IF(LEN(D469)&gt;=10,RIGHT(D469,10),D469)</f>
        <v/>
      </c>
      <c r="F469" s="32">
        <f>IF(B469="","",TRIM(INDEX('Form Responses'!$D:$D,ROW())&amp;""))</f>
        <v/>
      </c>
      <c r="G469" s="32">
        <f>IF(B469="","",IF(LEFT(TRIM(INDEX('Form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69" s="32">
        <f>IF(B469="","",MAX(0,IFERROR(INT(--(INDEX('Form Responses'!$F:$F,ROW())&amp;"")),1)))</f>
        <v/>
      </c>
      <c r="I469" s="32">
        <f>IF(B469="","",MAX(0,IFERROR(INT(--(INDEX('Form Responses'!$G:$G,ROW())&amp;"")),0)))</f>
        <v/>
      </c>
      <c r="J469" s="32">
        <f>IF(B469="","",TRIM(INDEX('Form Responses'!$H:$H,ROW())&amp;""))</f>
        <v/>
      </c>
      <c r="K469" s="32">
        <f>IF(B469="","",TRIM(INDEX('Form Responses'!$I:$I,ROW())&amp;""))</f>
        <v/>
      </c>
      <c r="L469" s="32">
        <f>IF(B469="","",TRIM(INDEX('Form Responses'!$J:$J,ROW())&amp;""))</f>
        <v/>
      </c>
      <c r="M469" s="32">
        <f>IF(B469="","",TRIM(INDEX('Form Responses'!$K:$K,ROW())&amp;""))</f>
        <v/>
      </c>
      <c r="N469" s="32">
        <f>IF(B469="","",IF(E469&lt;&gt;"","P"&amp;E469,"N"&amp;B469))</f>
        <v/>
      </c>
      <c r="O469" s="32">
        <f>IF(N469="",0,IF(COUNTIF(N470:N$602,N469)=0,1,0))</f>
        <v/>
      </c>
      <c r="P469" s="32">
        <f>IF(AND(O469=1,E469&lt;&gt;""),E469,"")</f>
        <v/>
      </c>
      <c r="Q469" s="32">
        <f>IF(O469=1,B469,"")</f>
        <v/>
      </c>
      <c r="R469" s="32">
        <f>IF(O469&lt;&gt;1,"",IF(E469&lt;&gt;"",IFERROR(MATCH(E469,Guests!$S$6:$S$505,0)+5,IFERROR(MATCH(B469,Guests!$A$6:$A$505,0)+5,"")),IFERROR(MATCH(B469,Guests!$A$6:$A$505,0)+5,"")))</f>
        <v/>
      </c>
      <c r="S469" s="32">
        <f>IF(R469="","",TRIM(INDEX(Guests!$E$1:$E$505,R469)&amp;""))</f>
        <v/>
      </c>
      <c r="T469" s="32">
        <f>IF(R469="","",IF(S469="",1,COUNTIF(Guests!$E$6:$E$505,S469)))</f>
        <v/>
      </c>
      <c r="U469" s="32">
        <f>IF(R469="","",IF(S469="",1,IF(COUNTIF(S$1:S468,S469)=0,1,0)))</f>
        <v/>
      </c>
      <c r="V469" s="32">
        <f>IF(AND(R469&lt;&gt;"",G469="Attending",U469=1),MAX(0,H469+I469-T469),0)</f>
        <v/>
      </c>
      <c r="W469" s="32">
        <f>IF(AND(O469=1,R469=""),1,0)</f>
        <v/>
      </c>
      <c r="X469" s="32">
        <f>IF(B469="",0,H469+I469)</f>
        <v/>
      </c>
      <c r="Y469" s="32">
        <f>N(Y468)+O469</f>
        <v/>
      </c>
      <c r="Z469" s="32">
        <f>IF(O469=1,Y469,"")</f>
        <v/>
      </c>
      <c r="AA469" s="32">
        <f>IF(AND(W469=1,G469="Not sure yet"),1,0)</f>
        <v/>
      </c>
      <c r="AB469" s="32">
        <f>N(AB468)+AA469</f>
        <v/>
      </c>
      <c r="AC469" s="32">
        <f>IF(AA469=1,AB469,"")</f>
        <v/>
      </c>
      <c r="AD469" s="32">
        <f>IF(D469="","",IF(LEN(D469)=10,"+1"&amp;D469,IF(AND(LEN(D469)=11,LEFT(D469,1)="1"),"+"&amp;D469,IF(LEFT(C469,1)="+","+"&amp;D469,D469))))</f>
        <v/>
      </c>
      <c r="AE469" s="32">
        <f>IF(B469="","",PROPER(IFERROR(LEFT(B469,FIND(" ",B469)-1),B469)))</f>
        <v/>
      </c>
      <c r="AF469" s="32">
        <f>SUBSTITUTE(SUBSTITUTE(SUBSTITUTE(SUBSTITUTE(SUBSTITUTE(SUBSTITUTE(SUBSTITUTE(SUBSTITUTE(SUBSTITUTE(SUBSTITUTE(AE469,"%","%25"),"&amp;","%26"),"#","%23"),"+","%2B"),"=","%3D"),"?","%3F"),CHAR(34),"%22"),CHAR(10),"%0A"),CHAR(13),"")," ","+")</f>
        <v/>
      </c>
      <c r="AG469" s="32">
        <f>IF(OR(AD469="",AE469=""),"",'Start Here'!$B$20&amp;"#p="&amp;SUBSTITUTE(AD469,"+","%2B")&amp;"&amp;n="&amp;AF469&amp;"&amp;m="&amp;SUBSTITUTE('Start Here'!$B$24,"{name}",AF469))</f>
        <v/>
      </c>
      <c r="AH469" s="32">
        <f>N(AH468)+W469</f>
        <v/>
      </c>
      <c r="AI469" s="32">
        <f>IF(W469=1,AH469,"")</f>
        <v/>
      </c>
    </row>
    <row r="470">
      <c r="A470" s="32">
        <f>IF(INDEX('Form Responses'!$A:$A,ROW())="","",INDEX('Form Responses'!$A:$A,ROW()))</f>
        <v/>
      </c>
      <c r="B470" s="32">
        <f>TRIM(INDEX('Form Responses'!$B:$B,ROW())&amp;"")</f>
        <v/>
      </c>
      <c r="C470" s="32">
        <f>IF(B470="","",TRIM(INDEX('Form Responses'!$C:$C,ROW())&amp;""))</f>
        <v/>
      </c>
      <c r="D470" s="32">
        <f>SUBSTITUTE(SUBSTITUTE(SUBSTITUTE(SUBSTITUTE(SUBSTITUTE(SUBSTITUTE(SUBSTITUTE(SUBSTITUTE(C470," ",""),"-",""),"(",""),")",""),".",""),"+",""),"/",""),CHAR(160),"")</f>
        <v/>
      </c>
      <c r="E470" s="32">
        <f>IF(LEN(D470)&gt;=10,RIGHT(D470,10),D470)</f>
        <v/>
      </c>
      <c r="F470" s="32">
        <f>IF(B470="","",TRIM(INDEX('Form Responses'!$D:$D,ROW())&amp;""))</f>
        <v/>
      </c>
      <c r="G470" s="32">
        <f>IF(B470="","",IF(LEFT(TRIM(INDEX('Form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0" s="32">
        <f>IF(B470="","",MAX(0,IFERROR(INT(--(INDEX('Form Responses'!$F:$F,ROW())&amp;"")),1)))</f>
        <v/>
      </c>
      <c r="I470" s="32">
        <f>IF(B470="","",MAX(0,IFERROR(INT(--(INDEX('Form Responses'!$G:$G,ROW())&amp;"")),0)))</f>
        <v/>
      </c>
      <c r="J470" s="32">
        <f>IF(B470="","",TRIM(INDEX('Form Responses'!$H:$H,ROW())&amp;""))</f>
        <v/>
      </c>
      <c r="K470" s="32">
        <f>IF(B470="","",TRIM(INDEX('Form Responses'!$I:$I,ROW())&amp;""))</f>
        <v/>
      </c>
      <c r="L470" s="32">
        <f>IF(B470="","",TRIM(INDEX('Form Responses'!$J:$J,ROW())&amp;""))</f>
        <v/>
      </c>
      <c r="M470" s="32">
        <f>IF(B470="","",TRIM(INDEX('Form Responses'!$K:$K,ROW())&amp;""))</f>
        <v/>
      </c>
      <c r="N470" s="32">
        <f>IF(B470="","",IF(E470&lt;&gt;"","P"&amp;E470,"N"&amp;B470))</f>
        <v/>
      </c>
      <c r="O470" s="32">
        <f>IF(N470="",0,IF(COUNTIF(N471:N$602,N470)=0,1,0))</f>
        <v/>
      </c>
      <c r="P470" s="32">
        <f>IF(AND(O470=1,E470&lt;&gt;""),E470,"")</f>
        <v/>
      </c>
      <c r="Q470" s="32">
        <f>IF(O470=1,B470,"")</f>
        <v/>
      </c>
      <c r="R470" s="32">
        <f>IF(O470&lt;&gt;1,"",IF(E470&lt;&gt;"",IFERROR(MATCH(E470,Guests!$S$6:$S$505,0)+5,IFERROR(MATCH(B470,Guests!$A$6:$A$505,0)+5,"")),IFERROR(MATCH(B470,Guests!$A$6:$A$505,0)+5,"")))</f>
        <v/>
      </c>
      <c r="S470" s="32">
        <f>IF(R470="","",TRIM(INDEX(Guests!$E$1:$E$505,R470)&amp;""))</f>
        <v/>
      </c>
      <c r="T470" s="32">
        <f>IF(R470="","",IF(S470="",1,COUNTIF(Guests!$E$6:$E$505,S470)))</f>
        <v/>
      </c>
      <c r="U470" s="32">
        <f>IF(R470="","",IF(S470="",1,IF(COUNTIF(S$1:S469,S470)=0,1,0)))</f>
        <v/>
      </c>
      <c r="V470" s="32">
        <f>IF(AND(R470&lt;&gt;"",G470="Attending",U470=1),MAX(0,H470+I470-T470),0)</f>
        <v/>
      </c>
      <c r="W470" s="32">
        <f>IF(AND(O470=1,R470=""),1,0)</f>
        <v/>
      </c>
      <c r="X470" s="32">
        <f>IF(B470="",0,H470+I470)</f>
        <v/>
      </c>
      <c r="Y470" s="32">
        <f>N(Y469)+O470</f>
        <v/>
      </c>
      <c r="Z470" s="32">
        <f>IF(O470=1,Y470,"")</f>
        <v/>
      </c>
      <c r="AA470" s="32">
        <f>IF(AND(W470=1,G470="Not sure yet"),1,0)</f>
        <v/>
      </c>
      <c r="AB470" s="32">
        <f>N(AB469)+AA470</f>
        <v/>
      </c>
      <c r="AC470" s="32">
        <f>IF(AA470=1,AB470,"")</f>
        <v/>
      </c>
      <c r="AD470" s="32">
        <f>IF(D470="","",IF(LEN(D470)=10,"+1"&amp;D470,IF(AND(LEN(D470)=11,LEFT(D470,1)="1"),"+"&amp;D470,IF(LEFT(C470,1)="+","+"&amp;D470,D470))))</f>
        <v/>
      </c>
      <c r="AE470" s="32">
        <f>IF(B470="","",PROPER(IFERROR(LEFT(B470,FIND(" ",B470)-1),B470)))</f>
        <v/>
      </c>
      <c r="AF470" s="32">
        <f>SUBSTITUTE(SUBSTITUTE(SUBSTITUTE(SUBSTITUTE(SUBSTITUTE(SUBSTITUTE(SUBSTITUTE(SUBSTITUTE(SUBSTITUTE(SUBSTITUTE(AE470,"%","%25"),"&amp;","%26"),"#","%23"),"+","%2B"),"=","%3D"),"?","%3F"),CHAR(34),"%22"),CHAR(10),"%0A"),CHAR(13),"")," ","+")</f>
        <v/>
      </c>
      <c r="AG470" s="32">
        <f>IF(OR(AD470="",AE470=""),"",'Start Here'!$B$20&amp;"#p="&amp;SUBSTITUTE(AD470,"+","%2B")&amp;"&amp;n="&amp;AF470&amp;"&amp;m="&amp;SUBSTITUTE('Start Here'!$B$24,"{name}",AF470))</f>
        <v/>
      </c>
      <c r="AH470" s="32">
        <f>N(AH469)+W470</f>
        <v/>
      </c>
      <c r="AI470" s="32">
        <f>IF(W470=1,AH470,"")</f>
        <v/>
      </c>
    </row>
    <row r="471">
      <c r="A471" s="32">
        <f>IF(INDEX('Form Responses'!$A:$A,ROW())="","",INDEX('Form Responses'!$A:$A,ROW()))</f>
        <v/>
      </c>
      <c r="B471" s="32">
        <f>TRIM(INDEX('Form Responses'!$B:$B,ROW())&amp;"")</f>
        <v/>
      </c>
      <c r="C471" s="32">
        <f>IF(B471="","",TRIM(INDEX('Form Responses'!$C:$C,ROW())&amp;""))</f>
        <v/>
      </c>
      <c r="D471" s="32">
        <f>SUBSTITUTE(SUBSTITUTE(SUBSTITUTE(SUBSTITUTE(SUBSTITUTE(SUBSTITUTE(SUBSTITUTE(SUBSTITUTE(C471," ",""),"-",""),"(",""),")",""),".",""),"+",""),"/",""),CHAR(160),"")</f>
        <v/>
      </c>
      <c r="E471" s="32">
        <f>IF(LEN(D471)&gt;=10,RIGHT(D471,10),D471)</f>
        <v/>
      </c>
      <c r="F471" s="32">
        <f>IF(B471="","",TRIM(INDEX('Form Responses'!$D:$D,ROW())&amp;""))</f>
        <v/>
      </c>
      <c r="G471" s="32">
        <f>IF(B471="","",IF(LEFT(TRIM(INDEX('Form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1" s="32">
        <f>IF(B471="","",MAX(0,IFERROR(INT(--(INDEX('Form Responses'!$F:$F,ROW())&amp;"")),1)))</f>
        <v/>
      </c>
      <c r="I471" s="32">
        <f>IF(B471="","",MAX(0,IFERROR(INT(--(INDEX('Form Responses'!$G:$G,ROW())&amp;"")),0)))</f>
        <v/>
      </c>
      <c r="J471" s="32">
        <f>IF(B471="","",TRIM(INDEX('Form Responses'!$H:$H,ROW())&amp;""))</f>
        <v/>
      </c>
      <c r="K471" s="32">
        <f>IF(B471="","",TRIM(INDEX('Form Responses'!$I:$I,ROW())&amp;""))</f>
        <v/>
      </c>
      <c r="L471" s="32">
        <f>IF(B471="","",TRIM(INDEX('Form Responses'!$J:$J,ROW())&amp;""))</f>
        <v/>
      </c>
      <c r="M471" s="32">
        <f>IF(B471="","",TRIM(INDEX('Form Responses'!$K:$K,ROW())&amp;""))</f>
        <v/>
      </c>
      <c r="N471" s="32">
        <f>IF(B471="","",IF(E471&lt;&gt;"","P"&amp;E471,"N"&amp;B471))</f>
        <v/>
      </c>
      <c r="O471" s="32">
        <f>IF(N471="",0,IF(COUNTIF(N472:N$602,N471)=0,1,0))</f>
        <v/>
      </c>
      <c r="P471" s="32">
        <f>IF(AND(O471=1,E471&lt;&gt;""),E471,"")</f>
        <v/>
      </c>
      <c r="Q471" s="32">
        <f>IF(O471=1,B471,"")</f>
        <v/>
      </c>
      <c r="R471" s="32">
        <f>IF(O471&lt;&gt;1,"",IF(E471&lt;&gt;"",IFERROR(MATCH(E471,Guests!$S$6:$S$505,0)+5,IFERROR(MATCH(B471,Guests!$A$6:$A$505,0)+5,"")),IFERROR(MATCH(B471,Guests!$A$6:$A$505,0)+5,"")))</f>
        <v/>
      </c>
      <c r="S471" s="32">
        <f>IF(R471="","",TRIM(INDEX(Guests!$E$1:$E$505,R471)&amp;""))</f>
        <v/>
      </c>
      <c r="T471" s="32">
        <f>IF(R471="","",IF(S471="",1,COUNTIF(Guests!$E$6:$E$505,S471)))</f>
        <v/>
      </c>
      <c r="U471" s="32">
        <f>IF(R471="","",IF(S471="",1,IF(COUNTIF(S$1:S470,S471)=0,1,0)))</f>
        <v/>
      </c>
      <c r="V471" s="32">
        <f>IF(AND(R471&lt;&gt;"",G471="Attending",U471=1),MAX(0,H471+I471-T471),0)</f>
        <v/>
      </c>
      <c r="W471" s="32">
        <f>IF(AND(O471=1,R471=""),1,0)</f>
        <v/>
      </c>
      <c r="X471" s="32">
        <f>IF(B471="",0,H471+I471)</f>
        <v/>
      </c>
      <c r="Y471" s="32">
        <f>N(Y470)+O471</f>
        <v/>
      </c>
      <c r="Z471" s="32">
        <f>IF(O471=1,Y471,"")</f>
        <v/>
      </c>
      <c r="AA471" s="32">
        <f>IF(AND(W471=1,G471="Not sure yet"),1,0)</f>
        <v/>
      </c>
      <c r="AB471" s="32">
        <f>N(AB470)+AA471</f>
        <v/>
      </c>
      <c r="AC471" s="32">
        <f>IF(AA471=1,AB471,"")</f>
        <v/>
      </c>
      <c r="AD471" s="32">
        <f>IF(D471="","",IF(LEN(D471)=10,"+1"&amp;D471,IF(AND(LEN(D471)=11,LEFT(D471,1)="1"),"+"&amp;D471,IF(LEFT(C471,1)="+","+"&amp;D471,D471))))</f>
        <v/>
      </c>
      <c r="AE471" s="32">
        <f>IF(B471="","",PROPER(IFERROR(LEFT(B471,FIND(" ",B471)-1),B471)))</f>
        <v/>
      </c>
      <c r="AF471" s="32">
        <f>SUBSTITUTE(SUBSTITUTE(SUBSTITUTE(SUBSTITUTE(SUBSTITUTE(SUBSTITUTE(SUBSTITUTE(SUBSTITUTE(SUBSTITUTE(SUBSTITUTE(AE471,"%","%25"),"&amp;","%26"),"#","%23"),"+","%2B"),"=","%3D"),"?","%3F"),CHAR(34),"%22"),CHAR(10),"%0A"),CHAR(13),"")," ","+")</f>
        <v/>
      </c>
      <c r="AG471" s="32">
        <f>IF(OR(AD471="",AE471=""),"",'Start Here'!$B$20&amp;"#p="&amp;SUBSTITUTE(AD471,"+","%2B")&amp;"&amp;n="&amp;AF471&amp;"&amp;m="&amp;SUBSTITUTE('Start Here'!$B$24,"{name}",AF471))</f>
        <v/>
      </c>
      <c r="AH471" s="32">
        <f>N(AH470)+W471</f>
        <v/>
      </c>
      <c r="AI471" s="32">
        <f>IF(W471=1,AH471,"")</f>
        <v/>
      </c>
    </row>
    <row r="472">
      <c r="A472" s="32">
        <f>IF(INDEX('Form Responses'!$A:$A,ROW())="","",INDEX('Form Responses'!$A:$A,ROW()))</f>
        <v/>
      </c>
      <c r="B472" s="32">
        <f>TRIM(INDEX('Form Responses'!$B:$B,ROW())&amp;"")</f>
        <v/>
      </c>
      <c r="C472" s="32">
        <f>IF(B472="","",TRIM(INDEX('Form Responses'!$C:$C,ROW())&amp;""))</f>
        <v/>
      </c>
      <c r="D472" s="32">
        <f>SUBSTITUTE(SUBSTITUTE(SUBSTITUTE(SUBSTITUTE(SUBSTITUTE(SUBSTITUTE(SUBSTITUTE(SUBSTITUTE(C472," ",""),"-",""),"(",""),")",""),".",""),"+",""),"/",""),CHAR(160),"")</f>
        <v/>
      </c>
      <c r="E472" s="32">
        <f>IF(LEN(D472)&gt;=10,RIGHT(D472,10),D472)</f>
        <v/>
      </c>
      <c r="F472" s="32">
        <f>IF(B472="","",TRIM(INDEX('Form Responses'!$D:$D,ROW())&amp;""))</f>
        <v/>
      </c>
      <c r="G472" s="32">
        <f>IF(B472="","",IF(LEFT(TRIM(INDEX('Form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2" s="32">
        <f>IF(B472="","",MAX(0,IFERROR(INT(--(INDEX('Form Responses'!$F:$F,ROW())&amp;"")),1)))</f>
        <v/>
      </c>
      <c r="I472" s="32">
        <f>IF(B472="","",MAX(0,IFERROR(INT(--(INDEX('Form Responses'!$G:$G,ROW())&amp;"")),0)))</f>
        <v/>
      </c>
      <c r="J472" s="32">
        <f>IF(B472="","",TRIM(INDEX('Form Responses'!$H:$H,ROW())&amp;""))</f>
        <v/>
      </c>
      <c r="K472" s="32">
        <f>IF(B472="","",TRIM(INDEX('Form Responses'!$I:$I,ROW())&amp;""))</f>
        <v/>
      </c>
      <c r="L472" s="32">
        <f>IF(B472="","",TRIM(INDEX('Form Responses'!$J:$J,ROW())&amp;""))</f>
        <v/>
      </c>
      <c r="M472" s="32">
        <f>IF(B472="","",TRIM(INDEX('Form Responses'!$K:$K,ROW())&amp;""))</f>
        <v/>
      </c>
      <c r="N472" s="32">
        <f>IF(B472="","",IF(E472&lt;&gt;"","P"&amp;E472,"N"&amp;B472))</f>
        <v/>
      </c>
      <c r="O472" s="32">
        <f>IF(N472="",0,IF(COUNTIF(N473:N$602,N472)=0,1,0))</f>
        <v/>
      </c>
      <c r="P472" s="32">
        <f>IF(AND(O472=1,E472&lt;&gt;""),E472,"")</f>
        <v/>
      </c>
      <c r="Q472" s="32">
        <f>IF(O472=1,B472,"")</f>
        <v/>
      </c>
      <c r="R472" s="32">
        <f>IF(O472&lt;&gt;1,"",IF(E472&lt;&gt;"",IFERROR(MATCH(E472,Guests!$S$6:$S$505,0)+5,IFERROR(MATCH(B472,Guests!$A$6:$A$505,0)+5,"")),IFERROR(MATCH(B472,Guests!$A$6:$A$505,0)+5,"")))</f>
        <v/>
      </c>
      <c r="S472" s="32">
        <f>IF(R472="","",TRIM(INDEX(Guests!$E$1:$E$505,R472)&amp;""))</f>
        <v/>
      </c>
      <c r="T472" s="32">
        <f>IF(R472="","",IF(S472="",1,COUNTIF(Guests!$E$6:$E$505,S472)))</f>
        <v/>
      </c>
      <c r="U472" s="32">
        <f>IF(R472="","",IF(S472="",1,IF(COUNTIF(S$1:S471,S472)=0,1,0)))</f>
        <v/>
      </c>
      <c r="V472" s="32">
        <f>IF(AND(R472&lt;&gt;"",G472="Attending",U472=1),MAX(0,H472+I472-T472),0)</f>
        <v/>
      </c>
      <c r="W472" s="32">
        <f>IF(AND(O472=1,R472=""),1,0)</f>
        <v/>
      </c>
      <c r="X472" s="32">
        <f>IF(B472="",0,H472+I472)</f>
        <v/>
      </c>
      <c r="Y472" s="32">
        <f>N(Y471)+O472</f>
        <v/>
      </c>
      <c r="Z472" s="32">
        <f>IF(O472=1,Y472,"")</f>
        <v/>
      </c>
      <c r="AA472" s="32">
        <f>IF(AND(W472=1,G472="Not sure yet"),1,0)</f>
        <v/>
      </c>
      <c r="AB472" s="32">
        <f>N(AB471)+AA472</f>
        <v/>
      </c>
      <c r="AC472" s="32">
        <f>IF(AA472=1,AB472,"")</f>
        <v/>
      </c>
      <c r="AD472" s="32">
        <f>IF(D472="","",IF(LEN(D472)=10,"+1"&amp;D472,IF(AND(LEN(D472)=11,LEFT(D472,1)="1"),"+"&amp;D472,IF(LEFT(C472,1)="+","+"&amp;D472,D472))))</f>
        <v/>
      </c>
      <c r="AE472" s="32">
        <f>IF(B472="","",PROPER(IFERROR(LEFT(B472,FIND(" ",B472)-1),B472)))</f>
        <v/>
      </c>
      <c r="AF472" s="32">
        <f>SUBSTITUTE(SUBSTITUTE(SUBSTITUTE(SUBSTITUTE(SUBSTITUTE(SUBSTITUTE(SUBSTITUTE(SUBSTITUTE(SUBSTITUTE(SUBSTITUTE(AE472,"%","%25"),"&amp;","%26"),"#","%23"),"+","%2B"),"=","%3D"),"?","%3F"),CHAR(34),"%22"),CHAR(10),"%0A"),CHAR(13),"")," ","+")</f>
        <v/>
      </c>
      <c r="AG472" s="32">
        <f>IF(OR(AD472="",AE472=""),"",'Start Here'!$B$20&amp;"#p="&amp;SUBSTITUTE(AD472,"+","%2B")&amp;"&amp;n="&amp;AF472&amp;"&amp;m="&amp;SUBSTITUTE('Start Here'!$B$24,"{name}",AF472))</f>
        <v/>
      </c>
      <c r="AH472" s="32">
        <f>N(AH471)+W472</f>
        <v/>
      </c>
      <c r="AI472" s="32">
        <f>IF(W472=1,AH472,"")</f>
        <v/>
      </c>
    </row>
    <row r="473">
      <c r="A473" s="32">
        <f>IF(INDEX('Form Responses'!$A:$A,ROW())="","",INDEX('Form Responses'!$A:$A,ROW()))</f>
        <v/>
      </c>
      <c r="B473" s="32">
        <f>TRIM(INDEX('Form Responses'!$B:$B,ROW())&amp;"")</f>
        <v/>
      </c>
      <c r="C473" s="32">
        <f>IF(B473="","",TRIM(INDEX('Form Responses'!$C:$C,ROW())&amp;""))</f>
        <v/>
      </c>
      <c r="D473" s="32">
        <f>SUBSTITUTE(SUBSTITUTE(SUBSTITUTE(SUBSTITUTE(SUBSTITUTE(SUBSTITUTE(SUBSTITUTE(SUBSTITUTE(C473," ",""),"-",""),"(",""),")",""),".",""),"+",""),"/",""),CHAR(160),"")</f>
        <v/>
      </c>
      <c r="E473" s="32">
        <f>IF(LEN(D473)&gt;=10,RIGHT(D473,10),D473)</f>
        <v/>
      </c>
      <c r="F473" s="32">
        <f>IF(B473="","",TRIM(INDEX('Form Responses'!$D:$D,ROW())&amp;""))</f>
        <v/>
      </c>
      <c r="G473" s="32">
        <f>IF(B473="","",IF(LEFT(TRIM(INDEX('Form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3" s="32">
        <f>IF(B473="","",MAX(0,IFERROR(INT(--(INDEX('Form Responses'!$F:$F,ROW())&amp;"")),1)))</f>
        <v/>
      </c>
      <c r="I473" s="32">
        <f>IF(B473="","",MAX(0,IFERROR(INT(--(INDEX('Form Responses'!$G:$G,ROW())&amp;"")),0)))</f>
        <v/>
      </c>
      <c r="J473" s="32">
        <f>IF(B473="","",TRIM(INDEX('Form Responses'!$H:$H,ROW())&amp;""))</f>
        <v/>
      </c>
      <c r="K473" s="32">
        <f>IF(B473="","",TRIM(INDEX('Form Responses'!$I:$I,ROW())&amp;""))</f>
        <v/>
      </c>
      <c r="L473" s="32">
        <f>IF(B473="","",TRIM(INDEX('Form Responses'!$J:$J,ROW())&amp;""))</f>
        <v/>
      </c>
      <c r="M473" s="32">
        <f>IF(B473="","",TRIM(INDEX('Form Responses'!$K:$K,ROW())&amp;""))</f>
        <v/>
      </c>
      <c r="N473" s="32">
        <f>IF(B473="","",IF(E473&lt;&gt;"","P"&amp;E473,"N"&amp;B473))</f>
        <v/>
      </c>
      <c r="O473" s="32">
        <f>IF(N473="",0,IF(COUNTIF(N474:N$602,N473)=0,1,0))</f>
        <v/>
      </c>
      <c r="P473" s="32">
        <f>IF(AND(O473=1,E473&lt;&gt;""),E473,"")</f>
        <v/>
      </c>
      <c r="Q473" s="32">
        <f>IF(O473=1,B473,"")</f>
        <v/>
      </c>
      <c r="R473" s="32">
        <f>IF(O473&lt;&gt;1,"",IF(E473&lt;&gt;"",IFERROR(MATCH(E473,Guests!$S$6:$S$505,0)+5,IFERROR(MATCH(B473,Guests!$A$6:$A$505,0)+5,"")),IFERROR(MATCH(B473,Guests!$A$6:$A$505,0)+5,"")))</f>
        <v/>
      </c>
      <c r="S473" s="32">
        <f>IF(R473="","",TRIM(INDEX(Guests!$E$1:$E$505,R473)&amp;""))</f>
        <v/>
      </c>
      <c r="T473" s="32">
        <f>IF(R473="","",IF(S473="",1,COUNTIF(Guests!$E$6:$E$505,S473)))</f>
        <v/>
      </c>
      <c r="U473" s="32">
        <f>IF(R473="","",IF(S473="",1,IF(COUNTIF(S$1:S472,S473)=0,1,0)))</f>
        <v/>
      </c>
      <c r="V473" s="32">
        <f>IF(AND(R473&lt;&gt;"",G473="Attending",U473=1),MAX(0,H473+I473-T473),0)</f>
        <v/>
      </c>
      <c r="W473" s="32">
        <f>IF(AND(O473=1,R473=""),1,0)</f>
        <v/>
      </c>
      <c r="X473" s="32">
        <f>IF(B473="",0,H473+I473)</f>
        <v/>
      </c>
      <c r="Y473" s="32">
        <f>N(Y472)+O473</f>
        <v/>
      </c>
      <c r="Z473" s="32">
        <f>IF(O473=1,Y473,"")</f>
        <v/>
      </c>
      <c r="AA473" s="32">
        <f>IF(AND(W473=1,G473="Not sure yet"),1,0)</f>
        <v/>
      </c>
      <c r="AB473" s="32">
        <f>N(AB472)+AA473</f>
        <v/>
      </c>
      <c r="AC473" s="32">
        <f>IF(AA473=1,AB473,"")</f>
        <v/>
      </c>
      <c r="AD473" s="32">
        <f>IF(D473="","",IF(LEN(D473)=10,"+1"&amp;D473,IF(AND(LEN(D473)=11,LEFT(D473,1)="1"),"+"&amp;D473,IF(LEFT(C473,1)="+","+"&amp;D473,D473))))</f>
        <v/>
      </c>
      <c r="AE473" s="32">
        <f>IF(B473="","",PROPER(IFERROR(LEFT(B473,FIND(" ",B473)-1),B473)))</f>
        <v/>
      </c>
      <c r="AF473" s="32">
        <f>SUBSTITUTE(SUBSTITUTE(SUBSTITUTE(SUBSTITUTE(SUBSTITUTE(SUBSTITUTE(SUBSTITUTE(SUBSTITUTE(SUBSTITUTE(SUBSTITUTE(AE473,"%","%25"),"&amp;","%26"),"#","%23"),"+","%2B"),"=","%3D"),"?","%3F"),CHAR(34),"%22"),CHAR(10),"%0A"),CHAR(13),"")," ","+")</f>
        <v/>
      </c>
      <c r="AG473" s="32">
        <f>IF(OR(AD473="",AE473=""),"",'Start Here'!$B$20&amp;"#p="&amp;SUBSTITUTE(AD473,"+","%2B")&amp;"&amp;n="&amp;AF473&amp;"&amp;m="&amp;SUBSTITUTE('Start Here'!$B$24,"{name}",AF473))</f>
        <v/>
      </c>
      <c r="AH473" s="32">
        <f>N(AH472)+W473</f>
        <v/>
      </c>
      <c r="AI473" s="32">
        <f>IF(W473=1,AH473,"")</f>
        <v/>
      </c>
    </row>
    <row r="474">
      <c r="A474" s="32">
        <f>IF(INDEX('Form Responses'!$A:$A,ROW())="","",INDEX('Form Responses'!$A:$A,ROW()))</f>
        <v/>
      </c>
      <c r="B474" s="32">
        <f>TRIM(INDEX('Form Responses'!$B:$B,ROW())&amp;"")</f>
        <v/>
      </c>
      <c r="C474" s="32">
        <f>IF(B474="","",TRIM(INDEX('Form Responses'!$C:$C,ROW())&amp;""))</f>
        <v/>
      </c>
      <c r="D474" s="32">
        <f>SUBSTITUTE(SUBSTITUTE(SUBSTITUTE(SUBSTITUTE(SUBSTITUTE(SUBSTITUTE(SUBSTITUTE(SUBSTITUTE(C474," ",""),"-",""),"(",""),")",""),".",""),"+",""),"/",""),CHAR(160),"")</f>
        <v/>
      </c>
      <c r="E474" s="32">
        <f>IF(LEN(D474)&gt;=10,RIGHT(D474,10),D474)</f>
        <v/>
      </c>
      <c r="F474" s="32">
        <f>IF(B474="","",TRIM(INDEX('Form Responses'!$D:$D,ROW())&amp;""))</f>
        <v/>
      </c>
      <c r="G474" s="32">
        <f>IF(B474="","",IF(LEFT(TRIM(INDEX('Form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4" s="32">
        <f>IF(B474="","",MAX(0,IFERROR(INT(--(INDEX('Form Responses'!$F:$F,ROW())&amp;"")),1)))</f>
        <v/>
      </c>
      <c r="I474" s="32">
        <f>IF(B474="","",MAX(0,IFERROR(INT(--(INDEX('Form Responses'!$G:$G,ROW())&amp;"")),0)))</f>
        <v/>
      </c>
      <c r="J474" s="32">
        <f>IF(B474="","",TRIM(INDEX('Form Responses'!$H:$H,ROW())&amp;""))</f>
        <v/>
      </c>
      <c r="K474" s="32">
        <f>IF(B474="","",TRIM(INDEX('Form Responses'!$I:$I,ROW())&amp;""))</f>
        <v/>
      </c>
      <c r="L474" s="32">
        <f>IF(B474="","",TRIM(INDEX('Form Responses'!$J:$J,ROW())&amp;""))</f>
        <v/>
      </c>
      <c r="M474" s="32">
        <f>IF(B474="","",TRIM(INDEX('Form Responses'!$K:$K,ROW())&amp;""))</f>
        <v/>
      </c>
      <c r="N474" s="32">
        <f>IF(B474="","",IF(E474&lt;&gt;"","P"&amp;E474,"N"&amp;B474))</f>
        <v/>
      </c>
      <c r="O474" s="32">
        <f>IF(N474="",0,IF(COUNTIF(N475:N$602,N474)=0,1,0))</f>
        <v/>
      </c>
      <c r="P474" s="32">
        <f>IF(AND(O474=1,E474&lt;&gt;""),E474,"")</f>
        <v/>
      </c>
      <c r="Q474" s="32">
        <f>IF(O474=1,B474,"")</f>
        <v/>
      </c>
      <c r="R474" s="32">
        <f>IF(O474&lt;&gt;1,"",IF(E474&lt;&gt;"",IFERROR(MATCH(E474,Guests!$S$6:$S$505,0)+5,IFERROR(MATCH(B474,Guests!$A$6:$A$505,0)+5,"")),IFERROR(MATCH(B474,Guests!$A$6:$A$505,0)+5,"")))</f>
        <v/>
      </c>
      <c r="S474" s="32">
        <f>IF(R474="","",TRIM(INDEX(Guests!$E$1:$E$505,R474)&amp;""))</f>
        <v/>
      </c>
      <c r="T474" s="32">
        <f>IF(R474="","",IF(S474="",1,COUNTIF(Guests!$E$6:$E$505,S474)))</f>
        <v/>
      </c>
      <c r="U474" s="32">
        <f>IF(R474="","",IF(S474="",1,IF(COUNTIF(S$1:S473,S474)=0,1,0)))</f>
        <v/>
      </c>
      <c r="V474" s="32">
        <f>IF(AND(R474&lt;&gt;"",G474="Attending",U474=1),MAX(0,H474+I474-T474),0)</f>
        <v/>
      </c>
      <c r="W474" s="32">
        <f>IF(AND(O474=1,R474=""),1,0)</f>
        <v/>
      </c>
      <c r="X474" s="32">
        <f>IF(B474="",0,H474+I474)</f>
        <v/>
      </c>
      <c r="Y474" s="32">
        <f>N(Y473)+O474</f>
        <v/>
      </c>
      <c r="Z474" s="32">
        <f>IF(O474=1,Y474,"")</f>
        <v/>
      </c>
      <c r="AA474" s="32">
        <f>IF(AND(W474=1,G474="Not sure yet"),1,0)</f>
        <v/>
      </c>
      <c r="AB474" s="32">
        <f>N(AB473)+AA474</f>
        <v/>
      </c>
      <c r="AC474" s="32">
        <f>IF(AA474=1,AB474,"")</f>
        <v/>
      </c>
      <c r="AD474" s="32">
        <f>IF(D474="","",IF(LEN(D474)=10,"+1"&amp;D474,IF(AND(LEN(D474)=11,LEFT(D474,1)="1"),"+"&amp;D474,IF(LEFT(C474,1)="+","+"&amp;D474,D474))))</f>
        <v/>
      </c>
      <c r="AE474" s="32">
        <f>IF(B474="","",PROPER(IFERROR(LEFT(B474,FIND(" ",B474)-1),B474)))</f>
        <v/>
      </c>
      <c r="AF474" s="32">
        <f>SUBSTITUTE(SUBSTITUTE(SUBSTITUTE(SUBSTITUTE(SUBSTITUTE(SUBSTITUTE(SUBSTITUTE(SUBSTITUTE(SUBSTITUTE(SUBSTITUTE(AE474,"%","%25"),"&amp;","%26"),"#","%23"),"+","%2B"),"=","%3D"),"?","%3F"),CHAR(34),"%22"),CHAR(10),"%0A"),CHAR(13),"")," ","+")</f>
        <v/>
      </c>
      <c r="AG474" s="32">
        <f>IF(OR(AD474="",AE474=""),"",'Start Here'!$B$20&amp;"#p="&amp;SUBSTITUTE(AD474,"+","%2B")&amp;"&amp;n="&amp;AF474&amp;"&amp;m="&amp;SUBSTITUTE('Start Here'!$B$24,"{name}",AF474))</f>
        <v/>
      </c>
      <c r="AH474" s="32">
        <f>N(AH473)+W474</f>
        <v/>
      </c>
      <c r="AI474" s="32">
        <f>IF(W474=1,AH474,"")</f>
        <v/>
      </c>
    </row>
    <row r="475">
      <c r="A475" s="32">
        <f>IF(INDEX('Form Responses'!$A:$A,ROW())="","",INDEX('Form Responses'!$A:$A,ROW()))</f>
        <v/>
      </c>
      <c r="B475" s="32">
        <f>TRIM(INDEX('Form Responses'!$B:$B,ROW())&amp;"")</f>
        <v/>
      </c>
      <c r="C475" s="32">
        <f>IF(B475="","",TRIM(INDEX('Form Responses'!$C:$C,ROW())&amp;""))</f>
        <v/>
      </c>
      <c r="D475" s="32">
        <f>SUBSTITUTE(SUBSTITUTE(SUBSTITUTE(SUBSTITUTE(SUBSTITUTE(SUBSTITUTE(SUBSTITUTE(SUBSTITUTE(C475," ",""),"-",""),"(",""),")",""),".",""),"+",""),"/",""),CHAR(160),"")</f>
        <v/>
      </c>
      <c r="E475" s="32">
        <f>IF(LEN(D475)&gt;=10,RIGHT(D475,10),D475)</f>
        <v/>
      </c>
      <c r="F475" s="32">
        <f>IF(B475="","",TRIM(INDEX('Form Responses'!$D:$D,ROW())&amp;""))</f>
        <v/>
      </c>
      <c r="G475" s="32">
        <f>IF(B475="","",IF(LEFT(TRIM(INDEX('Form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5" s="32">
        <f>IF(B475="","",MAX(0,IFERROR(INT(--(INDEX('Form Responses'!$F:$F,ROW())&amp;"")),1)))</f>
        <v/>
      </c>
      <c r="I475" s="32">
        <f>IF(B475="","",MAX(0,IFERROR(INT(--(INDEX('Form Responses'!$G:$G,ROW())&amp;"")),0)))</f>
        <v/>
      </c>
      <c r="J475" s="32">
        <f>IF(B475="","",TRIM(INDEX('Form Responses'!$H:$H,ROW())&amp;""))</f>
        <v/>
      </c>
      <c r="K475" s="32">
        <f>IF(B475="","",TRIM(INDEX('Form Responses'!$I:$I,ROW())&amp;""))</f>
        <v/>
      </c>
      <c r="L475" s="32">
        <f>IF(B475="","",TRIM(INDEX('Form Responses'!$J:$J,ROW())&amp;""))</f>
        <v/>
      </c>
      <c r="M475" s="32">
        <f>IF(B475="","",TRIM(INDEX('Form Responses'!$K:$K,ROW())&amp;""))</f>
        <v/>
      </c>
      <c r="N475" s="32">
        <f>IF(B475="","",IF(E475&lt;&gt;"","P"&amp;E475,"N"&amp;B475))</f>
        <v/>
      </c>
      <c r="O475" s="32">
        <f>IF(N475="",0,IF(COUNTIF(N476:N$602,N475)=0,1,0))</f>
        <v/>
      </c>
      <c r="P475" s="32">
        <f>IF(AND(O475=1,E475&lt;&gt;""),E475,"")</f>
        <v/>
      </c>
      <c r="Q475" s="32">
        <f>IF(O475=1,B475,"")</f>
        <v/>
      </c>
      <c r="R475" s="32">
        <f>IF(O475&lt;&gt;1,"",IF(E475&lt;&gt;"",IFERROR(MATCH(E475,Guests!$S$6:$S$505,0)+5,IFERROR(MATCH(B475,Guests!$A$6:$A$505,0)+5,"")),IFERROR(MATCH(B475,Guests!$A$6:$A$505,0)+5,"")))</f>
        <v/>
      </c>
      <c r="S475" s="32">
        <f>IF(R475="","",TRIM(INDEX(Guests!$E$1:$E$505,R475)&amp;""))</f>
        <v/>
      </c>
      <c r="T475" s="32">
        <f>IF(R475="","",IF(S475="",1,COUNTIF(Guests!$E$6:$E$505,S475)))</f>
        <v/>
      </c>
      <c r="U475" s="32">
        <f>IF(R475="","",IF(S475="",1,IF(COUNTIF(S$1:S474,S475)=0,1,0)))</f>
        <v/>
      </c>
      <c r="V475" s="32">
        <f>IF(AND(R475&lt;&gt;"",G475="Attending",U475=1),MAX(0,H475+I475-T475),0)</f>
        <v/>
      </c>
      <c r="W475" s="32">
        <f>IF(AND(O475=1,R475=""),1,0)</f>
        <v/>
      </c>
      <c r="X475" s="32">
        <f>IF(B475="",0,H475+I475)</f>
        <v/>
      </c>
      <c r="Y475" s="32">
        <f>N(Y474)+O475</f>
        <v/>
      </c>
      <c r="Z475" s="32">
        <f>IF(O475=1,Y475,"")</f>
        <v/>
      </c>
      <c r="AA475" s="32">
        <f>IF(AND(W475=1,G475="Not sure yet"),1,0)</f>
        <v/>
      </c>
      <c r="AB475" s="32">
        <f>N(AB474)+AA475</f>
        <v/>
      </c>
      <c r="AC475" s="32">
        <f>IF(AA475=1,AB475,"")</f>
        <v/>
      </c>
      <c r="AD475" s="32">
        <f>IF(D475="","",IF(LEN(D475)=10,"+1"&amp;D475,IF(AND(LEN(D475)=11,LEFT(D475,1)="1"),"+"&amp;D475,IF(LEFT(C475,1)="+","+"&amp;D475,D475))))</f>
        <v/>
      </c>
      <c r="AE475" s="32">
        <f>IF(B475="","",PROPER(IFERROR(LEFT(B475,FIND(" ",B475)-1),B475)))</f>
        <v/>
      </c>
      <c r="AF475" s="32">
        <f>SUBSTITUTE(SUBSTITUTE(SUBSTITUTE(SUBSTITUTE(SUBSTITUTE(SUBSTITUTE(SUBSTITUTE(SUBSTITUTE(SUBSTITUTE(SUBSTITUTE(AE475,"%","%25"),"&amp;","%26"),"#","%23"),"+","%2B"),"=","%3D"),"?","%3F"),CHAR(34),"%22"),CHAR(10),"%0A"),CHAR(13),"")," ","+")</f>
        <v/>
      </c>
      <c r="AG475" s="32">
        <f>IF(OR(AD475="",AE475=""),"",'Start Here'!$B$20&amp;"#p="&amp;SUBSTITUTE(AD475,"+","%2B")&amp;"&amp;n="&amp;AF475&amp;"&amp;m="&amp;SUBSTITUTE('Start Here'!$B$24,"{name}",AF475))</f>
        <v/>
      </c>
      <c r="AH475" s="32">
        <f>N(AH474)+W475</f>
        <v/>
      </c>
      <c r="AI475" s="32">
        <f>IF(W475=1,AH475,"")</f>
        <v/>
      </c>
    </row>
    <row r="476">
      <c r="A476" s="32">
        <f>IF(INDEX('Form Responses'!$A:$A,ROW())="","",INDEX('Form Responses'!$A:$A,ROW()))</f>
        <v/>
      </c>
      <c r="B476" s="32">
        <f>TRIM(INDEX('Form Responses'!$B:$B,ROW())&amp;"")</f>
        <v/>
      </c>
      <c r="C476" s="32">
        <f>IF(B476="","",TRIM(INDEX('Form Responses'!$C:$C,ROW())&amp;""))</f>
        <v/>
      </c>
      <c r="D476" s="32">
        <f>SUBSTITUTE(SUBSTITUTE(SUBSTITUTE(SUBSTITUTE(SUBSTITUTE(SUBSTITUTE(SUBSTITUTE(SUBSTITUTE(C476," ",""),"-",""),"(",""),")",""),".",""),"+",""),"/",""),CHAR(160),"")</f>
        <v/>
      </c>
      <c r="E476" s="32">
        <f>IF(LEN(D476)&gt;=10,RIGHT(D476,10),D476)</f>
        <v/>
      </c>
      <c r="F476" s="32">
        <f>IF(B476="","",TRIM(INDEX('Form Responses'!$D:$D,ROW())&amp;""))</f>
        <v/>
      </c>
      <c r="G476" s="32">
        <f>IF(B476="","",IF(LEFT(TRIM(INDEX('Form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6" s="32">
        <f>IF(B476="","",MAX(0,IFERROR(INT(--(INDEX('Form Responses'!$F:$F,ROW())&amp;"")),1)))</f>
        <v/>
      </c>
      <c r="I476" s="32">
        <f>IF(B476="","",MAX(0,IFERROR(INT(--(INDEX('Form Responses'!$G:$G,ROW())&amp;"")),0)))</f>
        <v/>
      </c>
      <c r="J476" s="32">
        <f>IF(B476="","",TRIM(INDEX('Form Responses'!$H:$H,ROW())&amp;""))</f>
        <v/>
      </c>
      <c r="K476" s="32">
        <f>IF(B476="","",TRIM(INDEX('Form Responses'!$I:$I,ROW())&amp;""))</f>
        <v/>
      </c>
      <c r="L476" s="32">
        <f>IF(B476="","",TRIM(INDEX('Form Responses'!$J:$J,ROW())&amp;""))</f>
        <v/>
      </c>
      <c r="M476" s="32">
        <f>IF(B476="","",TRIM(INDEX('Form Responses'!$K:$K,ROW())&amp;""))</f>
        <v/>
      </c>
      <c r="N476" s="32">
        <f>IF(B476="","",IF(E476&lt;&gt;"","P"&amp;E476,"N"&amp;B476))</f>
        <v/>
      </c>
      <c r="O476" s="32">
        <f>IF(N476="",0,IF(COUNTIF(N477:N$602,N476)=0,1,0))</f>
        <v/>
      </c>
      <c r="P476" s="32">
        <f>IF(AND(O476=1,E476&lt;&gt;""),E476,"")</f>
        <v/>
      </c>
      <c r="Q476" s="32">
        <f>IF(O476=1,B476,"")</f>
        <v/>
      </c>
      <c r="R476" s="32">
        <f>IF(O476&lt;&gt;1,"",IF(E476&lt;&gt;"",IFERROR(MATCH(E476,Guests!$S$6:$S$505,0)+5,IFERROR(MATCH(B476,Guests!$A$6:$A$505,0)+5,"")),IFERROR(MATCH(B476,Guests!$A$6:$A$505,0)+5,"")))</f>
        <v/>
      </c>
      <c r="S476" s="32">
        <f>IF(R476="","",TRIM(INDEX(Guests!$E$1:$E$505,R476)&amp;""))</f>
        <v/>
      </c>
      <c r="T476" s="32">
        <f>IF(R476="","",IF(S476="",1,COUNTIF(Guests!$E$6:$E$505,S476)))</f>
        <v/>
      </c>
      <c r="U476" s="32">
        <f>IF(R476="","",IF(S476="",1,IF(COUNTIF(S$1:S475,S476)=0,1,0)))</f>
        <v/>
      </c>
      <c r="V476" s="32">
        <f>IF(AND(R476&lt;&gt;"",G476="Attending",U476=1),MAX(0,H476+I476-T476),0)</f>
        <v/>
      </c>
      <c r="W476" s="32">
        <f>IF(AND(O476=1,R476=""),1,0)</f>
        <v/>
      </c>
      <c r="X476" s="32">
        <f>IF(B476="",0,H476+I476)</f>
        <v/>
      </c>
      <c r="Y476" s="32">
        <f>N(Y475)+O476</f>
        <v/>
      </c>
      <c r="Z476" s="32">
        <f>IF(O476=1,Y476,"")</f>
        <v/>
      </c>
      <c r="AA476" s="32">
        <f>IF(AND(W476=1,G476="Not sure yet"),1,0)</f>
        <v/>
      </c>
      <c r="AB476" s="32">
        <f>N(AB475)+AA476</f>
        <v/>
      </c>
      <c r="AC476" s="32">
        <f>IF(AA476=1,AB476,"")</f>
        <v/>
      </c>
      <c r="AD476" s="32">
        <f>IF(D476="","",IF(LEN(D476)=10,"+1"&amp;D476,IF(AND(LEN(D476)=11,LEFT(D476,1)="1"),"+"&amp;D476,IF(LEFT(C476,1)="+","+"&amp;D476,D476))))</f>
        <v/>
      </c>
      <c r="AE476" s="32">
        <f>IF(B476="","",PROPER(IFERROR(LEFT(B476,FIND(" ",B476)-1),B476)))</f>
        <v/>
      </c>
      <c r="AF476" s="32">
        <f>SUBSTITUTE(SUBSTITUTE(SUBSTITUTE(SUBSTITUTE(SUBSTITUTE(SUBSTITUTE(SUBSTITUTE(SUBSTITUTE(SUBSTITUTE(SUBSTITUTE(AE476,"%","%25"),"&amp;","%26"),"#","%23"),"+","%2B"),"=","%3D"),"?","%3F"),CHAR(34),"%22"),CHAR(10),"%0A"),CHAR(13),"")," ","+")</f>
        <v/>
      </c>
      <c r="AG476" s="32">
        <f>IF(OR(AD476="",AE476=""),"",'Start Here'!$B$20&amp;"#p="&amp;SUBSTITUTE(AD476,"+","%2B")&amp;"&amp;n="&amp;AF476&amp;"&amp;m="&amp;SUBSTITUTE('Start Here'!$B$24,"{name}",AF476))</f>
        <v/>
      </c>
      <c r="AH476" s="32">
        <f>N(AH475)+W476</f>
        <v/>
      </c>
      <c r="AI476" s="32">
        <f>IF(W476=1,AH476,"")</f>
        <v/>
      </c>
    </row>
    <row r="477">
      <c r="A477" s="32">
        <f>IF(INDEX('Form Responses'!$A:$A,ROW())="","",INDEX('Form Responses'!$A:$A,ROW()))</f>
        <v/>
      </c>
      <c r="B477" s="32">
        <f>TRIM(INDEX('Form Responses'!$B:$B,ROW())&amp;"")</f>
        <v/>
      </c>
      <c r="C477" s="32">
        <f>IF(B477="","",TRIM(INDEX('Form Responses'!$C:$C,ROW())&amp;""))</f>
        <v/>
      </c>
      <c r="D477" s="32">
        <f>SUBSTITUTE(SUBSTITUTE(SUBSTITUTE(SUBSTITUTE(SUBSTITUTE(SUBSTITUTE(SUBSTITUTE(SUBSTITUTE(C477," ",""),"-",""),"(",""),")",""),".",""),"+",""),"/",""),CHAR(160),"")</f>
        <v/>
      </c>
      <c r="E477" s="32">
        <f>IF(LEN(D477)&gt;=10,RIGHT(D477,10),D477)</f>
        <v/>
      </c>
      <c r="F477" s="32">
        <f>IF(B477="","",TRIM(INDEX('Form Responses'!$D:$D,ROW())&amp;""))</f>
        <v/>
      </c>
      <c r="G477" s="32">
        <f>IF(B477="","",IF(LEFT(TRIM(INDEX('Form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7" s="32">
        <f>IF(B477="","",MAX(0,IFERROR(INT(--(INDEX('Form Responses'!$F:$F,ROW())&amp;"")),1)))</f>
        <v/>
      </c>
      <c r="I477" s="32">
        <f>IF(B477="","",MAX(0,IFERROR(INT(--(INDEX('Form Responses'!$G:$G,ROW())&amp;"")),0)))</f>
        <v/>
      </c>
      <c r="J477" s="32">
        <f>IF(B477="","",TRIM(INDEX('Form Responses'!$H:$H,ROW())&amp;""))</f>
        <v/>
      </c>
      <c r="K477" s="32">
        <f>IF(B477="","",TRIM(INDEX('Form Responses'!$I:$I,ROW())&amp;""))</f>
        <v/>
      </c>
      <c r="L477" s="32">
        <f>IF(B477="","",TRIM(INDEX('Form Responses'!$J:$J,ROW())&amp;""))</f>
        <v/>
      </c>
      <c r="M477" s="32">
        <f>IF(B477="","",TRIM(INDEX('Form Responses'!$K:$K,ROW())&amp;""))</f>
        <v/>
      </c>
      <c r="N477" s="32">
        <f>IF(B477="","",IF(E477&lt;&gt;"","P"&amp;E477,"N"&amp;B477))</f>
        <v/>
      </c>
      <c r="O477" s="32">
        <f>IF(N477="",0,IF(COUNTIF(N478:N$602,N477)=0,1,0))</f>
        <v/>
      </c>
      <c r="P477" s="32">
        <f>IF(AND(O477=1,E477&lt;&gt;""),E477,"")</f>
        <v/>
      </c>
      <c r="Q477" s="32">
        <f>IF(O477=1,B477,"")</f>
        <v/>
      </c>
      <c r="R477" s="32">
        <f>IF(O477&lt;&gt;1,"",IF(E477&lt;&gt;"",IFERROR(MATCH(E477,Guests!$S$6:$S$505,0)+5,IFERROR(MATCH(B477,Guests!$A$6:$A$505,0)+5,"")),IFERROR(MATCH(B477,Guests!$A$6:$A$505,0)+5,"")))</f>
        <v/>
      </c>
      <c r="S477" s="32">
        <f>IF(R477="","",TRIM(INDEX(Guests!$E$1:$E$505,R477)&amp;""))</f>
        <v/>
      </c>
      <c r="T477" s="32">
        <f>IF(R477="","",IF(S477="",1,COUNTIF(Guests!$E$6:$E$505,S477)))</f>
        <v/>
      </c>
      <c r="U477" s="32">
        <f>IF(R477="","",IF(S477="",1,IF(COUNTIF(S$1:S476,S477)=0,1,0)))</f>
        <v/>
      </c>
      <c r="V477" s="32">
        <f>IF(AND(R477&lt;&gt;"",G477="Attending",U477=1),MAX(0,H477+I477-T477),0)</f>
        <v/>
      </c>
      <c r="W477" s="32">
        <f>IF(AND(O477=1,R477=""),1,0)</f>
        <v/>
      </c>
      <c r="X477" s="32">
        <f>IF(B477="",0,H477+I477)</f>
        <v/>
      </c>
      <c r="Y477" s="32">
        <f>N(Y476)+O477</f>
        <v/>
      </c>
      <c r="Z477" s="32">
        <f>IF(O477=1,Y477,"")</f>
        <v/>
      </c>
      <c r="AA477" s="32">
        <f>IF(AND(W477=1,G477="Not sure yet"),1,0)</f>
        <v/>
      </c>
      <c r="AB477" s="32">
        <f>N(AB476)+AA477</f>
        <v/>
      </c>
      <c r="AC477" s="32">
        <f>IF(AA477=1,AB477,"")</f>
        <v/>
      </c>
      <c r="AD477" s="32">
        <f>IF(D477="","",IF(LEN(D477)=10,"+1"&amp;D477,IF(AND(LEN(D477)=11,LEFT(D477,1)="1"),"+"&amp;D477,IF(LEFT(C477,1)="+","+"&amp;D477,D477))))</f>
        <v/>
      </c>
      <c r="AE477" s="32">
        <f>IF(B477="","",PROPER(IFERROR(LEFT(B477,FIND(" ",B477)-1),B477)))</f>
        <v/>
      </c>
      <c r="AF477" s="32">
        <f>SUBSTITUTE(SUBSTITUTE(SUBSTITUTE(SUBSTITUTE(SUBSTITUTE(SUBSTITUTE(SUBSTITUTE(SUBSTITUTE(SUBSTITUTE(SUBSTITUTE(AE477,"%","%25"),"&amp;","%26"),"#","%23"),"+","%2B"),"=","%3D"),"?","%3F"),CHAR(34),"%22"),CHAR(10),"%0A"),CHAR(13),"")," ","+")</f>
        <v/>
      </c>
      <c r="AG477" s="32">
        <f>IF(OR(AD477="",AE477=""),"",'Start Here'!$B$20&amp;"#p="&amp;SUBSTITUTE(AD477,"+","%2B")&amp;"&amp;n="&amp;AF477&amp;"&amp;m="&amp;SUBSTITUTE('Start Here'!$B$24,"{name}",AF477))</f>
        <v/>
      </c>
      <c r="AH477" s="32">
        <f>N(AH476)+W477</f>
        <v/>
      </c>
      <c r="AI477" s="32">
        <f>IF(W477=1,AH477,"")</f>
        <v/>
      </c>
    </row>
    <row r="478">
      <c r="A478" s="32">
        <f>IF(INDEX('Form Responses'!$A:$A,ROW())="","",INDEX('Form Responses'!$A:$A,ROW()))</f>
        <v/>
      </c>
      <c r="B478" s="32">
        <f>TRIM(INDEX('Form Responses'!$B:$B,ROW())&amp;"")</f>
        <v/>
      </c>
      <c r="C478" s="32">
        <f>IF(B478="","",TRIM(INDEX('Form Responses'!$C:$C,ROW())&amp;""))</f>
        <v/>
      </c>
      <c r="D478" s="32">
        <f>SUBSTITUTE(SUBSTITUTE(SUBSTITUTE(SUBSTITUTE(SUBSTITUTE(SUBSTITUTE(SUBSTITUTE(SUBSTITUTE(C478," ",""),"-",""),"(",""),")",""),".",""),"+",""),"/",""),CHAR(160),"")</f>
        <v/>
      </c>
      <c r="E478" s="32">
        <f>IF(LEN(D478)&gt;=10,RIGHT(D478,10),D478)</f>
        <v/>
      </c>
      <c r="F478" s="32">
        <f>IF(B478="","",TRIM(INDEX('Form Responses'!$D:$D,ROW())&amp;""))</f>
        <v/>
      </c>
      <c r="G478" s="32">
        <f>IF(B478="","",IF(LEFT(TRIM(INDEX('Form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8" s="32">
        <f>IF(B478="","",MAX(0,IFERROR(INT(--(INDEX('Form Responses'!$F:$F,ROW())&amp;"")),1)))</f>
        <v/>
      </c>
      <c r="I478" s="32">
        <f>IF(B478="","",MAX(0,IFERROR(INT(--(INDEX('Form Responses'!$G:$G,ROW())&amp;"")),0)))</f>
        <v/>
      </c>
      <c r="J478" s="32">
        <f>IF(B478="","",TRIM(INDEX('Form Responses'!$H:$H,ROW())&amp;""))</f>
        <v/>
      </c>
      <c r="K478" s="32">
        <f>IF(B478="","",TRIM(INDEX('Form Responses'!$I:$I,ROW())&amp;""))</f>
        <v/>
      </c>
      <c r="L478" s="32">
        <f>IF(B478="","",TRIM(INDEX('Form Responses'!$J:$J,ROW())&amp;""))</f>
        <v/>
      </c>
      <c r="M478" s="32">
        <f>IF(B478="","",TRIM(INDEX('Form Responses'!$K:$K,ROW())&amp;""))</f>
        <v/>
      </c>
      <c r="N478" s="32">
        <f>IF(B478="","",IF(E478&lt;&gt;"","P"&amp;E478,"N"&amp;B478))</f>
        <v/>
      </c>
      <c r="O478" s="32">
        <f>IF(N478="",0,IF(COUNTIF(N479:N$602,N478)=0,1,0))</f>
        <v/>
      </c>
      <c r="P478" s="32">
        <f>IF(AND(O478=1,E478&lt;&gt;""),E478,"")</f>
        <v/>
      </c>
      <c r="Q478" s="32">
        <f>IF(O478=1,B478,"")</f>
        <v/>
      </c>
      <c r="R478" s="32">
        <f>IF(O478&lt;&gt;1,"",IF(E478&lt;&gt;"",IFERROR(MATCH(E478,Guests!$S$6:$S$505,0)+5,IFERROR(MATCH(B478,Guests!$A$6:$A$505,0)+5,"")),IFERROR(MATCH(B478,Guests!$A$6:$A$505,0)+5,"")))</f>
        <v/>
      </c>
      <c r="S478" s="32">
        <f>IF(R478="","",TRIM(INDEX(Guests!$E$1:$E$505,R478)&amp;""))</f>
        <v/>
      </c>
      <c r="T478" s="32">
        <f>IF(R478="","",IF(S478="",1,COUNTIF(Guests!$E$6:$E$505,S478)))</f>
        <v/>
      </c>
      <c r="U478" s="32">
        <f>IF(R478="","",IF(S478="",1,IF(COUNTIF(S$1:S477,S478)=0,1,0)))</f>
        <v/>
      </c>
      <c r="V478" s="32">
        <f>IF(AND(R478&lt;&gt;"",G478="Attending",U478=1),MAX(0,H478+I478-T478),0)</f>
        <v/>
      </c>
      <c r="W478" s="32">
        <f>IF(AND(O478=1,R478=""),1,0)</f>
        <v/>
      </c>
      <c r="X478" s="32">
        <f>IF(B478="",0,H478+I478)</f>
        <v/>
      </c>
      <c r="Y478" s="32">
        <f>N(Y477)+O478</f>
        <v/>
      </c>
      <c r="Z478" s="32">
        <f>IF(O478=1,Y478,"")</f>
        <v/>
      </c>
      <c r="AA478" s="32">
        <f>IF(AND(W478=1,G478="Not sure yet"),1,0)</f>
        <v/>
      </c>
      <c r="AB478" s="32">
        <f>N(AB477)+AA478</f>
        <v/>
      </c>
      <c r="AC478" s="32">
        <f>IF(AA478=1,AB478,"")</f>
        <v/>
      </c>
      <c r="AD478" s="32">
        <f>IF(D478="","",IF(LEN(D478)=10,"+1"&amp;D478,IF(AND(LEN(D478)=11,LEFT(D478,1)="1"),"+"&amp;D478,IF(LEFT(C478,1)="+","+"&amp;D478,D478))))</f>
        <v/>
      </c>
      <c r="AE478" s="32">
        <f>IF(B478="","",PROPER(IFERROR(LEFT(B478,FIND(" ",B478)-1),B478)))</f>
        <v/>
      </c>
      <c r="AF478" s="32">
        <f>SUBSTITUTE(SUBSTITUTE(SUBSTITUTE(SUBSTITUTE(SUBSTITUTE(SUBSTITUTE(SUBSTITUTE(SUBSTITUTE(SUBSTITUTE(SUBSTITUTE(AE478,"%","%25"),"&amp;","%26"),"#","%23"),"+","%2B"),"=","%3D"),"?","%3F"),CHAR(34),"%22"),CHAR(10),"%0A"),CHAR(13),"")," ","+")</f>
        <v/>
      </c>
      <c r="AG478" s="32">
        <f>IF(OR(AD478="",AE478=""),"",'Start Here'!$B$20&amp;"#p="&amp;SUBSTITUTE(AD478,"+","%2B")&amp;"&amp;n="&amp;AF478&amp;"&amp;m="&amp;SUBSTITUTE('Start Here'!$B$24,"{name}",AF478))</f>
        <v/>
      </c>
      <c r="AH478" s="32">
        <f>N(AH477)+W478</f>
        <v/>
      </c>
      <c r="AI478" s="32">
        <f>IF(W478=1,AH478,"")</f>
        <v/>
      </c>
    </row>
    <row r="479">
      <c r="A479" s="32">
        <f>IF(INDEX('Form Responses'!$A:$A,ROW())="","",INDEX('Form Responses'!$A:$A,ROW()))</f>
        <v/>
      </c>
      <c r="B479" s="32">
        <f>TRIM(INDEX('Form Responses'!$B:$B,ROW())&amp;"")</f>
        <v/>
      </c>
      <c r="C479" s="32">
        <f>IF(B479="","",TRIM(INDEX('Form Responses'!$C:$C,ROW())&amp;""))</f>
        <v/>
      </c>
      <c r="D479" s="32">
        <f>SUBSTITUTE(SUBSTITUTE(SUBSTITUTE(SUBSTITUTE(SUBSTITUTE(SUBSTITUTE(SUBSTITUTE(SUBSTITUTE(C479," ",""),"-",""),"(",""),")",""),".",""),"+",""),"/",""),CHAR(160),"")</f>
        <v/>
      </c>
      <c r="E479" s="32">
        <f>IF(LEN(D479)&gt;=10,RIGHT(D479,10),D479)</f>
        <v/>
      </c>
      <c r="F479" s="32">
        <f>IF(B479="","",TRIM(INDEX('Form Responses'!$D:$D,ROW())&amp;""))</f>
        <v/>
      </c>
      <c r="G479" s="32">
        <f>IF(B479="","",IF(LEFT(TRIM(INDEX('Form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79" s="32">
        <f>IF(B479="","",MAX(0,IFERROR(INT(--(INDEX('Form Responses'!$F:$F,ROW())&amp;"")),1)))</f>
        <v/>
      </c>
      <c r="I479" s="32">
        <f>IF(B479="","",MAX(0,IFERROR(INT(--(INDEX('Form Responses'!$G:$G,ROW())&amp;"")),0)))</f>
        <v/>
      </c>
      <c r="J479" s="32">
        <f>IF(B479="","",TRIM(INDEX('Form Responses'!$H:$H,ROW())&amp;""))</f>
        <v/>
      </c>
      <c r="K479" s="32">
        <f>IF(B479="","",TRIM(INDEX('Form Responses'!$I:$I,ROW())&amp;""))</f>
        <v/>
      </c>
      <c r="L479" s="32">
        <f>IF(B479="","",TRIM(INDEX('Form Responses'!$J:$J,ROW())&amp;""))</f>
        <v/>
      </c>
      <c r="M479" s="32">
        <f>IF(B479="","",TRIM(INDEX('Form Responses'!$K:$K,ROW())&amp;""))</f>
        <v/>
      </c>
      <c r="N479" s="32">
        <f>IF(B479="","",IF(E479&lt;&gt;"","P"&amp;E479,"N"&amp;B479))</f>
        <v/>
      </c>
      <c r="O479" s="32">
        <f>IF(N479="",0,IF(COUNTIF(N480:N$602,N479)=0,1,0))</f>
        <v/>
      </c>
      <c r="P479" s="32">
        <f>IF(AND(O479=1,E479&lt;&gt;""),E479,"")</f>
        <v/>
      </c>
      <c r="Q479" s="32">
        <f>IF(O479=1,B479,"")</f>
        <v/>
      </c>
      <c r="R479" s="32">
        <f>IF(O479&lt;&gt;1,"",IF(E479&lt;&gt;"",IFERROR(MATCH(E479,Guests!$S$6:$S$505,0)+5,IFERROR(MATCH(B479,Guests!$A$6:$A$505,0)+5,"")),IFERROR(MATCH(B479,Guests!$A$6:$A$505,0)+5,"")))</f>
        <v/>
      </c>
      <c r="S479" s="32">
        <f>IF(R479="","",TRIM(INDEX(Guests!$E$1:$E$505,R479)&amp;""))</f>
        <v/>
      </c>
      <c r="T479" s="32">
        <f>IF(R479="","",IF(S479="",1,COUNTIF(Guests!$E$6:$E$505,S479)))</f>
        <v/>
      </c>
      <c r="U479" s="32">
        <f>IF(R479="","",IF(S479="",1,IF(COUNTIF(S$1:S478,S479)=0,1,0)))</f>
        <v/>
      </c>
      <c r="V479" s="32">
        <f>IF(AND(R479&lt;&gt;"",G479="Attending",U479=1),MAX(0,H479+I479-T479),0)</f>
        <v/>
      </c>
      <c r="W479" s="32">
        <f>IF(AND(O479=1,R479=""),1,0)</f>
        <v/>
      </c>
      <c r="X479" s="32">
        <f>IF(B479="",0,H479+I479)</f>
        <v/>
      </c>
      <c r="Y479" s="32">
        <f>N(Y478)+O479</f>
        <v/>
      </c>
      <c r="Z479" s="32">
        <f>IF(O479=1,Y479,"")</f>
        <v/>
      </c>
      <c r="AA479" s="32">
        <f>IF(AND(W479=1,G479="Not sure yet"),1,0)</f>
        <v/>
      </c>
      <c r="AB479" s="32">
        <f>N(AB478)+AA479</f>
        <v/>
      </c>
      <c r="AC479" s="32">
        <f>IF(AA479=1,AB479,"")</f>
        <v/>
      </c>
      <c r="AD479" s="32">
        <f>IF(D479="","",IF(LEN(D479)=10,"+1"&amp;D479,IF(AND(LEN(D479)=11,LEFT(D479,1)="1"),"+"&amp;D479,IF(LEFT(C479,1)="+","+"&amp;D479,D479))))</f>
        <v/>
      </c>
      <c r="AE479" s="32">
        <f>IF(B479="","",PROPER(IFERROR(LEFT(B479,FIND(" ",B479)-1),B479)))</f>
        <v/>
      </c>
      <c r="AF479" s="32">
        <f>SUBSTITUTE(SUBSTITUTE(SUBSTITUTE(SUBSTITUTE(SUBSTITUTE(SUBSTITUTE(SUBSTITUTE(SUBSTITUTE(SUBSTITUTE(SUBSTITUTE(AE479,"%","%25"),"&amp;","%26"),"#","%23"),"+","%2B"),"=","%3D"),"?","%3F"),CHAR(34),"%22"),CHAR(10),"%0A"),CHAR(13),"")," ","+")</f>
        <v/>
      </c>
      <c r="AG479" s="32">
        <f>IF(OR(AD479="",AE479=""),"",'Start Here'!$B$20&amp;"#p="&amp;SUBSTITUTE(AD479,"+","%2B")&amp;"&amp;n="&amp;AF479&amp;"&amp;m="&amp;SUBSTITUTE('Start Here'!$B$24,"{name}",AF479))</f>
        <v/>
      </c>
      <c r="AH479" s="32">
        <f>N(AH478)+W479</f>
        <v/>
      </c>
      <c r="AI479" s="32">
        <f>IF(W479=1,AH479,"")</f>
        <v/>
      </c>
    </row>
    <row r="480">
      <c r="A480" s="32">
        <f>IF(INDEX('Form Responses'!$A:$A,ROW())="","",INDEX('Form Responses'!$A:$A,ROW()))</f>
        <v/>
      </c>
      <c r="B480" s="32">
        <f>TRIM(INDEX('Form Responses'!$B:$B,ROW())&amp;"")</f>
        <v/>
      </c>
      <c r="C480" s="32">
        <f>IF(B480="","",TRIM(INDEX('Form Responses'!$C:$C,ROW())&amp;""))</f>
        <v/>
      </c>
      <c r="D480" s="32">
        <f>SUBSTITUTE(SUBSTITUTE(SUBSTITUTE(SUBSTITUTE(SUBSTITUTE(SUBSTITUTE(SUBSTITUTE(SUBSTITUTE(C480," ",""),"-",""),"(",""),")",""),".",""),"+",""),"/",""),CHAR(160),"")</f>
        <v/>
      </c>
      <c r="E480" s="32">
        <f>IF(LEN(D480)&gt;=10,RIGHT(D480,10),D480)</f>
        <v/>
      </c>
      <c r="F480" s="32">
        <f>IF(B480="","",TRIM(INDEX('Form Responses'!$D:$D,ROW())&amp;""))</f>
        <v/>
      </c>
      <c r="G480" s="32">
        <f>IF(B480="","",IF(LEFT(TRIM(INDEX('Form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0" s="32">
        <f>IF(B480="","",MAX(0,IFERROR(INT(--(INDEX('Form Responses'!$F:$F,ROW())&amp;"")),1)))</f>
        <v/>
      </c>
      <c r="I480" s="32">
        <f>IF(B480="","",MAX(0,IFERROR(INT(--(INDEX('Form Responses'!$G:$G,ROW())&amp;"")),0)))</f>
        <v/>
      </c>
      <c r="J480" s="32">
        <f>IF(B480="","",TRIM(INDEX('Form Responses'!$H:$H,ROW())&amp;""))</f>
        <v/>
      </c>
      <c r="K480" s="32">
        <f>IF(B480="","",TRIM(INDEX('Form Responses'!$I:$I,ROW())&amp;""))</f>
        <v/>
      </c>
      <c r="L480" s="32">
        <f>IF(B480="","",TRIM(INDEX('Form Responses'!$J:$J,ROW())&amp;""))</f>
        <v/>
      </c>
      <c r="M480" s="32">
        <f>IF(B480="","",TRIM(INDEX('Form Responses'!$K:$K,ROW())&amp;""))</f>
        <v/>
      </c>
      <c r="N480" s="32">
        <f>IF(B480="","",IF(E480&lt;&gt;"","P"&amp;E480,"N"&amp;B480))</f>
        <v/>
      </c>
      <c r="O480" s="32">
        <f>IF(N480="",0,IF(COUNTIF(N481:N$602,N480)=0,1,0))</f>
        <v/>
      </c>
      <c r="P480" s="32">
        <f>IF(AND(O480=1,E480&lt;&gt;""),E480,"")</f>
        <v/>
      </c>
      <c r="Q480" s="32">
        <f>IF(O480=1,B480,"")</f>
        <v/>
      </c>
      <c r="R480" s="32">
        <f>IF(O480&lt;&gt;1,"",IF(E480&lt;&gt;"",IFERROR(MATCH(E480,Guests!$S$6:$S$505,0)+5,IFERROR(MATCH(B480,Guests!$A$6:$A$505,0)+5,"")),IFERROR(MATCH(B480,Guests!$A$6:$A$505,0)+5,"")))</f>
        <v/>
      </c>
      <c r="S480" s="32">
        <f>IF(R480="","",TRIM(INDEX(Guests!$E$1:$E$505,R480)&amp;""))</f>
        <v/>
      </c>
      <c r="T480" s="32">
        <f>IF(R480="","",IF(S480="",1,COUNTIF(Guests!$E$6:$E$505,S480)))</f>
        <v/>
      </c>
      <c r="U480" s="32">
        <f>IF(R480="","",IF(S480="",1,IF(COUNTIF(S$1:S479,S480)=0,1,0)))</f>
        <v/>
      </c>
      <c r="V480" s="32">
        <f>IF(AND(R480&lt;&gt;"",G480="Attending",U480=1),MAX(0,H480+I480-T480),0)</f>
        <v/>
      </c>
      <c r="W480" s="32">
        <f>IF(AND(O480=1,R480=""),1,0)</f>
        <v/>
      </c>
      <c r="X480" s="32">
        <f>IF(B480="",0,H480+I480)</f>
        <v/>
      </c>
      <c r="Y480" s="32">
        <f>N(Y479)+O480</f>
        <v/>
      </c>
      <c r="Z480" s="32">
        <f>IF(O480=1,Y480,"")</f>
        <v/>
      </c>
      <c r="AA480" s="32">
        <f>IF(AND(W480=1,G480="Not sure yet"),1,0)</f>
        <v/>
      </c>
      <c r="AB480" s="32">
        <f>N(AB479)+AA480</f>
        <v/>
      </c>
      <c r="AC480" s="32">
        <f>IF(AA480=1,AB480,"")</f>
        <v/>
      </c>
      <c r="AD480" s="32">
        <f>IF(D480="","",IF(LEN(D480)=10,"+1"&amp;D480,IF(AND(LEN(D480)=11,LEFT(D480,1)="1"),"+"&amp;D480,IF(LEFT(C480,1)="+","+"&amp;D480,D480))))</f>
        <v/>
      </c>
      <c r="AE480" s="32">
        <f>IF(B480="","",PROPER(IFERROR(LEFT(B480,FIND(" ",B480)-1),B480)))</f>
        <v/>
      </c>
      <c r="AF480" s="32">
        <f>SUBSTITUTE(SUBSTITUTE(SUBSTITUTE(SUBSTITUTE(SUBSTITUTE(SUBSTITUTE(SUBSTITUTE(SUBSTITUTE(SUBSTITUTE(SUBSTITUTE(AE480,"%","%25"),"&amp;","%26"),"#","%23"),"+","%2B"),"=","%3D"),"?","%3F"),CHAR(34),"%22"),CHAR(10),"%0A"),CHAR(13),"")," ","+")</f>
        <v/>
      </c>
      <c r="AG480" s="32">
        <f>IF(OR(AD480="",AE480=""),"",'Start Here'!$B$20&amp;"#p="&amp;SUBSTITUTE(AD480,"+","%2B")&amp;"&amp;n="&amp;AF480&amp;"&amp;m="&amp;SUBSTITUTE('Start Here'!$B$24,"{name}",AF480))</f>
        <v/>
      </c>
      <c r="AH480" s="32">
        <f>N(AH479)+W480</f>
        <v/>
      </c>
      <c r="AI480" s="32">
        <f>IF(W480=1,AH480,"")</f>
        <v/>
      </c>
    </row>
    <row r="481">
      <c r="A481" s="32">
        <f>IF(INDEX('Form Responses'!$A:$A,ROW())="","",INDEX('Form Responses'!$A:$A,ROW()))</f>
        <v/>
      </c>
      <c r="B481" s="32">
        <f>TRIM(INDEX('Form Responses'!$B:$B,ROW())&amp;"")</f>
        <v/>
      </c>
      <c r="C481" s="32">
        <f>IF(B481="","",TRIM(INDEX('Form Responses'!$C:$C,ROW())&amp;""))</f>
        <v/>
      </c>
      <c r="D481" s="32">
        <f>SUBSTITUTE(SUBSTITUTE(SUBSTITUTE(SUBSTITUTE(SUBSTITUTE(SUBSTITUTE(SUBSTITUTE(SUBSTITUTE(C481," ",""),"-",""),"(",""),")",""),".",""),"+",""),"/",""),CHAR(160),"")</f>
        <v/>
      </c>
      <c r="E481" s="32">
        <f>IF(LEN(D481)&gt;=10,RIGHT(D481,10),D481)</f>
        <v/>
      </c>
      <c r="F481" s="32">
        <f>IF(B481="","",TRIM(INDEX('Form Responses'!$D:$D,ROW())&amp;""))</f>
        <v/>
      </c>
      <c r="G481" s="32">
        <f>IF(B481="","",IF(LEFT(TRIM(INDEX('Form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1" s="32">
        <f>IF(B481="","",MAX(0,IFERROR(INT(--(INDEX('Form Responses'!$F:$F,ROW())&amp;"")),1)))</f>
        <v/>
      </c>
      <c r="I481" s="32">
        <f>IF(B481="","",MAX(0,IFERROR(INT(--(INDEX('Form Responses'!$G:$G,ROW())&amp;"")),0)))</f>
        <v/>
      </c>
      <c r="J481" s="32">
        <f>IF(B481="","",TRIM(INDEX('Form Responses'!$H:$H,ROW())&amp;""))</f>
        <v/>
      </c>
      <c r="K481" s="32">
        <f>IF(B481="","",TRIM(INDEX('Form Responses'!$I:$I,ROW())&amp;""))</f>
        <v/>
      </c>
      <c r="L481" s="32">
        <f>IF(B481="","",TRIM(INDEX('Form Responses'!$J:$J,ROW())&amp;""))</f>
        <v/>
      </c>
      <c r="M481" s="32">
        <f>IF(B481="","",TRIM(INDEX('Form Responses'!$K:$K,ROW())&amp;""))</f>
        <v/>
      </c>
      <c r="N481" s="32">
        <f>IF(B481="","",IF(E481&lt;&gt;"","P"&amp;E481,"N"&amp;B481))</f>
        <v/>
      </c>
      <c r="O481" s="32">
        <f>IF(N481="",0,IF(COUNTIF(N482:N$602,N481)=0,1,0))</f>
        <v/>
      </c>
      <c r="P481" s="32">
        <f>IF(AND(O481=1,E481&lt;&gt;""),E481,"")</f>
        <v/>
      </c>
      <c r="Q481" s="32">
        <f>IF(O481=1,B481,"")</f>
        <v/>
      </c>
      <c r="R481" s="32">
        <f>IF(O481&lt;&gt;1,"",IF(E481&lt;&gt;"",IFERROR(MATCH(E481,Guests!$S$6:$S$505,0)+5,IFERROR(MATCH(B481,Guests!$A$6:$A$505,0)+5,"")),IFERROR(MATCH(B481,Guests!$A$6:$A$505,0)+5,"")))</f>
        <v/>
      </c>
      <c r="S481" s="32">
        <f>IF(R481="","",TRIM(INDEX(Guests!$E$1:$E$505,R481)&amp;""))</f>
        <v/>
      </c>
      <c r="T481" s="32">
        <f>IF(R481="","",IF(S481="",1,COUNTIF(Guests!$E$6:$E$505,S481)))</f>
        <v/>
      </c>
      <c r="U481" s="32">
        <f>IF(R481="","",IF(S481="",1,IF(COUNTIF(S$1:S480,S481)=0,1,0)))</f>
        <v/>
      </c>
      <c r="V481" s="32">
        <f>IF(AND(R481&lt;&gt;"",G481="Attending",U481=1),MAX(0,H481+I481-T481),0)</f>
        <v/>
      </c>
      <c r="W481" s="32">
        <f>IF(AND(O481=1,R481=""),1,0)</f>
        <v/>
      </c>
      <c r="X481" s="32">
        <f>IF(B481="",0,H481+I481)</f>
        <v/>
      </c>
      <c r="Y481" s="32">
        <f>N(Y480)+O481</f>
        <v/>
      </c>
      <c r="Z481" s="32">
        <f>IF(O481=1,Y481,"")</f>
        <v/>
      </c>
      <c r="AA481" s="32">
        <f>IF(AND(W481=1,G481="Not sure yet"),1,0)</f>
        <v/>
      </c>
      <c r="AB481" s="32">
        <f>N(AB480)+AA481</f>
        <v/>
      </c>
      <c r="AC481" s="32">
        <f>IF(AA481=1,AB481,"")</f>
        <v/>
      </c>
      <c r="AD481" s="32">
        <f>IF(D481="","",IF(LEN(D481)=10,"+1"&amp;D481,IF(AND(LEN(D481)=11,LEFT(D481,1)="1"),"+"&amp;D481,IF(LEFT(C481,1)="+","+"&amp;D481,D481))))</f>
        <v/>
      </c>
      <c r="AE481" s="32">
        <f>IF(B481="","",PROPER(IFERROR(LEFT(B481,FIND(" ",B481)-1),B481)))</f>
        <v/>
      </c>
      <c r="AF481" s="32">
        <f>SUBSTITUTE(SUBSTITUTE(SUBSTITUTE(SUBSTITUTE(SUBSTITUTE(SUBSTITUTE(SUBSTITUTE(SUBSTITUTE(SUBSTITUTE(SUBSTITUTE(AE481,"%","%25"),"&amp;","%26"),"#","%23"),"+","%2B"),"=","%3D"),"?","%3F"),CHAR(34),"%22"),CHAR(10),"%0A"),CHAR(13),"")," ","+")</f>
        <v/>
      </c>
      <c r="AG481" s="32">
        <f>IF(OR(AD481="",AE481=""),"",'Start Here'!$B$20&amp;"#p="&amp;SUBSTITUTE(AD481,"+","%2B")&amp;"&amp;n="&amp;AF481&amp;"&amp;m="&amp;SUBSTITUTE('Start Here'!$B$24,"{name}",AF481))</f>
        <v/>
      </c>
      <c r="AH481" s="32">
        <f>N(AH480)+W481</f>
        <v/>
      </c>
      <c r="AI481" s="32">
        <f>IF(W481=1,AH481,"")</f>
        <v/>
      </c>
    </row>
    <row r="482">
      <c r="A482" s="32">
        <f>IF(INDEX('Form Responses'!$A:$A,ROW())="","",INDEX('Form Responses'!$A:$A,ROW()))</f>
        <v/>
      </c>
      <c r="B482" s="32">
        <f>TRIM(INDEX('Form Responses'!$B:$B,ROW())&amp;"")</f>
        <v/>
      </c>
      <c r="C482" s="32">
        <f>IF(B482="","",TRIM(INDEX('Form Responses'!$C:$C,ROW())&amp;""))</f>
        <v/>
      </c>
      <c r="D482" s="32">
        <f>SUBSTITUTE(SUBSTITUTE(SUBSTITUTE(SUBSTITUTE(SUBSTITUTE(SUBSTITUTE(SUBSTITUTE(SUBSTITUTE(C482," ",""),"-",""),"(",""),")",""),".",""),"+",""),"/",""),CHAR(160),"")</f>
        <v/>
      </c>
      <c r="E482" s="32">
        <f>IF(LEN(D482)&gt;=10,RIGHT(D482,10),D482)</f>
        <v/>
      </c>
      <c r="F482" s="32">
        <f>IF(B482="","",TRIM(INDEX('Form Responses'!$D:$D,ROW())&amp;""))</f>
        <v/>
      </c>
      <c r="G482" s="32">
        <f>IF(B482="","",IF(LEFT(TRIM(INDEX('Form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2" s="32">
        <f>IF(B482="","",MAX(0,IFERROR(INT(--(INDEX('Form Responses'!$F:$F,ROW())&amp;"")),1)))</f>
        <v/>
      </c>
      <c r="I482" s="32">
        <f>IF(B482="","",MAX(0,IFERROR(INT(--(INDEX('Form Responses'!$G:$G,ROW())&amp;"")),0)))</f>
        <v/>
      </c>
      <c r="J482" s="32">
        <f>IF(B482="","",TRIM(INDEX('Form Responses'!$H:$H,ROW())&amp;""))</f>
        <v/>
      </c>
      <c r="K482" s="32">
        <f>IF(B482="","",TRIM(INDEX('Form Responses'!$I:$I,ROW())&amp;""))</f>
        <v/>
      </c>
      <c r="L482" s="32">
        <f>IF(B482="","",TRIM(INDEX('Form Responses'!$J:$J,ROW())&amp;""))</f>
        <v/>
      </c>
      <c r="M482" s="32">
        <f>IF(B482="","",TRIM(INDEX('Form Responses'!$K:$K,ROW())&amp;""))</f>
        <v/>
      </c>
      <c r="N482" s="32">
        <f>IF(B482="","",IF(E482&lt;&gt;"","P"&amp;E482,"N"&amp;B482))</f>
        <v/>
      </c>
      <c r="O482" s="32">
        <f>IF(N482="",0,IF(COUNTIF(N483:N$602,N482)=0,1,0))</f>
        <v/>
      </c>
      <c r="P482" s="32">
        <f>IF(AND(O482=1,E482&lt;&gt;""),E482,"")</f>
        <v/>
      </c>
      <c r="Q482" s="32">
        <f>IF(O482=1,B482,"")</f>
        <v/>
      </c>
      <c r="R482" s="32">
        <f>IF(O482&lt;&gt;1,"",IF(E482&lt;&gt;"",IFERROR(MATCH(E482,Guests!$S$6:$S$505,0)+5,IFERROR(MATCH(B482,Guests!$A$6:$A$505,0)+5,"")),IFERROR(MATCH(B482,Guests!$A$6:$A$505,0)+5,"")))</f>
        <v/>
      </c>
      <c r="S482" s="32">
        <f>IF(R482="","",TRIM(INDEX(Guests!$E$1:$E$505,R482)&amp;""))</f>
        <v/>
      </c>
      <c r="T482" s="32">
        <f>IF(R482="","",IF(S482="",1,COUNTIF(Guests!$E$6:$E$505,S482)))</f>
        <v/>
      </c>
      <c r="U482" s="32">
        <f>IF(R482="","",IF(S482="",1,IF(COUNTIF(S$1:S481,S482)=0,1,0)))</f>
        <v/>
      </c>
      <c r="V482" s="32">
        <f>IF(AND(R482&lt;&gt;"",G482="Attending",U482=1),MAX(0,H482+I482-T482),0)</f>
        <v/>
      </c>
      <c r="W482" s="32">
        <f>IF(AND(O482=1,R482=""),1,0)</f>
        <v/>
      </c>
      <c r="X482" s="32">
        <f>IF(B482="",0,H482+I482)</f>
        <v/>
      </c>
      <c r="Y482" s="32">
        <f>N(Y481)+O482</f>
        <v/>
      </c>
      <c r="Z482" s="32">
        <f>IF(O482=1,Y482,"")</f>
        <v/>
      </c>
      <c r="AA482" s="32">
        <f>IF(AND(W482=1,G482="Not sure yet"),1,0)</f>
        <v/>
      </c>
      <c r="AB482" s="32">
        <f>N(AB481)+AA482</f>
        <v/>
      </c>
      <c r="AC482" s="32">
        <f>IF(AA482=1,AB482,"")</f>
        <v/>
      </c>
      <c r="AD482" s="32">
        <f>IF(D482="","",IF(LEN(D482)=10,"+1"&amp;D482,IF(AND(LEN(D482)=11,LEFT(D482,1)="1"),"+"&amp;D482,IF(LEFT(C482,1)="+","+"&amp;D482,D482))))</f>
        <v/>
      </c>
      <c r="AE482" s="32">
        <f>IF(B482="","",PROPER(IFERROR(LEFT(B482,FIND(" ",B482)-1),B482)))</f>
        <v/>
      </c>
      <c r="AF482" s="32">
        <f>SUBSTITUTE(SUBSTITUTE(SUBSTITUTE(SUBSTITUTE(SUBSTITUTE(SUBSTITUTE(SUBSTITUTE(SUBSTITUTE(SUBSTITUTE(SUBSTITUTE(AE482,"%","%25"),"&amp;","%26"),"#","%23"),"+","%2B"),"=","%3D"),"?","%3F"),CHAR(34),"%22"),CHAR(10),"%0A"),CHAR(13),"")," ","+")</f>
        <v/>
      </c>
      <c r="AG482" s="32">
        <f>IF(OR(AD482="",AE482=""),"",'Start Here'!$B$20&amp;"#p="&amp;SUBSTITUTE(AD482,"+","%2B")&amp;"&amp;n="&amp;AF482&amp;"&amp;m="&amp;SUBSTITUTE('Start Here'!$B$24,"{name}",AF482))</f>
        <v/>
      </c>
      <c r="AH482" s="32">
        <f>N(AH481)+W482</f>
        <v/>
      </c>
      <c r="AI482" s="32">
        <f>IF(W482=1,AH482,"")</f>
        <v/>
      </c>
    </row>
    <row r="483">
      <c r="A483" s="32">
        <f>IF(INDEX('Form Responses'!$A:$A,ROW())="","",INDEX('Form Responses'!$A:$A,ROW()))</f>
        <v/>
      </c>
      <c r="B483" s="32">
        <f>TRIM(INDEX('Form Responses'!$B:$B,ROW())&amp;"")</f>
        <v/>
      </c>
      <c r="C483" s="32">
        <f>IF(B483="","",TRIM(INDEX('Form Responses'!$C:$C,ROW())&amp;""))</f>
        <v/>
      </c>
      <c r="D483" s="32">
        <f>SUBSTITUTE(SUBSTITUTE(SUBSTITUTE(SUBSTITUTE(SUBSTITUTE(SUBSTITUTE(SUBSTITUTE(SUBSTITUTE(C483," ",""),"-",""),"(",""),")",""),".",""),"+",""),"/",""),CHAR(160),"")</f>
        <v/>
      </c>
      <c r="E483" s="32">
        <f>IF(LEN(D483)&gt;=10,RIGHT(D483,10),D483)</f>
        <v/>
      </c>
      <c r="F483" s="32">
        <f>IF(B483="","",TRIM(INDEX('Form Responses'!$D:$D,ROW())&amp;""))</f>
        <v/>
      </c>
      <c r="G483" s="32">
        <f>IF(B483="","",IF(LEFT(TRIM(INDEX('Form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3" s="32">
        <f>IF(B483="","",MAX(0,IFERROR(INT(--(INDEX('Form Responses'!$F:$F,ROW())&amp;"")),1)))</f>
        <v/>
      </c>
      <c r="I483" s="32">
        <f>IF(B483="","",MAX(0,IFERROR(INT(--(INDEX('Form Responses'!$G:$G,ROW())&amp;"")),0)))</f>
        <v/>
      </c>
      <c r="J483" s="32">
        <f>IF(B483="","",TRIM(INDEX('Form Responses'!$H:$H,ROW())&amp;""))</f>
        <v/>
      </c>
      <c r="K483" s="32">
        <f>IF(B483="","",TRIM(INDEX('Form Responses'!$I:$I,ROW())&amp;""))</f>
        <v/>
      </c>
      <c r="L483" s="32">
        <f>IF(B483="","",TRIM(INDEX('Form Responses'!$J:$J,ROW())&amp;""))</f>
        <v/>
      </c>
      <c r="M483" s="32">
        <f>IF(B483="","",TRIM(INDEX('Form Responses'!$K:$K,ROW())&amp;""))</f>
        <v/>
      </c>
      <c r="N483" s="32">
        <f>IF(B483="","",IF(E483&lt;&gt;"","P"&amp;E483,"N"&amp;B483))</f>
        <v/>
      </c>
      <c r="O483" s="32">
        <f>IF(N483="",0,IF(COUNTIF(N484:N$602,N483)=0,1,0))</f>
        <v/>
      </c>
      <c r="P483" s="32">
        <f>IF(AND(O483=1,E483&lt;&gt;""),E483,"")</f>
        <v/>
      </c>
      <c r="Q483" s="32">
        <f>IF(O483=1,B483,"")</f>
        <v/>
      </c>
      <c r="R483" s="32">
        <f>IF(O483&lt;&gt;1,"",IF(E483&lt;&gt;"",IFERROR(MATCH(E483,Guests!$S$6:$S$505,0)+5,IFERROR(MATCH(B483,Guests!$A$6:$A$505,0)+5,"")),IFERROR(MATCH(B483,Guests!$A$6:$A$505,0)+5,"")))</f>
        <v/>
      </c>
      <c r="S483" s="32">
        <f>IF(R483="","",TRIM(INDEX(Guests!$E$1:$E$505,R483)&amp;""))</f>
        <v/>
      </c>
      <c r="T483" s="32">
        <f>IF(R483="","",IF(S483="",1,COUNTIF(Guests!$E$6:$E$505,S483)))</f>
        <v/>
      </c>
      <c r="U483" s="32">
        <f>IF(R483="","",IF(S483="",1,IF(COUNTIF(S$1:S482,S483)=0,1,0)))</f>
        <v/>
      </c>
      <c r="V483" s="32">
        <f>IF(AND(R483&lt;&gt;"",G483="Attending",U483=1),MAX(0,H483+I483-T483),0)</f>
        <v/>
      </c>
      <c r="W483" s="32">
        <f>IF(AND(O483=1,R483=""),1,0)</f>
        <v/>
      </c>
      <c r="X483" s="32">
        <f>IF(B483="",0,H483+I483)</f>
        <v/>
      </c>
      <c r="Y483" s="32">
        <f>N(Y482)+O483</f>
        <v/>
      </c>
      <c r="Z483" s="32">
        <f>IF(O483=1,Y483,"")</f>
        <v/>
      </c>
      <c r="AA483" s="32">
        <f>IF(AND(W483=1,G483="Not sure yet"),1,0)</f>
        <v/>
      </c>
      <c r="AB483" s="32">
        <f>N(AB482)+AA483</f>
        <v/>
      </c>
      <c r="AC483" s="32">
        <f>IF(AA483=1,AB483,"")</f>
        <v/>
      </c>
      <c r="AD483" s="32">
        <f>IF(D483="","",IF(LEN(D483)=10,"+1"&amp;D483,IF(AND(LEN(D483)=11,LEFT(D483,1)="1"),"+"&amp;D483,IF(LEFT(C483,1)="+","+"&amp;D483,D483))))</f>
        <v/>
      </c>
      <c r="AE483" s="32">
        <f>IF(B483="","",PROPER(IFERROR(LEFT(B483,FIND(" ",B483)-1),B483)))</f>
        <v/>
      </c>
      <c r="AF483" s="32">
        <f>SUBSTITUTE(SUBSTITUTE(SUBSTITUTE(SUBSTITUTE(SUBSTITUTE(SUBSTITUTE(SUBSTITUTE(SUBSTITUTE(SUBSTITUTE(SUBSTITUTE(AE483,"%","%25"),"&amp;","%26"),"#","%23"),"+","%2B"),"=","%3D"),"?","%3F"),CHAR(34),"%22"),CHAR(10),"%0A"),CHAR(13),"")," ","+")</f>
        <v/>
      </c>
      <c r="AG483" s="32">
        <f>IF(OR(AD483="",AE483=""),"",'Start Here'!$B$20&amp;"#p="&amp;SUBSTITUTE(AD483,"+","%2B")&amp;"&amp;n="&amp;AF483&amp;"&amp;m="&amp;SUBSTITUTE('Start Here'!$B$24,"{name}",AF483))</f>
        <v/>
      </c>
      <c r="AH483" s="32">
        <f>N(AH482)+W483</f>
        <v/>
      </c>
      <c r="AI483" s="32">
        <f>IF(W483=1,AH483,"")</f>
        <v/>
      </c>
    </row>
    <row r="484">
      <c r="A484" s="32">
        <f>IF(INDEX('Form Responses'!$A:$A,ROW())="","",INDEX('Form Responses'!$A:$A,ROW()))</f>
        <v/>
      </c>
      <c r="B484" s="32">
        <f>TRIM(INDEX('Form Responses'!$B:$B,ROW())&amp;"")</f>
        <v/>
      </c>
      <c r="C484" s="32">
        <f>IF(B484="","",TRIM(INDEX('Form Responses'!$C:$C,ROW())&amp;""))</f>
        <v/>
      </c>
      <c r="D484" s="32">
        <f>SUBSTITUTE(SUBSTITUTE(SUBSTITUTE(SUBSTITUTE(SUBSTITUTE(SUBSTITUTE(SUBSTITUTE(SUBSTITUTE(C484," ",""),"-",""),"(",""),")",""),".",""),"+",""),"/",""),CHAR(160),"")</f>
        <v/>
      </c>
      <c r="E484" s="32">
        <f>IF(LEN(D484)&gt;=10,RIGHT(D484,10),D484)</f>
        <v/>
      </c>
      <c r="F484" s="32">
        <f>IF(B484="","",TRIM(INDEX('Form Responses'!$D:$D,ROW())&amp;""))</f>
        <v/>
      </c>
      <c r="G484" s="32">
        <f>IF(B484="","",IF(LEFT(TRIM(INDEX('Form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4" s="32">
        <f>IF(B484="","",MAX(0,IFERROR(INT(--(INDEX('Form Responses'!$F:$F,ROW())&amp;"")),1)))</f>
        <v/>
      </c>
      <c r="I484" s="32">
        <f>IF(B484="","",MAX(0,IFERROR(INT(--(INDEX('Form Responses'!$G:$G,ROW())&amp;"")),0)))</f>
        <v/>
      </c>
      <c r="J484" s="32">
        <f>IF(B484="","",TRIM(INDEX('Form Responses'!$H:$H,ROW())&amp;""))</f>
        <v/>
      </c>
      <c r="K484" s="32">
        <f>IF(B484="","",TRIM(INDEX('Form Responses'!$I:$I,ROW())&amp;""))</f>
        <v/>
      </c>
      <c r="L484" s="32">
        <f>IF(B484="","",TRIM(INDEX('Form Responses'!$J:$J,ROW())&amp;""))</f>
        <v/>
      </c>
      <c r="M484" s="32">
        <f>IF(B484="","",TRIM(INDEX('Form Responses'!$K:$K,ROW())&amp;""))</f>
        <v/>
      </c>
      <c r="N484" s="32">
        <f>IF(B484="","",IF(E484&lt;&gt;"","P"&amp;E484,"N"&amp;B484))</f>
        <v/>
      </c>
      <c r="O484" s="32">
        <f>IF(N484="",0,IF(COUNTIF(N485:N$602,N484)=0,1,0))</f>
        <v/>
      </c>
      <c r="P484" s="32">
        <f>IF(AND(O484=1,E484&lt;&gt;""),E484,"")</f>
        <v/>
      </c>
      <c r="Q484" s="32">
        <f>IF(O484=1,B484,"")</f>
        <v/>
      </c>
      <c r="R484" s="32">
        <f>IF(O484&lt;&gt;1,"",IF(E484&lt;&gt;"",IFERROR(MATCH(E484,Guests!$S$6:$S$505,0)+5,IFERROR(MATCH(B484,Guests!$A$6:$A$505,0)+5,"")),IFERROR(MATCH(B484,Guests!$A$6:$A$505,0)+5,"")))</f>
        <v/>
      </c>
      <c r="S484" s="32">
        <f>IF(R484="","",TRIM(INDEX(Guests!$E$1:$E$505,R484)&amp;""))</f>
        <v/>
      </c>
      <c r="T484" s="32">
        <f>IF(R484="","",IF(S484="",1,COUNTIF(Guests!$E$6:$E$505,S484)))</f>
        <v/>
      </c>
      <c r="U484" s="32">
        <f>IF(R484="","",IF(S484="",1,IF(COUNTIF(S$1:S483,S484)=0,1,0)))</f>
        <v/>
      </c>
      <c r="V484" s="32">
        <f>IF(AND(R484&lt;&gt;"",G484="Attending",U484=1),MAX(0,H484+I484-T484),0)</f>
        <v/>
      </c>
      <c r="W484" s="32">
        <f>IF(AND(O484=1,R484=""),1,0)</f>
        <v/>
      </c>
      <c r="X484" s="32">
        <f>IF(B484="",0,H484+I484)</f>
        <v/>
      </c>
      <c r="Y484" s="32">
        <f>N(Y483)+O484</f>
        <v/>
      </c>
      <c r="Z484" s="32">
        <f>IF(O484=1,Y484,"")</f>
        <v/>
      </c>
      <c r="AA484" s="32">
        <f>IF(AND(W484=1,G484="Not sure yet"),1,0)</f>
        <v/>
      </c>
      <c r="AB484" s="32">
        <f>N(AB483)+AA484</f>
        <v/>
      </c>
      <c r="AC484" s="32">
        <f>IF(AA484=1,AB484,"")</f>
        <v/>
      </c>
      <c r="AD484" s="32">
        <f>IF(D484="","",IF(LEN(D484)=10,"+1"&amp;D484,IF(AND(LEN(D484)=11,LEFT(D484,1)="1"),"+"&amp;D484,IF(LEFT(C484,1)="+","+"&amp;D484,D484))))</f>
        <v/>
      </c>
      <c r="AE484" s="32">
        <f>IF(B484="","",PROPER(IFERROR(LEFT(B484,FIND(" ",B484)-1),B484)))</f>
        <v/>
      </c>
      <c r="AF484" s="32">
        <f>SUBSTITUTE(SUBSTITUTE(SUBSTITUTE(SUBSTITUTE(SUBSTITUTE(SUBSTITUTE(SUBSTITUTE(SUBSTITUTE(SUBSTITUTE(SUBSTITUTE(AE484,"%","%25"),"&amp;","%26"),"#","%23"),"+","%2B"),"=","%3D"),"?","%3F"),CHAR(34),"%22"),CHAR(10),"%0A"),CHAR(13),"")," ","+")</f>
        <v/>
      </c>
      <c r="AG484" s="32">
        <f>IF(OR(AD484="",AE484=""),"",'Start Here'!$B$20&amp;"#p="&amp;SUBSTITUTE(AD484,"+","%2B")&amp;"&amp;n="&amp;AF484&amp;"&amp;m="&amp;SUBSTITUTE('Start Here'!$B$24,"{name}",AF484))</f>
        <v/>
      </c>
      <c r="AH484" s="32">
        <f>N(AH483)+W484</f>
        <v/>
      </c>
      <c r="AI484" s="32">
        <f>IF(W484=1,AH484,"")</f>
        <v/>
      </c>
    </row>
    <row r="485">
      <c r="A485" s="32">
        <f>IF(INDEX('Form Responses'!$A:$A,ROW())="","",INDEX('Form Responses'!$A:$A,ROW()))</f>
        <v/>
      </c>
      <c r="B485" s="32">
        <f>TRIM(INDEX('Form Responses'!$B:$B,ROW())&amp;"")</f>
        <v/>
      </c>
      <c r="C485" s="32">
        <f>IF(B485="","",TRIM(INDEX('Form Responses'!$C:$C,ROW())&amp;""))</f>
        <v/>
      </c>
      <c r="D485" s="32">
        <f>SUBSTITUTE(SUBSTITUTE(SUBSTITUTE(SUBSTITUTE(SUBSTITUTE(SUBSTITUTE(SUBSTITUTE(SUBSTITUTE(C485," ",""),"-",""),"(",""),")",""),".",""),"+",""),"/",""),CHAR(160),"")</f>
        <v/>
      </c>
      <c r="E485" s="32">
        <f>IF(LEN(D485)&gt;=10,RIGHT(D485,10),D485)</f>
        <v/>
      </c>
      <c r="F485" s="32">
        <f>IF(B485="","",TRIM(INDEX('Form Responses'!$D:$D,ROW())&amp;""))</f>
        <v/>
      </c>
      <c r="G485" s="32">
        <f>IF(B485="","",IF(LEFT(TRIM(INDEX('Form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5" s="32">
        <f>IF(B485="","",MAX(0,IFERROR(INT(--(INDEX('Form Responses'!$F:$F,ROW())&amp;"")),1)))</f>
        <v/>
      </c>
      <c r="I485" s="32">
        <f>IF(B485="","",MAX(0,IFERROR(INT(--(INDEX('Form Responses'!$G:$G,ROW())&amp;"")),0)))</f>
        <v/>
      </c>
      <c r="J485" s="32">
        <f>IF(B485="","",TRIM(INDEX('Form Responses'!$H:$H,ROW())&amp;""))</f>
        <v/>
      </c>
      <c r="K485" s="32">
        <f>IF(B485="","",TRIM(INDEX('Form Responses'!$I:$I,ROW())&amp;""))</f>
        <v/>
      </c>
      <c r="L485" s="32">
        <f>IF(B485="","",TRIM(INDEX('Form Responses'!$J:$J,ROW())&amp;""))</f>
        <v/>
      </c>
      <c r="M485" s="32">
        <f>IF(B485="","",TRIM(INDEX('Form Responses'!$K:$K,ROW())&amp;""))</f>
        <v/>
      </c>
      <c r="N485" s="32">
        <f>IF(B485="","",IF(E485&lt;&gt;"","P"&amp;E485,"N"&amp;B485))</f>
        <v/>
      </c>
      <c r="O485" s="32">
        <f>IF(N485="",0,IF(COUNTIF(N486:N$602,N485)=0,1,0))</f>
        <v/>
      </c>
      <c r="P485" s="32">
        <f>IF(AND(O485=1,E485&lt;&gt;""),E485,"")</f>
        <v/>
      </c>
      <c r="Q485" s="32">
        <f>IF(O485=1,B485,"")</f>
        <v/>
      </c>
      <c r="R485" s="32">
        <f>IF(O485&lt;&gt;1,"",IF(E485&lt;&gt;"",IFERROR(MATCH(E485,Guests!$S$6:$S$505,0)+5,IFERROR(MATCH(B485,Guests!$A$6:$A$505,0)+5,"")),IFERROR(MATCH(B485,Guests!$A$6:$A$505,0)+5,"")))</f>
        <v/>
      </c>
      <c r="S485" s="32">
        <f>IF(R485="","",TRIM(INDEX(Guests!$E$1:$E$505,R485)&amp;""))</f>
        <v/>
      </c>
      <c r="T485" s="32">
        <f>IF(R485="","",IF(S485="",1,COUNTIF(Guests!$E$6:$E$505,S485)))</f>
        <v/>
      </c>
      <c r="U485" s="32">
        <f>IF(R485="","",IF(S485="",1,IF(COUNTIF(S$1:S484,S485)=0,1,0)))</f>
        <v/>
      </c>
      <c r="V485" s="32">
        <f>IF(AND(R485&lt;&gt;"",G485="Attending",U485=1),MAX(0,H485+I485-T485),0)</f>
        <v/>
      </c>
      <c r="W485" s="32">
        <f>IF(AND(O485=1,R485=""),1,0)</f>
        <v/>
      </c>
      <c r="X485" s="32">
        <f>IF(B485="",0,H485+I485)</f>
        <v/>
      </c>
      <c r="Y485" s="32">
        <f>N(Y484)+O485</f>
        <v/>
      </c>
      <c r="Z485" s="32">
        <f>IF(O485=1,Y485,"")</f>
        <v/>
      </c>
      <c r="AA485" s="32">
        <f>IF(AND(W485=1,G485="Not sure yet"),1,0)</f>
        <v/>
      </c>
      <c r="AB485" s="32">
        <f>N(AB484)+AA485</f>
        <v/>
      </c>
      <c r="AC485" s="32">
        <f>IF(AA485=1,AB485,"")</f>
        <v/>
      </c>
      <c r="AD485" s="32">
        <f>IF(D485="","",IF(LEN(D485)=10,"+1"&amp;D485,IF(AND(LEN(D485)=11,LEFT(D485,1)="1"),"+"&amp;D485,IF(LEFT(C485,1)="+","+"&amp;D485,D485))))</f>
        <v/>
      </c>
      <c r="AE485" s="32">
        <f>IF(B485="","",PROPER(IFERROR(LEFT(B485,FIND(" ",B485)-1),B485)))</f>
        <v/>
      </c>
      <c r="AF485" s="32">
        <f>SUBSTITUTE(SUBSTITUTE(SUBSTITUTE(SUBSTITUTE(SUBSTITUTE(SUBSTITUTE(SUBSTITUTE(SUBSTITUTE(SUBSTITUTE(SUBSTITUTE(AE485,"%","%25"),"&amp;","%26"),"#","%23"),"+","%2B"),"=","%3D"),"?","%3F"),CHAR(34),"%22"),CHAR(10),"%0A"),CHAR(13),"")," ","+")</f>
        <v/>
      </c>
      <c r="AG485" s="32">
        <f>IF(OR(AD485="",AE485=""),"",'Start Here'!$B$20&amp;"#p="&amp;SUBSTITUTE(AD485,"+","%2B")&amp;"&amp;n="&amp;AF485&amp;"&amp;m="&amp;SUBSTITUTE('Start Here'!$B$24,"{name}",AF485))</f>
        <v/>
      </c>
      <c r="AH485" s="32">
        <f>N(AH484)+W485</f>
        <v/>
      </c>
      <c r="AI485" s="32">
        <f>IF(W485=1,AH485,"")</f>
        <v/>
      </c>
    </row>
    <row r="486">
      <c r="A486" s="32">
        <f>IF(INDEX('Form Responses'!$A:$A,ROW())="","",INDEX('Form Responses'!$A:$A,ROW()))</f>
        <v/>
      </c>
      <c r="B486" s="32">
        <f>TRIM(INDEX('Form Responses'!$B:$B,ROW())&amp;"")</f>
        <v/>
      </c>
      <c r="C486" s="32">
        <f>IF(B486="","",TRIM(INDEX('Form Responses'!$C:$C,ROW())&amp;""))</f>
        <v/>
      </c>
      <c r="D486" s="32">
        <f>SUBSTITUTE(SUBSTITUTE(SUBSTITUTE(SUBSTITUTE(SUBSTITUTE(SUBSTITUTE(SUBSTITUTE(SUBSTITUTE(C486," ",""),"-",""),"(",""),")",""),".",""),"+",""),"/",""),CHAR(160),"")</f>
        <v/>
      </c>
      <c r="E486" s="32">
        <f>IF(LEN(D486)&gt;=10,RIGHT(D486,10),D486)</f>
        <v/>
      </c>
      <c r="F486" s="32">
        <f>IF(B486="","",TRIM(INDEX('Form Responses'!$D:$D,ROW())&amp;""))</f>
        <v/>
      </c>
      <c r="G486" s="32">
        <f>IF(B486="","",IF(LEFT(TRIM(INDEX('Form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6" s="32">
        <f>IF(B486="","",MAX(0,IFERROR(INT(--(INDEX('Form Responses'!$F:$F,ROW())&amp;"")),1)))</f>
        <v/>
      </c>
      <c r="I486" s="32">
        <f>IF(B486="","",MAX(0,IFERROR(INT(--(INDEX('Form Responses'!$G:$G,ROW())&amp;"")),0)))</f>
        <v/>
      </c>
      <c r="J486" s="32">
        <f>IF(B486="","",TRIM(INDEX('Form Responses'!$H:$H,ROW())&amp;""))</f>
        <v/>
      </c>
      <c r="K486" s="32">
        <f>IF(B486="","",TRIM(INDEX('Form Responses'!$I:$I,ROW())&amp;""))</f>
        <v/>
      </c>
      <c r="L486" s="32">
        <f>IF(B486="","",TRIM(INDEX('Form Responses'!$J:$J,ROW())&amp;""))</f>
        <v/>
      </c>
      <c r="M486" s="32">
        <f>IF(B486="","",TRIM(INDEX('Form Responses'!$K:$K,ROW())&amp;""))</f>
        <v/>
      </c>
      <c r="N486" s="32">
        <f>IF(B486="","",IF(E486&lt;&gt;"","P"&amp;E486,"N"&amp;B486))</f>
        <v/>
      </c>
      <c r="O486" s="32">
        <f>IF(N486="",0,IF(COUNTIF(N487:N$602,N486)=0,1,0))</f>
        <v/>
      </c>
      <c r="P486" s="32">
        <f>IF(AND(O486=1,E486&lt;&gt;""),E486,"")</f>
        <v/>
      </c>
      <c r="Q486" s="32">
        <f>IF(O486=1,B486,"")</f>
        <v/>
      </c>
      <c r="R486" s="32">
        <f>IF(O486&lt;&gt;1,"",IF(E486&lt;&gt;"",IFERROR(MATCH(E486,Guests!$S$6:$S$505,0)+5,IFERROR(MATCH(B486,Guests!$A$6:$A$505,0)+5,"")),IFERROR(MATCH(B486,Guests!$A$6:$A$505,0)+5,"")))</f>
        <v/>
      </c>
      <c r="S486" s="32">
        <f>IF(R486="","",TRIM(INDEX(Guests!$E$1:$E$505,R486)&amp;""))</f>
        <v/>
      </c>
      <c r="T486" s="32">
        <f>IF(R486="","",IF(S486="",1,COUNTIF(Guests!$E$6:$E$505,S486)))</f>
        <v/>
      </c>
      <c r="U486" s="32">
        <f>IF(R486="","",IF(S486="",1,IF(COUNTIF(S$1:S485,S486)=0,1,0)))</f>
        <v/>
      </c>
      <c r="V486" s="32">
        <f>IF(AND(R486&lt;&gt;"",G486="Attending",U486=1),MAX(0,H486+I486-T486),0)</f>
        <v/>
      </c>
      <c r="W486" s="32">
        <f>IF(AND(O486=1,R486=""),1,0)</f>
        <v/>
      </c>
      <c r="X486" s="32">
        <f>IF(B486="",0,H486+I486)</f>
        <v/>
      </c>
      <c r="Y486" s="32">
        <f>N(Y485)+O486</f>
        <v/>
      </c>
      <c r="Z486" s="32">
        <f>IF(O486=1,Y486,"")</f>
        <v/>
      </c>
      <c r="AA486" s="32">
        <f>IF(AND(W486=1,G486="Not sure yet"),1,0)</f>
        <v/>
      </c>
      <c r="AB486" s="32">
        <f>N(AB485)+AA486</f>
        <v/>
      </c>
      <c r="AC486" s="32">
        <f>IF(AA486=1,AB486,"")</f>
        <v/>
      </c>
      <c r="AD486" s="32">
        <f>IF(D486="","",IF(LEN(D486)=10,"+1"&amp;D486,IF(AND(LEN(D486)=11,LEFT(D486,1)="1"),"+"&amp;D486,IF(LEFT(C486,1)="+","+"&amp;D486,D486))))</f>
        <v/>
      </c>
      <c r="AE486" s="32">
        <f>IF(B486="","",PROPER(IFERROR(LEFT(B486,FIND(" ",B486)-1),B486)))</f>
        <v/>
      </c>
      <c r="AF486" s="32">
        <f>SUBSTITUTE(SUBSTITUTE(SUBSTITUTE(SUBSTITUTE(SUBSTITUTE(SUBSTITUTE(SUBSTITUTE(SUBSTITUTE(SUBSTITUTE(SUBSTITUTE(AE486,"%","%25"),"&amp;","%26"),"#","%23"),"+","%2B"),"=","%3D"),"?","%3F"),CHAR(34),"%22"),CHAR(10),"%0A"),CHAR(13),"")," ","+")</f>
        <v/>
      </c>
      <c r="AG486" s="32">
        <f>IF(OR(AD486="",AE486=""),"",'Start Here'!$B$20&amp;"#p="&amp;SUBSTITUTE(AD486,"+","%2B")&amp;"&amp;n="&amp;AF486&amp;"&amp;m="&amp;SUBSTITUTE('Start Here'!$B$24,"{name}",AF486))</f>
        <v/>
      </c>
      <c r="AH486" s="32">
        <f>N(AH485)+W486</f>
        <v/>
      </c>
      <c r="AI486" s="32">
        <f>IF(W486=1,AH486,"")</f>
        <v/>
      </c>
    </row>
    <row r="487">
      <c r="A487" s="32">
        <f>IF(INDEX('Form Responses'!$A:$A,ROW())="","",INDEX('Form Responses'!$A:$A,ROW()))</f>
        <v/>
      </c>
      <c r="B487" s="32">
        <f>TRIM(INDEX('Form Responses'!$B:$B,ROW())&amp;"")</f>
        <v/>
      </c>
      <c r="C487" s="32">
        <f>IF(B487="","",TRIM(INDEX('Form Responses'!$C:$C,ROW())&amp;""))</f>
        <v/>
      </c>
      <c r="D487" s="32">
        <f>SUBSTITUTE(SUBSTITUTE(SUBSTITUTE(SUBSTITUTE(SUBSTITUTE(SUBSTITUTE(SUBSTITUTE(SUBSTITUTE(C487," ",""),"-",""),"(",""),")",""),".",""),"+",""),"/",""),CHAR(160),"")</f>
        <v/>
      </c>
      <c r="E487" s="32">
        <f>IF(LEN(D487)&gt;=10,RIGHT(D487,10),D487)</f>
        <v/>
      </c>
      <c r="F487" s="32">
        <f>IF(B487="","",TRIM(INDEX('Form Responses'!$D:$D,ROW())&amp;""))</f>
        <v/>
      </c>
      <c r="G487" s="32">
        <f>IF(B487="","",IF(LEFT(TRIM(INDEX('Form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7" s="32">
        <f>IF(B487="","",MAX(0,IFERROR(INT(--(INDEX('Form Responses'!$F:$F,ROW())&amp;"")),1)))</f>
        <v/>
      </c>
      <c r="I487" s="32">
        <f>IF(B487="","",MAX(0,IFERROR(INT(--(INDEX('Form Responses'!$G:$G,ROW())&amp;"")),0)))</f>
        <v/>
      </c>
      <c r="J487" s="32">
        <f>IF(B487="","",TRIM(INDEX('Form Responses'!$H:$H,ROW())&amp;""))</f>
        <v/>
      </c>
      <c r="K487" s="32">
        <f>IF(B487="","",TRIM(INDEX('Form Responses'!$I:$I,ROW())&amp;""))</f>
        <v/>
      </c>
      <c r="L487" s="32">
        <f>IF(B487="","",TRIM(INDEX('Form Responses'!$J:$J,ROW())&amp;""))</f>
        <v/>
      </c>
      <c r="M487" s="32">
        <f>IF(B487="","",TRIM(INDEX('Form Responses'!$K:$K,ROW())&amp;""))</f>
        <v/>
      </c>
      <c r="N487" s="32">
        <f>IF(B487="","",IF(E487&lt;&gt;"","P"&amp;E487,"N"&amp;B487))</f>
        <v/>
      </c>
      <c r="O487" s="32">
        <f>IF(N487="",0,IF(COUNTIF(N488:N$602,N487)=0,1,0))</f>
        <v/>
      </c>
      <c r="P487" s="32">
        <f>IF(AND(O487=1,E487&lt;&gt;""),E487,"")</f>
        <v/>
      </c>
      <c r="Q487" s="32">
        <f>IF(O487=1,B487,"")</f>
        <v/>
      </c>
      <c r="R487" s="32">
        <f>IF(O487&lt;&gt;1,"",IF(E487&lt;&gt;"",IFERROR(MATCH(E487,Guests!$S$6:$S$505,0)+5,IFERROR(MATCH(B487,Guests!$A$6:$A$505,0)+5,"")),IFERROR(MATCH(B487,Guests!$A$6:$A$505,0)+5,"")))</f>
        <v/>
      </c>
      <c r="S487" s="32">
        <f>IF(R487="","",TRIM(INDEX(Guests!$E$1:$E$505,R487)&amp;""))</f>
        <v/>
      </c>
      <c r="T487" s="32">
        <f>IF(R487="","",IF(S487="",1,COUNTIF(Guests!$E$6:$E$505,S487)))</f>
        <v/>
      </c>
      <c r="U487" s="32">
        <f>IF(R487="","",IF(S487="",1,IF(COUNTIF(S$1:S486,S487)=0,1,0)))</f>
        <v/>
      </c>
      <c r="V487" s="32">
        <f>IF(AND(R487&lt;&gt;"",G487="Attending",U487=1),MAX(0,H487+I487-T487),0)</f>
        <v/>
      </c>
      <c r="W487" s="32">
        <f>IF(AND(O487=1,R487=""),1,0)</f>
        <v/>
      </c>
      <c r="X487" s="32">
        <f>IF(B487="",0,H487+I487)</f>
        <v/>
      </c>
      <c r="Y487" s="32">
        <f>N(Y486)+O487</f>
        <v/>
      </c>
      <c r="Z487" s="32">
        <f>IF(O487=1,Y487,"")</f>
        <v/>
      </c>
      <c r="AA487" s="32">
        <f>IF(AND(W487=1,G487="Not sure yet"),1,0)</f>
        <v/>
      </c>
      <c r="AB487" s="32">
        <f>N(AB486)+AA487</f>
        <v/>
      </c>
      <c r="AC487" s="32">
        <f>IF(AA487=1,AB487,"")</f>
        <v/>
      </c>
      <c r="AD487" s="32">
        <f>IF(D487="","",IF(LEN(D487)=10,"+1"&amp;D487,IF(AND(LEN(D487)=11,LEFT(D487,1)="1"),"+"&amp;D487,IF(LEFT(C487,1)="+","+"&amp;D487,D487))))</f>
        <v/>
      </c>
      <c r="AE487" s="32">
        <f>IF(B487="","",PROPER(IFERROR(LEFT(B487,FIND(" ",B487)-1),B487)))</f>
        <v/>
      </c>
      <c r="AF487" s="32">
        <f>SUBSTITUTE(SUBSTITUTE(SUBSTITUTE(SUBSTITUTE(SUBSTITUTE(SUBSTITUTE(SUBSTITUTE(SUBSTITUTE(SUBSTITUTE(SUBSTITUTE(AE487,"%","%25"),"&amp;","%26"),"#","%23"),"+","%2B"),"=","%3D"),"?","%3F"),CHAR(34),"%22"),CHAR(10),"%0A"),CHAR(13),"")," ","+")</f>
        <v/>
      </c>
      <c r="AG487" s="32">
        <f>IF(OR(AD487="",AE487=""),"",'Start Here'!$B$20&amp;"#p="&amp;SUBSTITUTE(AD487,"+","%2B")&amp;"&amp;n="&amp;AF487&amp;"&amp;m="&amp;SUBSTITUTE('Start Here'!$B$24,"{name}",AF487))</f>
        <v/>
      </c>
      <c r="AH487" s="32">
        <f>N(AH486)+W487</f>
        <v/>
      </c>
      <c r="AI487" s="32">
        <f>IF(W487=1,AH487,"")</f>
        <v/>
      </c>
    </row>
    <row r="488">
      <c r="A488" s="32">
        <f>IF(INDEX('Form Responses'!$A:$A,ROW())="","",INDEX('Form Responses'!$A:$A,ROW()))</f>
        <v/>
      </c>
      <c r="B488" s="32">
        <f>TRIM(INDEX('Form Responses'!$B:$B,ROW())&amp;"")</f>
        <v/>
      </c>
      <c r="C488" s="32">
        <f>IF(B488="","",TRIM(INDEX('Form Responses'!$C:$C,ROW())&amp;""))</f>
        <v/>
      </c>
      <c r="D488" s="32">
        <f>SUBSTITUTE(SUBSTITUTE(SUBSTITUTE(SUBSTITUTE(SUBSTITUTE(SUBSTITUTE(SUBSTITUTE(SUBSTITUTE(C488," ",""),"-",""),"(",""),")",""),".",""),"+",""),"/",""),CHAR(160),"")</f>
        <v/>
      </c>
      <c r="E488" s="32">
        <f>IF(LEN(D488)&gt;=10,RIGHT(D488,10),D488)</f>
        <v/>
      </c>
      <c r="F488" s="32">
        <f>IF(B488="","",TRIM(INDEX('Form Responses'!$D:$D,ROW())&amp;""))</f>
        <v/>
      </c>
      <c r="G488" s="32">
        <f>IF(B488="","",IF(LEFT(TRIM(INDEX('Form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8" s="32">
        <f>IF(B488="","",MAX(0,IFERROR(INT(--(INDEX('Form Responses'!$F:$F,ROW())&amp;"")),1)))</f>
        <v/>
      </c>
      <c r="I488" s="32">
        <f>IF(B488="","",MAX(0,IFERROR(INT(--(INDEX('Form Responses'!$G:$G,ROW())&amp;"")),0)))</f>
        <v/>
      </c>
      <c r="J488" s="32">
        <f>IF(B488="","",TRIM(INDEX('Form Responses'!$H:$H,ROW())&amp;""))</f>
        <v/>
      </c>
      <c r="K488" s="32">
        <f>IF(B488="","",TRIM(INDEX('Form Responses'!$I:$I,ROW())&amp;""))</f>
        <v/>
      </c>
      <c r="L488" s="32">
        <f>IF(B488="","",TRIM(INDEX('Form Responses'!$J:$J,ROW())&amp;""))</f>
        <v/>
      </c>
      <c r="M488" s="32">
        <f>IF(B488="","",TRIM(INDEX('Form Responses'!$K:$K,ROW())&amp;""))</f>
        <v/>
      </c>
      <c r="N488" s="32">
        <f>IF(B488="","",IF(E488&lt;&gt;"","P"&amp;E488,"N"&amp;B488))</f>
        <v/>
      </c>
      <c r="O488" s="32">
        <f>IF(N488="",0,IF(COUNTIF(N489:N$602,N488)=0,1,0))</f>
        <v/>
      </c>
      <c r="P488" s="32">
        <f>IF(AND(O488=1,E488&lt;&gt;""),E488,"")</f>
        <v/>
      </c>
      <c r="Q488" s="32">
        <f>IF(O488=1,B488,"")</f>
        <v/>
      </c>
      <c r="R488" s="32">
        <f>IF(O488&lt;&gt;1,"",IF(E488&lt;&gt;"",IFERROR(MATCH(E488,Guests!$S$6:$S$505,0)+5,IFERROR(MATCH(B488,Guests!$A$6:$A$505,0)+5,"")),IFERROR(MATCH(B488,Guests!$A$6:$A$505,0)+5,"")))</f>
        <v/>
      </c>
      <c r="S488" s="32">
        <f>IF(R488="","",TRIM(INDEX(Guests!$E$1:$E$505,R488)&amp;""))</f>
        <v/>
      </c>
      <c r="T488" s="32">
        <f>IF(R488="","",IF(S488="",1,COUNTIF(Guests!$E$6:$E$505,S488)))</f>
        <v/>
      </c>
      <c r="U488" s="32">
        <f>IF(R488="","",IF(S488="",1,IF(COUNTIF(S$1:S487,S488)=0,1,0)))</f>
        <v/>
      </c>
      <c r="V488" s="32">
        <f>IF(AND(R488&lt;&gt;"",G488="Attending",U488=1),MAX(0,H488+I488-T488),0)</f>
        <v/>
      </c>
      <c r="W488" s="32">
        <f>IF(AND(O488=1,R488=""),1,0)</f>
        <v/>
      </c>
      <c r="X488" s="32">
        <f>IF(B488="",0,H488+I488)</f>
        <v/>
      </c>
      <c r="Y488" s="32">
        <f>N(Y487)+O488</f>
        <v/>
      </c>
      <c r="Z488" s="32">
        <f>IF(O488=1,Y488,"")</f>
        <v/>
      </c>
      <c r="AA488" s="32">
        <f>IF(AND(W488=1,G488="Not sure yet"),1,0)</f>
        <v/>
      </c>
      <c r="AB488" s="32">
        <f>N(AB487)+AA488</f>
        <v/>
      </c>
      <c r="AC488" s="32">
        <f>IF(AA488=1,AB488,"")</f>
        <v/>
      </c>
      <c r="AD488" s="32">
        <f>IF(D488="","",IF(LEN(D488)=10,"+1"&amp;D488,IF(AND(LEN(D488)=11,LEFT(D488,1)="1"),"+"&amp;D488,IF(LEFT(C488,1)="+","+"&amp;D488,D488))))</f>
        <v/>
      </c>
      <c r="AE488" s="32">
        <f>IF(B488="","",PROPER(IFERROR(LEFT(B488,FIND(" ",B488)-1),B488)))</f>
        <v/>
      </c>
      <c r="AF488" s="32">
        <f>SUBSTITUTE(SUBSTITUTE(SUBSTITUTE(SUBSTITUTE(SUBSTITUTE(SUBSTITUTE(SUBSTITUTE(SUBSTITUTE(SUBSTITUTE(SUBSTITUTE(AE488,"%","%25"),"&amp;","%26"),"#","%23"),"+","%2B"),"=","%3D"),"?","%3F"),CHAR(34),"%22"),CHAR(10),"%0A"),CHAR(13),"")," ","+")</f>
        <v/>
      </c>
      <c r="AG488" s="32">
        <f>IF(OR(AD488="",AE488=""),"",'Start Here'!$B$20&amp;"#p="&amp;SUBSTITUTE(AD488,"+","%2B")&amp;"&amp;n="&amp;AF488&amp;"&amp;m="&amp;SUBSTITUTE('Start Here'!$B$24,"{name}",AF488))</f>
        <v/>
      </c>
      <c r="AH488" s="32">
        <f>N(AH487)+W488</f>
        <v/>
      </c>
      <c r="AI488" s="32">
        <f>IF(W488=1,AH488,"")</f>
        <v/>
      </c>
    </row>
    <row r="489">
      <c r="A489" s="32">
        <f>IF(INDEX('Form Responses'!$A:$A,ROW())="","",INDEX('Form Responses'!$A:$A,ROW()))</f>
        <v/>
      </c>
      <c r="B489" s="32">
        <f>TRIM(INDEX('Form Responses'!$B:$B,ROW())&amp;"")</f>
        <v/>
      </c>
      <c r="C489" s="32">
        <f>IF(B489="","",TRIM(INDEX('Form Responses'!$C:$C,ROW())&amp;""))</f>
        <v/>
      </c>
      <c r="D489" s="32">
        <f>SUBSTITUTE(SUBSTITUTE(SUBSTITUTE(SUBSTITUTE(SUBSTITUTE(SUBSTITUTE(SUBSTITUTE(SUBSTITUTE(C489," ",""),"-",""),"(",""),")",""),".",""),"+",""),"/",""),CHAR(160),"")</f>
        <v/>
      </c>
      <c r="E489" s="32">
        <f>IF(LEN(D489)&gt;=10,RIGHT(D489,10),D489)</f>
        <v/>
      </c>
      <c r="F489" s="32">
        <f>IF(B489="","",TRIM(INDEX('Form Responses'!$D:$D,ROW())&amp;""))</f>
        <v/>
      </c>
      <c r="G489" s="32">
        <f>IF(B489="","",IF(LEFT(TRIM(INDEX('Form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89" s="32">
        <f>IF(B489="","",MAX(0,IFERROR(INT(--(INDEX('Form Responses'!$F:$F,ROW())&amp;"")),1)))</f>
        <v/>
      </c>
      <c r="I489" s="32">
        <f>IF(B489="","",MAX(0,IFERROR(INT(--(INDEX('Form Responses'!$G:$G,ROW())&amp;"")),0)))</f>
        <v/>
      </c>
      <c r="J489" s="32">
        <f>IF(B489="","",TRIM(INDEX('Form Responses'!$H:$H,ROW())&amp;""))</f>
        <v/>
      </c>
      <c r="K489" s="32">
        <f>IF(B489="","",TRIM(INDEX('Form Responses'!$I:$I,ROW())&amp;""))</f>
        <v/>
      </c>
      <c r="L489" s="32">
        <f>IF(B489="","",TRIM(INDEX('Form Responses'!$J:$J,ROW())&amp;""))</f>
        <v/>
      </c>
      <c r="M489" s="32">
        <f>IF(B489="","",TRIM(INDEX('Form Responses'!$K:$K,ROW())&amp;""))</f>
        <v/>
      </c>
      <c r="N489" s="32">
        <f>IF(B489="","",IF(E489&lt;&gt;"","P"&amp;E489,"N"&amp;B489))</f>
        <v/>
      </c>
      <c r="O489" s="32">
        <f>IF(N489="",0,IF(COUNTIF(N490:N$602,N489)=0,1,0))</f>
        <v/>
      </c>
      <c r="P489" s="32">
        <f>IF(AND(O489=1,E489&lt;&gt;""),E489,"")</f>
        <v/>
      </c>
      <c r="Q489" s="32">
        <f>IF(O489=1,B489,"")</f>
        <v/>
      </c>
      <c r="R489" s="32">
        <f>IF(O489&lt;&gt;1,"",IF(E489&lt;&gt;"",IFERROR(MATCH(E489,Guests!$S$6:$S$505,0)+5,IFERROR(MATCH(B489,Guests!$A$6:$A$505,0)+5,"")),IFERROR(MATCH(B489,Guests!$A$6:$A$505,0)+5,"")))</f>
        <v/>
      </c>
      <c r="S489" s="32">
        <f>IF(R489="","",TRIM(INDEX(Guests!$E$1:$E$505,R489)&amp;""))</f>
        <v/>
      </c>
      <c r="T489" s="32">
        <f>IF(R489="","",IF(S489="",1,COUNTIF(Guests!$E$6:$E$505,S489)))</f>
        <v/>
      </c>
      <c r="U489" s="32">
        <f>IF(R489="","",IF(S489="",1,IF(COUNTIF(S$1:S488,S489)=0,1,0)))</f>
        <v/>
      </c>
      <c r="V489" s="32">
        <f>IF(AND(R489&lt;&gt;"",G489="Attending",U489=1),MAX(0,H489+I489-T489),0)</f>
        <v/>
      </c>
      <c r="W489" s="32">
        <f>IF(AND(O489=1,R489=""),1,0)</f>
        <v/>
      </c>
      <c r="X489" s="32">
        <f>IF(B489="",0,H489+I489)</f>
        <v/>
      </c>
      <c r="Y489" s="32">
        <f>N(Y488)+O489</f>
        <v/>
      </c>
      <c r="Z489" s="32">
        <f>IF(O489=1,Y489,"")</f>
        <v/>
      </c>
      <c r="AA489" s="32">
        <f>IF(AND(W489=1,G489="Not sure yet"),1,0)</f>
        <v/>
      </c>
      <c r="AB489" s="32">
        <f>N(AB488)+AA489</f>
        <v/>
      </c>
      <c r="AC489" s="32">
        <f>IF(AA489=1,AB489,"")</f>
        <v/>
      </c>
      <c r="AD489" s="32">
        <f>IF(D489="","",IF(LEN(D489)=10,"+1"&amp;D489,IF(AND(LEN(D489)=11,LEFT(D489,1)="1"),"+"&amp;D489,IF(LEFT(C489,1)="+","+"&amp;D489,D489))))</f>
        <v/>
      </c>
      <c r="AE489" s="32">
        <f>IF(B489="","",PROPER(IFERROR(LEFT(B489,FIND(" ",B489)-1),B489)))</f>
        <v/>
      </c>
      <c r="AF489" s="32">
        <f>SUBSTITUTE(SUBSTITUTE(SUBSTITUTE(SUBSTITUTE(SUBSTITUTE(SUBSTITUTE(SUBSTITUTE(SUBSTITUTE(SUBSTITUTE(SUBSTITUTE(AE489,"%","%25"),"&amp;","%26"),"#","%23"),"+","%2B"),"=","%3D"),"?","%3F"),CHAR(34),"%22"),CHAR(10),"%0A"),CHAR(13),"")," ","+")</f>
        <v/>
      </c>
      <c r="AG489" s="32">
        <f>IF(OR(AD489="",AE489=""),"",'Start Here'!$B$20&amp;"#p="&amp;SUBSTITUTE(AD489,"+","%2B")&amp;"&amp;n="&amp;AF489&amp;"&amp;m="&amp;SUBSTITUTE('Start Here'!$B$24,"{name}",AF489))</f>
        <v/>
      </c>
      <c r="AH489" s="32">
        <f>N(AH488)+W489</f>
        <v/>
      </c>
      <c r="AI489" s="32">
        <f>IF(W489=1,AH489,"")</f>
        <v/>
      </c>
    </row>
    <row r="490">
      <c r="A490" s="32">
        <f>IF(INDEX('Form Responses'!$A:$A,ROW())="","",INDEX('Form Responses'!$A:$A,ROW()))</f>
        <v/>
      </c>
      <c r="B490" s="32">
        <f>TRIM(INDEX('Form Responses'!$B:$B,ROW())&amp;"")</f>
        <v/>
      </c>
      <c r="C490" s="32">
        <f>IF(B490="","",TRIM(INDEX('Form Responses'!$C:$C,ROW())&amp;""))</f>
        <v/>
      </c>
      <c r="D490" s="32">
        <f>SUBSTITUTE(SUBSTITUTE(SUBSTITUTE(SUBSTITUTE(SUBSTITUTE(SUBSTITUTE(SUBSTITUTE(SUBSTITUTE(C490," ",""),"-",""),"(",""),")",""),".",""),"+",""),"/",""),CHAR(160),"")</f>
        <v/>
      </c>
      <c r="E490" s="32">
        <f>IF(LEN(D490)&gt;=10,RIGHT(D490,10),D490)</f>
        <v/>
      </c>
      <c r="F490" s="32">
        <f>IF(B490="","",TRIM(INDEX('Form Responses'!$D:$D,ROW())&amp;""))</f>
        <v/>
      </c>
      <c r="G490" s="32">
        <f>IF(B490="","",IF(LEFT(TRIM(INDEX('Form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0" s="32">
        <f>IF(B490="","",MAX(0,IFERROR(INT(--(INDEX('Form Responses'!$F:$F,ROW())&amp;"")),1)))</f>
        <v/>
      </c>
      <c r="I490" s="32">
        <f>IF(B490="","",MAX(0,IFERROR(INT(--(INDEX('Form Responses'!$G:$G,ROW())&amp;"")),0)))</f>
        <v/>
      </c>
      <c r="J490" s="32">
        <f>IF(B490="","",TRIM(INDEX('Form Responses'!$H:$H,ROW())&amp;""))</f>
        <v/>
      </c>
      <c r="K490" s="32">
        <f>IF(B490="","",TRIM(INDEX('Form Responses'!$I:$I,ROW())&amp;""))</f>
        <v/>
      </c>
      <c r="L490" s="32">
        <f>IF(B490="","",TRIM(INDEX('Form Responses'!$J:$J,ROW())&amp;""))</f>
        <v/>
      </c>
      <c r="M490" s="32">
        <f>IF(B490="","",TRIM(INDEX('Form Responses'!$K:$K,ROW())&amp;""))</f>
        <v/>
      </c>
      <c r="N490" s="32">
        <f>IF(B490="","",IF(E490&lt;&gt;"","P"&amp;E490,"N"&amp;B490))</f>
        <v/>
      </c>
      <c r="O490" s="32">
        <f>IF(N490="",0,IF(COUNTIF(N491:N$602,N490)=0,1,0))</f>
        <v/>
      </c>
      <c r="P490" s="32">
        <f>IF(AND(O490=1,E490&lt;&gt;""),E490,"")</f>
        <v/>
      </c>
      <c r="Q490" s="32">
        <f>IF(O490=1,B490,"")</f>
        <v/>
      </c>
      <c r="R490" s="32">
        <f>IF(O490&lt;&gt;1,"",IF(E490&lt;&gt;"",IFERROR(MATCH(E490,Guests!$S$6:$S$505,0)+5,IFERROR(MATCH(B490,Guests!$A$6:$A$505,0)+5,"")),IFERROR(MATCH(B490,Guests!$A$6:$A$505,0)+5,"")))</f>
        <v/>
      </c>
      <c r="S490" s="32">
        <f>IF(R490="","",TRIM(INDEX(Guests!$E$1:$E$505,R490)&amp;""))</f>
        <v/>
      </c>
      <c r="T490" s="32">
        <f>IF(R490="","",IF(S490="",1,COUNTIF(Guests!$E$6:$E$505,S490)))</f>
        <v/>
      </c>
      <c r="U490" s="32">
        <f>IF(R490="","",IF(S490="",1,IF(COUNTIF(S$1:S489,S490)=0,1,0)))</f>
        <v/>
      </c>
      <c r="V490" s="32">
        <f>IF(AND(R490&lt;&gt;"",G490="Attending",U490=1),MAX(0,H490+I490-T490),0)</f>
        <v/>
      </c>
      <c r="W490" s="32">
        <f>IF(AND(O490=1,R490=""),1,0)</f>
        <v/>
      </c>
      <c r="X490" s="32">
        <f>IF(B490="",0,H490+I490)</f>
        <v/>
      </c>
      <c r="Y490" s="32">
        <f>N(Y489)+O490</f>
        <v/>
      </c>
      <c r="Z490" s="32">
        <f>IF(O490=1,Y490,"")</f>
        <v/>
      </c>
      <c r="AA490" s="32">
        <f>IF(AND(W490=1,G490="Not sure yet"),1,0)</f>
        <v/>
      </c>
      <c r="AB490" s="32">
        <f>N(AB489)+AA490</f>
        <v/>
      </c>
      <c r="AC490" s="32">
        <f>IF(AA490=1,AB490,"")</f>
        <v/>
      </c>
      <c r="AD490" s="32">
        <f>IF(D490="","",IF(LEN(D490)=10,"+1"&amp;D490,IF(AND(LEN(D490)=11,LEFT(D490,1)="1"),"+"&amp;D490,IF(LEFT(C490,1)="+","+"&amp;D490,D490))))</f>
        <v/>
      </c>
      <c r="AE490" s="32">
        <f>IF(B490="","",PROPER(IFERROR(LEFT(B490,FIND(" ",B490)-1),B490)))</f>
        <v/>
      </c>
      <c r="AF490" s="32">
        <f>SUBSTITUTE(SUBSTITUTE(SUBSTITUTE(SUBSTITUTE(SUBSTITUTE(SUBSTITUTE(SUBSTITUTE(SUBSTITUTE(SUBSTITUTE(SUBSTITUTE(AE490,"%","%25"),"&amp;","%26"),"#","%23"),"+","%2B"),"=","%3D"),"?","%3F"),CHAR(34),"%22"),CHAR(10),"%0A"),CHAR(13),"")," ","+")</f>
        <v/>
      </c>
      <c r="AG490" s="32">
        <f>IF(OR(AD490="",AE490=""),"",'Start Here'!$B$20&amp;"#p="&amp;SUBSTITUTE(AD490,"+","%2B")&amp;"&amp;n="&amp;AF490&amp;"&amp;m="&amp;SUBSTITUTE('Start Here'!$B$24,"{name}",AF490))</f>
        <v/>
      </c>
      <c r="AH490" s="32">
        <f>N(AH489)+W490</f>
        <v/>
      </c>
      <c r="AI490" s="32">
        <f>IF(W490=1,AH490,"")</f>
        <v/>
      </c>
    </row>
    <row r="491">
      <c r="A491" s="32">
        <f>IF(INDEX('Form Responses'!$A:$A,ROW())="","",INDEX('Form Responses'!$A:$A,ROW()))</f>
        <v/>
      </c>
      <c r="B491" s="32">
        <f>TRIM(INDEX('Form Responses'!$B:$B,ROW())&amp;"")</f>
        <v/>
      </c>
      <c r="C491" s="32">
        <f>IF(B491="","",TRIM(INDEX('Form Responses'!$C:$C,ROW())&amp;""))</f>
        <v/>
      </c>
      <c r="D491" s="32">
        <f>SUBSTITUTE(SUBSTITUTE(SUBSTITUTE(SUBSTITUTE(SUBSTITUTE(SUBSTITUTE(SUBSTITUTE(SUBSTITUTE(C491," ",""),"-",""),"(",""),")",""),".",""),"+",""),"/",""),CHAR(160),"")</f>
        <v/>
      </c>
      <c r="E491" s="32">
        <f>IF(LEN(D491)&gt;=10,RIGHT(D491,10),D491)</f>
        <v/>
      </c>
      <c r="F491" s="32">
        <f>IF(B491="","",TRIM(INDEX('Form Responses'!$D:$D,ROW())&amp;""))</f>
        <v/>
      </c>
      <c r="G491" s="32">
        <f>IF(B491="","",IF(LEFT(TRIM(INDEX('Form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1" s="32">
        <f>IF(B491="","",MAX(0,IFERROR(INT(--(INDEX('Form Responses'!$F:$F,ROW())&amp;"")),1)))</f>
        <v/>
      </c>
      <c r="I491" s="32">
        <f>IF(B491="","",MAX(0,IFERROR(INT(--(INDEX('Form Responses'!$G:$G,ROW())&amp;"")),0)))</f>
        <v/>
      </c>
      <c r="J491" s="32">
        <f>IF(B491="","",TRIM(INDEX('Form Responses'!$H:$H,ROW())&amp;""))</f>
        <v/>
      </c>
      <c r="K491" s="32">
        <f>IF(B491="","",TRIM(INDEX('Form Responses'!$I:$I,ROW())&amp;""))</f>
        <v/>
      </c>
      <c r="L491" s="32">
        <f>IF(B491="","",TRIM(INDEX('Form Responses'!$J:$J,ROW())&amp;""))</f>
        <v/>
      </c>
      <c r="M491" s="32">
        <f>IF(B491="","",TRIM(INDEX('Form Responses'!$K:$K,ROW())&amp;""))</f>
        <v/>
      </c>
      <c r="N491" s="32">
        <f>IF(B491="","",IF(E491&lt;&gt;"","P"&amp;E491,"N"&amp;B491))</f>
        <v/>
      </c>
      <c r="O491" s="32">
        <f>IF(N491="",0,IF(COUNTIF(N492:N$602,N491)=0,1,0))</f>
        <v/>
      </c>
      <c r="P491" s="32">
        <f>IF(AND(O491=1,E491&lt;&gt;""),E491,"")</f>
        <v/>
      </c>
      <c r="Q491" s="32">
        <f>IF(O491=1,B491,"")</f>
        <v/>
      </c>
      <c r="R491" s="32">
        <f>IF(O491&lt;&gt;1,"",IF(E491&lt;&gt;"",IFERROR(MATCH(E491,Guests!$S$6:$S$505,0)+5,IFERROR(MATCH(B491,Guests!$A$6:$A$505,0)+5,"")),IFERROR(MATCH(B491,Guests!$A$6:$A$505,0)+5,"")))</f>
        <v/>
      </c>
      <c r="S491" s="32">
        <f>IF(R491="","",TRIM(INDEX(Guests!$E$1:$E$505,R491)&amp;""))</f>
        <v/>
      </c>
      <c r="T491" s="32">
        <f>IF(R491="","",IF(S491="",1,COUNTIF(Guests!$E$6:$E$505,S491)))</f>
        <v/>
      </c>
      <c r="U491" s="32">
        <f>IF(R491="","",IF(S491="",1,IF(COUNTIF(S$1:S490,S491)=0,1,0)))</f>
        <v/>
      </c>
      <c r="V491" s="32">
        <f>IF(AND(R491&lt;&gt;"",G491="Attending",U491=1),MAX(0,H491+I491-T491),0)</f>
        <v/>
      </c>
      <c r="W491" s="32">
        <f>IF(AND(O491=1,R491=""),1,0)</f>
        <v/>
      </c>
      <c r="X491" s="32">
        <f>IF(B491="",0,H491+I491)</f>
        <v/>
      </c>
      <c r="Y491" s="32">
        <f>N(Y490)+O491</f>
        <v/>
      </c>
      <c r="Z491" s="32">
        <f>IF(O491=1,Y491,"")</f>
        <v/>
      </c>
      <c r="AA491" s="32">
        <f>IF(AND(W491=1,G491="Not sure yet"),1,0)</f>
        <v/>
      </c>
      <c r="AB491" s="32">
        <f>N(AB490)+AA491</f>
        <v/>
      </c>
      <c r="AC491" s="32">
        <f>IF(AA491=1,AB491,"")</f>
        <v/>
      </c>
      <c r="AD491" s="32">
        <f>IF(D491="","",IF(LEN(D491)=10,"+1"&amp;D491,IF(AND(LEN(D491)=11,LEFT(D491,1)="1"),"+"&amp;D491,IF(LEFT(C491,1)="+","+"&amp;D491,D491))))</f>
        <v/>
      </c>
      <c r="AE491" s="32">
        <f>IF(B491="","",PROPER(IFERROR(LEFT(B491,FIND(" ",B491)-1),B491)))</f>
        <v/>
      </c>
      <c r="AF491" s="32">
        <f>SUBSTITUTE(SUBSTITUTE(SUBSTITUTE(SUBSTITUTE(SUBSTITUTE(SUBSTITUTE(SUBSTITUTE(SUBSTITUTE(SUBSTITUTE(SUBSTITUTE(AE491,"%","%25"),"&amp;","%26"),"#","%23"),"+","%2B"),"=","%3D"),"?","%3F"),CHAR(34),"%22"),CHAR(10),"%0A"),CHAR(13),"")," ","+")</f>
        <v/>
      </c>
      <c r="AG491" s="32">
        <f>IF(OR(AD491="",AE491=""),"",'Start Here'!$B$20&amp;"#p="&amp;SUBSTITUTE(AD491,"+","%2B")&amp;"&amp;n="&amp;AF491&amp;"&amp;m="&amp;SUBSTITUTE('Start Here'!$B$24,"{name}",AF491))</f>
        <v/>
      </c>
      <c r="AH491" s="32">
        <f>N(AH490)+W491</f>
        <v/>
      </c>
      <c r="AI491" s="32">
        <f>IF(W491=1,AH491,"")</f>
        <v/>
      </c>
    </row>
    <row r="492">
      <c r="A492" s="32">
        <f>IF(INDEX('Form Responses'!$A:$A,ROW())="","",INDEX('Form Responses'!$A:$A,ROW()))</f>
        <v/>
      </c>
      <c r="B492" s="32">
        <f>TRIM(INDEX('Form Responses'!$B:$B,ROW())&amp;"")</f>
        <v/>
      </c>
      <c r="C492" s="32">
        <f>IF(B492="","",TRIM(INDEX('Form Responses'!$C:$C,ROW())&amp;""))</f>
        <v/>
      </c>
      <c r="D492" s="32">
        <f>SUBSTITUTE(SUBSTITUTE(SUBSTITUTE(SUBSTITUTE(SUBSTITUTE(SUBSTITUTE(SUBSTITUTE(SUBSTITUTE(C492," ",""),"-",""),"(",""),")",""),".",""),"+",""),"/",""),CHAR(160),"")</f>
        <v/>
      </c>
      <c r="E492" s="32">
        <f>IF(LEN(D492)&gt;=10,RIGHT(D492,10),D492)</f>
        <v/>
      </c>
      <c r="F492" s="32">
        <f>IF(B492="","",TRIM(INDEX('Form Responses'!$D:$D,ROW())&amp;""))</f>
        <v/>
      </c>
      <c r="G492" s="32">
        <f>IF(B492="","",IF(LEFT(TRIM(INDEX('Form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2" s="32">
        <f>IF(B492="","",MAX(0,IFERROR(INT(--(INDEX('Form Responses'!$F:$F,ROW())&amp;"")),1)))</f>
        <v/>
      </c>
      <c r="I492" s="32">
        <f>IF(B492="","",MAX(0,IFERROR(INT(--(INDEX('Form Responses'!$G:$G,ROW())&amp;"")),0)))</f>
        <v/>
      </c>
      <c r="J492" s="32">
        <f>IF(B492="","",TRIM(INDEX('Form Responses'!$H:$H,ROW())&amp;""))</f>
        <v/>
      </c>
      <c r="K492" s="32">
        <f>IF(B492="","",TRIM(INDEX('Form Responses'!$I:$I,ROW())&amp;""))</f>
        <v/>
      </c>
      <c r="L492" s="32">
        <f>IF(B492="","",TRIM(INDEX('Form Responses'!$J:$J,ROW())&amp;""))</f>
        <v/>
      </c>
      <c r="M492" s="32">
        <f>IF(B492="","",TRIM(INDEX('Form Responses'!$K:$K,ROW())&amp;""))</f>
        <v/>
      </c>
      <c r="N492" s="32">
        <f>IF(B492="","",IF(E492&lt;&gt;"","P"&amp;E492,"N"&amp;B492))</f>
        <v/>
      </c>
      <c r="O492" s="32">
        <f>IF(N492="",0,IF(COUNTIF(N493:N$602,N492)=0,1,0))</f>
        <v/>
      </c>
      <c r="P492" s="32">
        <f>IF(AND(O492=1,E492&lt;&gt;""),E492,"")</f>
        <v/>
      </c>
      <c r="Q492" s="32">
        <f>IF(O492=1,B492,"")</f>
        <v/>
      </c>
      <c r="R492" s="32">
        <f>IF(O492&lt;&gt;1,"",IF(E492&lt;&gt;"",IFERROR(MATCH(E492,Guests!$S$6:$S$505,0)+5,IFERROR(MATCH(B492,Guests!$A$6:$A$505,0)+5,"")),IFERROR(MATCH(B492,Guests!$A$6:$A$505,0)+5,"")))</f>
        <v/>
      </c>
      <c r="S492" s="32">
        <f>IF(R492="","",TRIM(INDEX(Guests!$E$1:$E$505,R492)&amp;""))</f>
        <v/>
      </c>
      <c r="T492" s="32">
        <f>IF(R492="","",IF(S492="",1,COUNTIF(Guests!$E$6:$E$505,S492)))</f>
        <v/>
      </c>
      <c r="U492" s="32">
        <f>IF(R492="","",IF(S492="",1,IF(COUNTIF(S$1:S491,S492)=0,1,0)))</f>
        <v/>
      </c>
      <c r="V492" s="32">
        <f>IF(AND(R492&lt;&gt;"",G492="Attending",U492=1),MAX(0,H492+I492-T492),0)</f>
        <v/>
      </c>
      <c r="W492" s="32">
        <f>IF(AND(O492=1,R492=""),1,0)</f>
        <v/>
      </c>
      <c r="X492" s="32">
        <f>IF(B492="",0,H492+I492)</f>
        <v/>
      </c>
      <c r="Y492" s="32">
        <f>N(Y491)+O492</f>
        <v/>
      </c>
      <c r="Z492" s="32">
        <f>IF(O492=1,Y492,"")</f>
        <v/>
      </c>
      <c r="AA492" s="32">
        <f>IF(AND(W492=1,G492="Not sure yet"),1,0)</f>
        <v/>
      </c>
      <c r="AB492" s="32">
        <f>N(AB491)+AA492</f>
        <v/>
      </c>
      <c r="AC492" s="32">
        <f>IF(AA492=1,AB492,"")</f>
        <v/>
      </c>
      <c r="AD492" s="32">
        <f>IF(D492="","",IF(LEN(D492)=10,"+1"&amp;D492,IF(AND(LEN(D492)=11,LEFT(D492,1)="1"),"+"&amp;D492,IF(LEFT(C492,1)="+","+"&amp;D492,D492))))</f>
        <v/>
      </c>
      <c r="AE492" s="32">
        <f>IF(B492="","",PROPER(IFERROR(LEFT(B492,FIND(" ",B492)-1),B492)))</f>
        <v/>
      </c>
      <c r="AF492" s="32">
        <f>SUBSTITUTE(SUBSTITUTE(SUBSTITUTE(SUBSTITUTE(SUBSTITUTE(SUBSTITUTE(SUBSTITUTE(SUBSTITUTE(SUBSTITUTE(SUBSTITUTE(AE492,"%","%25"),"&amp;","%26"),"#","%23"),"+","%2B"),"=","%3D"),"?","%3F"),CHAR(34),"%22"),CHAR(10),"%0A"),CHAR(13),"")," ","+")</f>
        <v/>
      </c>
      <c r="AG492" s="32">
        <f>IF(OR(AD492="",AE492=""),"",'Start Here'!$B$20&amp;"#p="&amp;SUBSTITUTE(AD492,"+","%2B")&amp;"&amp;n="&amp;AF492&amp;"&amp;m="&amp;SUBSTITUTE('Start Here'!$B$24,"{name}",AF492))</f>
        <v/>
      </c>
      <c r="AH492" s="32">
        <f>N(AH491)+W492</f>
        <v/>
      </c>
      <c r="AI492" s="32">
        <f>IF(W492=1,AH492,"")</f>
        <v/>
      </c>
    </row>
    <row r="493">
      <c r="A493" s="32">
        <f>IF(INDEX('Form Responses'!$A:$A,ROW())="","",INDEX('Form Responses'!$A:$A,ROW()))</f>
        <v/>
      </c>
      <c r="B493" s="32">
        <f>TRIM(INDEX('Form Responses'!$B:$B,ROW())&amp;"")</f>
        <v/>
      </c>
      <c r="C493" s="32">
        <f>IF(B493="","",TRIM(INDEX('Form Responses'!$C:$C,ROW())&amp;""))</f>
        <v/>
      </c>
      <c r="D493" s="32">
        <f>SUBSTITUTE(SUBSTITUTE(SUBSTITUTE(SUBSTITUTE(SUBSTITUTE(SUBSTITUTE(SUBSTITUTE(SUBSTITUTE(C493," ",""),"-",""),"(",""),")",""),".",""),"+",""),"/",""),CHAR(160),"")</f>
        <v/>
      </c>
      <c r="E493" s="32">
        <f>IF(LEN(D493)&gt;=10,RIGHT(D493,10),D493)</f>
        <v/>
      </c>
      <c r="F493" s="32">
        <f>IF(B493="","",TRIM(INDEX('Form Responses'!$D:$D,ROW())&amp;""))</f>
        <v/>
      </c>
      <c r="G493" s="32">
        <f>IF(B493="","",IF(LEFT(TRIM(INDEX('Form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3" s="32">
        <f>IF(B493="","",MAX(0,IFERROR(INT(--(INDEX('Form Responses'!$F:$F,ROW())&amp;"")),1)))</f>
        <v/>
      </c>
      <c r="I493" s="32">
        <f>IF(B493="","",MAX(0,IFERROR(INT(--(INDEX('Form Responses'!$G:$G,ROW())&amp;"")),0)))</f>
        <v/>
      </c>
      <c r="J493" s="32">
        <f>IF(B493="","",TRIM(INDEX('Form Responses'!$H:$H,ROW())&amp;""))</f>
        <v/>
      </c>
      <c r="K493" s="32">
        <f>IF(B493="","",TRIM(INDEX('Form Responses'!$I:$I,ROW())&amp;""))</f>
        <v/>
      </c>
      <c r="L493" s="32">
        <f>IF(B493="","",TRIM(INDEX('Form Responses'!$J:$J,ROW())&amp;""))</f>
        <v/>
      </c>
      <c r="M493" s="32">
        <f>IF(B493="","",TRIM(INDEX('Form Responses'!$K:$K,ROW())&amp;""))</f>
        <v/>
      </c>
      <c r="N493" s="32">
        <f>IF(B493="","",IF(E493&lt;&gt;"","P"&amp;E493,"N"&amp;B493))</f>
        <v/>
      </c>
      <c r="O493" s="32">
        <f>IF(N493="",0,IF(COUNTIF(N494:N$602,N493)=0,1,0))</f>
        <v/>
      </c>
      <c r="P493" s="32">
        <f>IF(AND(O493=1,E493&lt;&gt;""),E493,"")</f>
        <v/>
      </c>
      <c r="Q493" s="32">
        <f>IF(O493=1,B493,"")</f>
        <v/>
      </c>
      <c r="R493" s="32">
        <f>IF(O493&lt;&gt;1,"",IF(E493&lt;&gt;"",IFERROR(MATCH(E493,Guests!$S$6:$S$505,0)+5,IFERROR(MATCH(B493,Guests!$A$6:$A$505,0)+5,"")),IFERROR(MATCH(B493,Guests!$A$6:$A$505,0)+5,"")))</f>
        <v/>
      </c>
      <c r="S493" s="32">
        <f>IF(R493="","",TRIM(INDEX(Guests!$E$1:$E$505,R493)&amp;""))</f>
        <v/>
      </c>
      <c r="T493" s="32">
        <f>IF(R493="","",IF(S493="",1,COUNTIF(Guests!$E$6:$E$505,S493)))</f>
        <v/>
      </c>
      <c r="U493" s="32">
        <f>IF(R493="","",IF(S493="",1,IF(COUNTIF(S$1:S492,S493)=0,1,0)))</f>
        <v/>
      </c>
      <c r="V493" s="32">
        <f>IF(AND(R493&lt;&gt;"",G493="Attending",U493=1),MAX(0,H493+I493-T493),0)</f>
        <v/>
      </c>
      <c r="W493" s="32">
        <f>IF(AND(O493=1,R493=""),1,0)</f>
        <v/>
      </c>
      <c r="X493" s="32">
        <f>IF(B493="",0,H493+I493)</f>
        <v/>
      </c>
      <c r="Y493" s="32">
        <f>N(Y492)+O493</f>
        <v/>
      </c>
      <c r="Z493" s="32">
        <f>IF(O493=1,Y493,"")</f>
        <v/>
      </c>
      <c r="AA493" s="32">
        <f>IF(AND(W493=1,G493="Not sure yet"),1,0)</f>
        <v/>
      </c>
      <c r="AB493" s="32">
        <f>N(AB492)+AA493</f>
        <v/>
      </c>
      <c r="AC493" s="32">
        <f>IF(AA493=1,AB493,"")</f>
        <v/>
      </c>
      <c r="AD493" s="32">
        <f>IF(D493="","",IF(LEN(D493)=10,"+1"&amp;D493,IF(AND(LEN(D493)=11,LEFT(D493,1)="1"),"+"&amp;D493,IF(LEFT(C493,1)="+","+"&amp;D493,D493))))</f>
        <v/>
      </c>
      <c r="AE493" s="32">
        <f>IF(B493="","",PROPER(IFERROR(LEFT(B493,FIND(" ",B493)-1),B493)))</f>
        <v/>
      </c>
      <c r="AF493" s="32">
        <f>SUBSTITUTE(SUBSTITUTE(SUBSTITUTE(SUBSTITUTE(SUBSTITUTE(SUBSTITUTE(SUBSTITUTE(SUBSTITUTE(SUBSTITUTE(SUBSTITUTE(AE493,"%","%25"),"&amp;","%26"),"#","%23"),"+","%2B"),"=","%3D"),"?","%3F"),CHAR(34),"%22"),CHAR(10),"%0A"),CHAR(13),"")," ","+")</f>
        <v/>
      </c>
      <c r="AG493" s="32">
        <f>IF(OR(AD493="",AE493=""),"",'Start Here'!$B$20&amp;"#p="&amp;SUBSTITUTE(AD493,"+","%2B")&amp;"&amp;n="&amp;AF493&amp;"&amp;m="&amp;SUBSTITUTE('Start Here'!$B$24,"{name}",AF493))</f>
        <v/>
      </c>
      <c r="AH493" s="32">
        <f>N(AH492)+W493</f>
        <v/>
      </c>
      <c r="AI493" s="32">
        <f>IF(W493=1,AH493,"")</f>
        <v/>
      </c>
    </row>
    <row r="494">
      <c r="A494" s="32">
        <f>IF(INDEX('Form Responses'!$A:$A,ROW())="","",INDEX('Form Responses'!$A:$A,ROW()))</f>
        <v/>
      </c>
      <c r="B494" s="32">
        <f>TRIM(INDEX('Form Responses'!$B:$B,ROW())&amp;"")</f>
        <v/>
      </c>
      <c r="C494" s="32">
        <f>IF(B494="","",TRIM(INDEX('Form Responses'!$C:$C,ROW())&amp;""))</f>
        <v/>
      </c>
      <c r="D494" s="32">
        <f>SUBSTITUTE(SUBSTITUTE(SUBSTITUTE(SUBSTITUTE(SUBSTITUTE(SUBSTITUTE(SUBSTITUTE(SUBSTITUTE(C494," ",""),"-",""),"(",""),")",""),".",""),"+",""),"/",""),CHAR(160),"")</f>
        <v/>
      </c>
      <c r="E494" s="32">
        <f>IF(LEN(D494)&gt;=10,RIGHT(D494,10),D494)</f>
        <v/>
      </c>
      <c r="F494" s="32">
        <f>IF(B494="","",TRIM(INDEX('Form Responses'!$D:$D,ROW())&amp;""))</f>
        <v/>
      </c>
      <c r="G494" s="32">
        <f>IF(B494="","",IF(LEFT(TRIM(INDEX('Form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4" s="32">
        <f>IF(B494="","",MAX(0,IFERROR(INT(--(INDEX('Form Responses'!$F:$F,ROW())&amp;"")),1)))</f>
        <v/>
      </c>
      <c r="I494" s="32">
        <f>IF(B494="","",MAX(0,IFERROR(INT(--(INDEX('Form Responses'!$G:$G,ROW())&amp;"")),0)))</f>
        <v/>
      </c>
      <c r="J494" s="32">
        <f>IF(B494="","",TRIM(INDEX('Form Responses'!$H:$H,ROW())&amp;""))</f>
        <v/>
      </c>
      <c r="K494" s="32">
        <f>IF(B494="","",TRIM(INDEX('Form Responses'!$I:$I,ROW())&amp;""))</f>
        <v/>
      </c>
      <c r="L494" s="32">
        <f>IF(B494="","",TRIM(INDEX('Form Responses'!$J:$J,ROW())&amp;""))</f>
        <v/>
      </c>
      <c r="M494" s="32">
        <f>IF(B494="","",TRIM(INDEX('Form Responses'!$K:$K,ROW())&amp;""))</f>
        <v/>
      </c>
      <c r="N494" s="32">
        <f>IF(B494="","",IF(E494&lt;&gt;"","P"&amp;E494,"N"&amp;B494))</f>
        <v/>
      </c>
      <c r="O494" s="32">
        <f>IF(N494="",0,IF(COUNTIF(N495:N$602,N494)=0,1,0))</f>
        <v/>
      </c>
      <c r="P494" s="32">
        <f>IF(AND(O494=1,E494&lt;&gt;""),E494,"")</f>
        <v/>
      </c>
      <c r="Q494" s="32">
        <f>IF(O494=1,B494,"")</f>
        <v/>
      </c>
      <c r="R494" s="32">
        <f>IF(O494&lt;&gt;1,"",IF(E494&lt;&gt;"",IFERROR(MATCH(E494,Guests!$S$6:$S$505,0)+5,IFERROR(MATCH(B494,Guests!$A$6:$A$505,0)+5,"")),IFERROR(MATCH(B494,Guests!$A$6:$A$505,0)+5,"")))</f>
        <v/>
      </c>
      <c r="S494" s="32">
        <f>IF(R494="","",TRIM(INDEX(Guests!$E$1:$E$505,R494)&amp;""))</f>
        <v/>
      </c>
      <c r="T494" s="32">
        <f>IF(R494="","",IF(S494="",1,COUNTIF(Guests!$E$6:$E$505,S494)))</f>
        <v/>
      </c>
      <c r="U494" s="32">
        <f>IF(R494="","",IF(S494="",1,IF(COUNTIF(S$1:S493,S494)=0,1,0)))</f>
        <v/>
      </c>
      <c r="V494" s="32">
        <f>IF(AND(R494&lt;&gt;"",G494="Attending",U494=1),MAX(0,H494+I494-T494),0)</f>
        <v/>
      </c>
      <c r="W494" s="32">
        <f>IF(AND(O494=1,R494=""),1,0)</f>
        <v/>
      </c>
      <c r="X494" s="32">
        <f>IF(B494="",0,H494+I494)</f>
        <v/>
      </c>
      <c r="Y494" s="32">
        <f>N(Y493)+O494</f>
        <v/>
      </c>
      <c r="Z494" s="32">
        <f>IF(O494=1,Y494,"")</f>
        <v/>
      </c>
      <c r="AA494" s="32">
        <f>IF(AND(W494=1,G494="Not sure yet"),1,0)</f>
        <v/>
      </c>
      <c r="AB494" s="32">
        <f>N(AB493)+AA494</f>
        <v/>
      </c>
      <c r="AC494" s="32">
        <f>IF(AA494=1,AB494,"")</f>
        <v/>
      </c>
      <c r="AD494" s="32">
        <f>IF(D494="","",IF(LEN(D494)=10,"+1"&amp;D494,IF(AND(LEN(D494)=11,LEFT(D494,1)="1"),"+"&amp;D494,IF(LEFT(C494,1)="+","+"&amp;D494,D494))))</f>
        <v/>
      </c>
      <c r="AE494" s="32">
        <f>IF(B494="","",PROPER(IFERROR(LEFT(B494,FIND(" ",B494)-1),B494)))</f>
        <v/>
      </c>
      <c r="AF494" s="32">
        <f>SUBSTITUTE(SUBSTITUTE(SUBSTITUTE(SUBSTITUTE(SUBSTITUTE(SUBSTITUTE(SUBSTITUTE(SUBSTITUTE(SUBSTITUTE(SUBSTITUTE(AE494,"%","%25"),"&amp;","%26"),"#","%23"),"+","%2B"),"=","%3D"),"?","%3F"),CHAR(34),"%22"),CHAR(10),"%0A"),CHAR(13),"")," ","+")</f>
        <v/>
      </c>
      <c r="AG494" s="32">
        <f>IF(OR(AD494="",AE494=""),"",'Start Here'!$B$20&amp;"#p="&amp;SUBSTITUTE(AD494,"+","%2B")&amp;"&amp;n="&amp;AF494&amp;"&amp;m="&amp;SUBSTITUTE('Start Here'!$B$24,"{name}",AF494))</f>
        <v/>
      </c>
      <c r="AH494" s="32">
        <f>N(AH493)+W494</f>
        <v/>
      </c>
      <c r="AI494" s="32">
        <f>IF(W494=1,AH494,"")</f>
        <v/>
      </c>
    </row>
    <row r="495">
      <c r="A495" s="32">
        <f>IF(INDEX('Form Responses'!$A:$A,ROW())="","",INDEX('Form Responses'!$A:$A,ROW()))</f>
        <v/>
      </c>
      <c r="B495" s="32">
        <f>TRIM(INDEX('Form Responses'!$B:$B,ROW())&amp;"")</f>
        <v/>
      </c>
      <c r="C495" s="32">
        <f>IF(B495="","",TRIM(INDEX('Form Responses'!$C:$C,ROW())&amp;""))</f>
        <v/>
      </c>
      <c r="D495" s="32">
        <f>SUBSTITUTE(SUBSTITUTE(SUBSTITUTE(SUBSTITUTE(SUBSTITUTE(SUBSTITUTE(SUBSTITUTE(SUBSTITUTE(C495," ",""),"-",""),"(",""),")",""),".",""),"+",""),"/",""),CHAR(160),"")</f>
        <v/>
      </c>
      <c r="E495" s="32">
        <f>IF(LEN(D495)&gt;=10,RIGHT(D495,10),D495)</f>
        <v/>
      </c>
      <c r="F495" s="32">
        <f>IF(B495="","",TRIM(INDEX('Form Responses'!$D:$D,ROW())&amp;""))</f>
        <v/>
      </c>
      <c r="G495" s="32">
        <f>IF(B495="","",IF(LEFT(TRIM(INDEX('Form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5" s="32">
        <f>IF(B495="","",MAX(0,IFERROR(INT(--(INDEX('Form Responses'!$F:$F,ROW())&amp;"")),1)))</f>
        <v/>
      </c>
      <c r="I495" s="32">
        <f>IF(B495="","",MAX(0,IFERROR(INT(--(INDEX('Form Responses'!$G:$G,ROW())&amp;"")),0)))</f>
        <v/>
      </c>
      <c r="J495" s="32">
        <f>IF(B495="","",TRIM(INDEX('Form Responses'!$H:$H,ROW())&amp;""))</f>
        <v/>
      </c>
      <c r="K495" s="32">
        <f>IF(B495="","",TRIM(INDEX('Form Responses'!$I:$I,ROW())&amp;""))</f>
        <v/>
      </c>
      <c r="L495" s="32">
        <f>IF(B495="","",TRIM(INDEX('Form Responses'!$J:$J,ROW())&amp;""))</f>
        <v/>
      </c>
      <c r="M495" s="32">
        <f>IF(B495="","",TRIM(INDEX('Form Responses'!$K:$K,ROW())&amp;""))</f>
        <v/>
      </c>
      <c r="N495" s="32">
        <f>IF(B495="","",IF(E495&lt;&gt;"","P"&amp;E495,"N"&amp;B495))</f>
        <v/>
      </c>
      <c r="O495" s="32">
        <f>IF(N495="",0,IF(COUNTIF(N496:N$602,N495)=0,1,0))</f>
        <v/>
      </c>
      <c r="P495" s="32">
        <f>IF(AND(O495=1,E495&lt;&gt;""),E495,"")</f>
        <v/>
      </c>
      <c r="Q495" s="32">
        <f>IF(O495=1,B495,"")</f>
        <v/>
      </c>
      <c r="R495" s="32">
        <f>IF(O495&lt;&gt;1,"",IF(E495&lt;&gt;"",IFERROR(MATCH(E495,Guests!$S$6:$S$505,0)+5,IFERROR(MATCH(B495,Guests!$A$6:$A$505,0)+5,"")),IFERROR(MATCH(B495,Guests!$A$6:$A$505,0)+5,"")))</f>
        <v/>
      </c>
      <c r="S495" s="32">
        <f>IF(R495="","",TRIM(INDEX(Guests!$E$1:$E$505,R495)&amp;""))</f>
        <v/>
      </c>
      <c r="T495" s="32">
        <f>IF(R495="","",IF(S495="",1,COUNTIF(Guests!$E$6:$E$505,S495)))</f>
        <v/>
      </c>
      <c r="U495" s="32">
        <f>IF(R495="","",IF(S495="",1,IF(COUNTIF(S$1:S494,S495)=0,1,0)))</f>
        <v/>
      </c>
      <c r="V495" s="32">
        <f>IF(AND(R495&lt;&gt;"",G495="Attending",U495=1),MAX(0,H495+I495-T495),0)</f>
        <v/>
      </c>
      <c r="W495" s="32">
        <f>IF(AND(O495=1,R495=""),1,0)</f>
        <v/>
      </c>
      <c r="X495" s="32">
        <f>IF(B495="",0,H495+I495)</f>
        <v/>
      </c>
      <c r="Y495" s="32">
        <f>N(Y494)+O495</f>
        <v/>
      </c>
      <c r="Z495" s="32">
        <f>IF(O495=1,Y495,"")</f>
        <v/>
      </c>
      <c r="AA495" s="32">
        <f>IF(AND(W495=1,G495="Not sure yet"),1,0)</f>
        <v/>
      </c>
      <c r="AB495" s="32">
        <f>N(AB494)+AA495</f>
        <v/>
      </c>
      <c r="AC495" s="32">
        <f>IF(AA495=1,AB495,"")</f>
        <v/>
      </c>
      <c r="AD495" s="32">
        <f>IF(D495="","",IF(LEN(D495)=10,"+1"&amp;D495,IF(AND(LEN(D495)=11,LEFT(D495,1)="1"),"+"&amp;D495,IF(LEFT(C495,1)="+","+"&amp;D495,D495))))</f>
        <v/>
      </c>
      <c r="AE495" s="32">
        <f>IF(B495="","",PROPER(IFERROR(LEFT(B495,FIND(" ",B495)-1),B495)))</f>
        <v/>
      </c>
      <c r="AF495" s="32">
        <f>SUBSTITUTE(SUBSTITUTE(SUBSTITUTE(SUBSTITUTE(SUBSTITUTE(SUBSTITUTE(SUBSTITUTE(SUBSTITUTE(SUBSTITUTE(SUBSTITUTE(AE495,"%","%25"),"&amp;","%26"),"#","%23"),"+","%2B"),"=","%3D"),"?","%3F"),CHAR(34),"%22"),CHAR(10),"%0A"),CHAR(13),"")," ","+")</f>
        <v/>
      </c>
      <c r="AG495" s="32">
        <f>IF(OR(AD495="",AE495=""),"",'Start Here'!$B$20&amp;"#p="&amp;SUBSTITUTE(AD495,"+","%2B")&amp;"&amp;n="&amp;AF495&amp;"&amp;m="&amp;SUBSTITUTE('Start Here'!$B$24,"{name}",AF495))</f>
        <v/>
      </c>
      <c r="AH495" s="32">
        <f>N(AH494)+W495</f>
        <v/>
      </c>
      <c r="AI495" s="32">
        <f>IF(W495=1,AH495,"")</f>
        <v/>
      </c>
    </row>
    <row r="496">
      <c r="A496" s="32">
        <f>IF(INDEX('Form Responses'!$A:$A,ROW())="","",INDEX('Form Responses'!$A:$A,ROW()))</f>
        <v/>
      </c>
      <c r="B496" s="32">
        <f>TRIM(INDEX('Form Responses'!$B:$B,ROW())&amp;"")</f>
        <v/>
      </c>
      <c r="C496" s="32">
        <f>IF(B496="","",TRIM(INDEX('Form Responses'!$C:$C,ROW())&amp;""))</f>
        <v/>
      </c>
      <c r="D496" s="32">
        <f>SUBSTITUTE(SUBSTITUTE(SUBSTITUTE(SUBSTITUTE(SUBSTITUTE(SUBSTITUTE(SUBSTITUTE(SUBSTITUTE(C496," ",""),"-",""),"(",""),")",""),".",""),"+",""),"/",""),CHAR(160),"")</f>
        <v/>
      </c>
      <c r="E496" s="32">
        <f>IF(LEN(D496)&gt;=10,RIGHT(D496,10),D496)</f>
        <v/>
      </c>
      <c r="F496" s="32">
        <f>IF(B496="","",TRIM(INDEX('Form Responses'!$D:$D,ROW())&amp;""))</f>
        <v/>
      </c>
      <c r="G496" s="32">
        <f>IF(B496="","",IF(LEFT(TRIM(INDEX('Form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6" s="32">
        <f>IF(B496="","",MAX(0,IFERROR(INT(--(INDEX('Form Responses'!$F:$F,ROW())&amp;"")),1)))</f>
        <v/>
      </c>
      <c r="I496" s="32">
        <f>IF(B496="","",MAX(0,IFERROR(INT(--(INDEX('Form Responses'!$G:$G,ROW())&amp;"")),0)))</f>
        <v/>
      </c>
      <c r="J496" s="32">
        <f>IF(B496="","",TRIM(INDEX('Form Responses'!$H:$H,ROW())&amp;""))</f>
        <v/>
      </c>
      <c r="K496" s="32">
        <f>IF(B496="","",TRIM(INDEX('Form Responses'!$I:$I,ROW())&amp;""))</f>
        <v/>
      </c>
      <c r="L496" s="32">
        <f>IF(B496="","",TRIM(INDEX('Form Responses'!$J:$J,ROW())&amp;""))</f>
        <v/>
      </c>
      <c r="M496" s="32">
        <f>IF(B496="","",TRIM(INDEX('Form Responses'!$K:$K,ROW())&amp;""))</f>
        <v/>
      </c>
      <c r="N496" s="32">
        <f>IF(B496="","",IF(E496&lt;&gt;"","P"&amp;E496,"N"&amp;B496))</f>
        <v/>
      </c>
      <c r="O496" s="32">
        <f>IF(N496="",0,IF(COUNTIF(N497:N$602,N496)=0,1,0))</f>
        <v/>
      </c>
      <c r="P496" s="32">
        <f>IF(AND(O496=1,E496&lt;&gt;""),E496,"")</f>
        <v/>
      </c>
      <c r="Q496" s="32">
        <f>IF(O496=1,B496,"")</f>
        <v/>
      </c>
      <c r="R496" s="32">
        <f>IF(O496&lt;&gt;1,"",IF(E496&lt;&gt;"",IFERROR(MATCH(E496,Guests!$S$6:$S$505,0)+5,IFERROR(MATCH(B496,Guests!$A$6:$A$505,0)+5,"")),IFERROR(MATCH(B496,Guests!$A$6:$A$505,0)+5,"")))</f>
        <v/>
      </c>
      <c r="S496" s="32">
        <f>IF(R496="","",TRIM(INDEX(Guests!$E$1:$E$505,R496)&amp;""))</f>
        <v/>
      </c>
      <c r="T496" s="32">
        <f>IF(R496="","",IF(S496="",1,COUNTIF(Guests!$E$6:$E$505,S496)))</f>
        <v/>
      </c>
      <c r="U496" s="32">
        <f>IF(R496="","",IF(S496="",1,IF(COUNTIF(S$1:S495,S496)=0,1,0)))</f>
        <v/>
      </c>
      <c r="V496" s="32">
        <f>IF(AND(R496&lt;&gt;"",G496="Attending",U496=1),MAX(0,H496+I496-T496),0)</f>
        <v/>
      </c>
      <c r="W496" s="32">
        <f>IF(AND(O496=1,R496=""),1,0)</f>
        <v/>
      </c>
      <c r="X496" s="32">
        <f>IF(B496="",0,H496+I496)</f>
        <v/>
      </c>
      <c r="Y496" s="32">
        <f>N(Y495)+O496</f>
        <v/>
      </c>
      <c r="Z496" s="32">
        <f>IF(O496=1,Y496,"")</f>
        <v/>
      </c>
      <c r="AA496" s="32">
        <f>IF(AND(W496=1,G496="Not sure yet"),1,0)</f>
        <v/>
      </c>
      <c r="AB496" s="32">
        <f>N(AB495)+AA496</f>
        <v/>
      </c>
      <c r="AC496" s="32">
        <f>IF(AA496=1,AB496,"")</f>
        <v/>
      </c>
      <c r="AD496" s="32">
        <f>IF(D496="","",IF(LEN(D496)=10,"+1"&amp;D496,IF(AND(LEN(D496)=11,LEFT(D496,1)="1"),"+"&amp;D496,IF(LEFT(C496,1)="+","+"&amp;D496,D496))))</f>
        <v/>
      </c>
      <c r="AE496" s="32">
        <f>IF(B496="","",PROPER(IFERROR(LEFT(B496,FIND(" ",B496)-1),B496)))</f>
        <v/>
      </c>
      <c r="AF496" s="32">
        <f>SUBSTITUTE(SUBSTITUTE(SUBSTITUTE(SUBSTITUTE(SUBSTITUTE(SUBSTITUTE(SUBSTITUTE(SUBSTITUTE(SUBSTITUTE(SUBSTITUTE(AE496,"%","%25"),"&amp;","%26"),"#","%23"),"+","%2B"),"=","%3D"),"?","%3F"),CHAR(34),"%22"),CHAR(10),"%0A"),CHAR(13),"")," ","+")</f>
        <v/>
      </c>
      <c r="AG496" s="32">
        <f>IF(OR(AD496="",AE496=""),"",'Start Here'!$B$20&amp;"#p="&amp;SUBSTITUTE(AD496,"+","%2B")&amp;"&amp;n="&amp;AF496&amp;"&amp;m="&amp;SUBSTITUTE('Start Here'!$B$24,"{name}",AF496))</f>
        <v/>
      </c>
      <c r="AH496" s="32">
        <f>N(AH495)+W496</f>
        <v/>
      </c>
      <c r="AI496" s="32">
        <f>IF(W496=1,AH496,"")</f>
        <v/>
      </c>
    </row>
    <row r="497">
      <c r="A497" s="32">
        <f>IF(INDEX('Form Responses'!$A:$A,ROW())="","",INDEX('Form Responses'!$A:$A,ROW()))</f>
        <v/>
      </c>
      <c r="B497" s="32">
        <f>TRIM(INDEX('Form Responses'!$B:$B,ROW())&amp;"")</f>
        <v/>
      </c>
      <c r="C497" s="32">
        <f>IF(B497="","",TRIM(INDEX('Form Responses'!$C:$C,ROW())&amp;""))</f>
        <v/>
      </c>
      <c r="D497" s="32">
        <f>SUBSTITUTE(SUBSTITUTE(SUBSTITUTE(SUBSTITUTE(SUBSTITUTE(SUBSTITUTE(SUBSTITUTE(SUBSTITUTE(C497," ",""),"-",""),"(",""),")",""),".",""),"+",""),"/",""),CHAR(160),"")</f>
        <v/>
      </c>
      <c r="E497" s="32">
        <f>IF(LEN(D497)&gt;=10,RIGHT(D497,10),D497)</f>
        <v/>
      </c>
      <c r="F497" s="32">
        <f>IF(B497="","",TRIM(INDEX('Form Responses'!$D:$D,ROW())&amp;""))</f>
        <v/>
      </c>
      <c r="G497" s="32">
        <f>IF(B497="","",IF(LEFT(TRIM(INDEX('Form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7" s="32">
        <f>IF(B497="","",MAX(0,IFERROR(INT(--(INDEX('Form Responses'!$F:$F,ROW())&amp;"")),1)))</f>
        <v/>
      </c>
      <c r="I497" s="32">
        <f>IF(B497="","",MAX(0,IFERROR(INT(--(INDEX('Form Responses'!$G:$G,ROW())&amp;"")),0)))</f>
        <v/>
      </c>
      <c r="J497" s="32">
        <f>IF(B497="","",TRIM(INDEX('Form Responses'!$H:$H,ROW())&amp;""))</f>
        <v/>
      </c>
      <c r="K497" s="32">
        <f>IF(B497="","",TRIM(INDEX('Form Responses'!$I:$I,ROW())&amp;""))</f>
        <v/>
      </c>
      <c r="L497" s="32">
        <f>IF(B497="","",TRIM(INDEX('Form Responses'!$J:$J,ROW())&amp;""))</f>
        <v/>
      </c>
      <c r="M497" s="32">
        <f>IF(B497="","",TRIM(INDEX('Form Responses'!$K:$K,ROW())&amp;""))</f>
        <v/>
      </c>
      <c r="N497" s="32">
        <f>IF(B497="","",IF(E497&lt;&gt;"","P"&amp;E497,"N"&amp;B497))</f>
        <v/>
      </c>
      <c r="O497" s="32">
        <f>IF(N497="",0,IF(COUNTIF(N498:N$602,N497)=0,1,0))</f>
        <v/>
      </c>
      <c r="P497" s="32">
        <f>IF(AND(O497=1,E497&lt;&gt;""),E497,"")</f>
        <v/>
      </c>
      <c r="Q497" s="32">
        <f>IF(O497=1,B497,"")</f>
        <v/>
      </c>
      <c r="R497" s="32">
        <f>IF(O497&lt;&gt;1,"",IF(E497&lt;&gt;"",IFERROR(MATCH(E497,Guests!$S$6:$S$505,0)+5,IFERROR(MATCH(B497,Guests!$A$6:$A$505,0)+5,"")),IFERROR(MATCH(B497,Guests!$A$6:$A$505,0)+5,"")))</f>
        <v/>
      </c>
      <c r="S497" s="32">
        <f>IF(R497="","",TRIM(INDEX(Guests!$E$1:$E$505,R497)&amp;""))</f>
        <v/>
      </c>
      <c r="T497" s="32">
        <f>IF(R497="","",IF(S497="",1,COUNTIF(Guests!$E$6:$E$505,S497)))</f>
        <v/>
      </c>
      <c r="U497" s="32">
        <f>IF(R497="","",IF(S497="",1,IF(COUNTIF(S$1:S496,S497)=0,1,0)))</f>
        <v/>
      </c>
      <c r="V497" s="32">
        <f>IF(AND(R497&lt;&gt;"",G497="Attending",U497=1),MAX(0,H497+I497-T497),0)</f>
        <v/>
      </c>
      <c r="W497" s="32">
        <f>IF(AND(O497=1,R497=""),1,0)</f>
        <v/>
      </c>
      <c r="X497" s="32">
        <f>IF(B497="",0,H497+I497)</f>
        <v/>
      </c>
      <c r="Y497" s="32">
        <f>N(Y496)+O497</f>
        <v/>
      </c>
      <c r="Z497" s="32">
        <f>IF(O497=1,Y497,"")</f>
        <v/>
      </c>
      <c r="AA497" s="32">
        <f>IF(AND(W497=1,G497="Not sure yet"),1,0)</f>
        <v/>
      </c>
      <c r="AB497" s="32">
        <f>N(AB496)+AA497</f>
        <v/>
      </c>
      <c r="AC497" s="32">
        <f>IF(AA497=1,AB497,"")</f>
        <v/>
      </c>
      <c r="AD497" s="32">
        <f>IF(D497="","",IF(LEN(D497)=10,"+1"&amp;D497,IF(AND(LEN(D497)=11,LEFT(D497,1)="1"),"+"&amp;D497,IF(LEFT(C497,1)="+","+"&amp;D497,D497))))</f>
        <v/>
      </c>
      <c r="AE497" s="32">
        <f>IF(B497="","",PROPER(IFERROR(LEFT(B497,FIND(" ",B497)-1),B497)))</f>
        <v/>
      </c>
      <c r="AF497" s="32">
        <f>SUBSTITUTE(SUBSTITUTE(SUBSTITUTE(SUBSTITUTE(SUBSTITUTE(SUBSTITUTE(SUBSTITUTE(SUBSTITUTE(SUBSTITUTE(SUBSTITUTE(AE497,"%","%25"),"&amp;","%26"),"#","%23"),"+","%2B"),"=","%3D"),"?","%3F"),CHAR(34),"%22"),CHAR(10),"%0A"),CHAR(13),"")," ","+")</f>
        <v/>
      </c>
      <c r="AG497" s="32">
        <f>IF(OR(AD497="",AE497=""),"",'Start Here'!$B$20&amp;"#p="&amp;SUBSTITUTE(AD497,"+","%2B")&amp;"&amp;n="&amp;AF497&amp;"&amp;m="&amp;SUBSTITUTE('Start Here'!$B$24,"{name}",AF497))</f>
        <v/>
      </c>
      <c r="AH497" s="32">
        <f>N(AH496)+W497</f>
        <v/>
      </c>
      <c r="AI497" s="32">
        <f>IF(W497=1,AH497,"")</f>
        <v/>
      </c>
    </row>
    <row r="498">
      <c r="A498" s="32">
        <f>IF(INDEX('Form Responses'!$A:$A,ROW())="","",INDEX('Form Responses'!$A:$A,ROW()))</f>
        <v/>
      </c>
      <c r="B498" s="32">
        <f>TRIM(INDEX('Form Responses'!$B:$B,ROW())&amp;"")</f>
        <v/>
      </c>
      <c r="C498" s="32">
        <f>IF(B498="","",TRIM(INDEX('Form Responses'!$C:$C,ROW())&amp;""))</f>
        <v/>
      </c>
      <c r="D498" s="32">
        <f>SUBSTITUTE(SUBSTITUTE(SUBSTITUTE(SUBSTITUTE(SUBSTITUTE(SUBSTITUTE(SUBSTITUTE(SUBSTITUTE(C498," ",""),"-",""),"(",""),")",""),".",""),"+",""),"/",""),CHAR(160),"")</f>
        <v/>
      </c>
      <c r="E498" s="32">
        <f>IF(LEN(D498)&gt;=10,RIGHT(D498,10),D498)</f>
        <v/>
      </c>
      <c r="F498" s="32">
        <f>IF(B498="","",TRIM(INDEX('Form Responses'!$D:$D,ROW())&amp;""))</f>
        <v/>
      </c>
      <c r="G498" s="32">
        <f>IF(B498="","",IF(LEFT(TRIM(INDEX('Form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8" s="32">
        <f>IF(B498="","",MAX(0,IFERROR(INT(--(INDEX('Form Responses'!$F:$F,ROW())&amp;"")),1)))</f>
        <v/>
      </c>
      <c r="I498" s="32">
        <f>IF(B498="","",MAX(0,IFERROR(INT(--(INDEX('Form Responses'!$G:$G,ROW())&amp;"")),0)))</f>
        <v/>
      </c>
      <c r="J498" s="32">
        <f>IF(B498="","",TRIM(INDEX('Form Responses'!$H:$H,ROW())&amp;""))</f>
        <v/>
      </c>
      <c r="K498" s="32">
        <f>IF(B498="","",TRIM(INDEX('Form Responses'!$I:$I,ROW())&amp;""))</f>
        <v/>
      </c>
      <c r="L498" s="32">
        <f>IF(B498="","",TRIM(INDEX('Form Responses'!$J:$J,ROW())&amp;""))</f>
        <v/>
      </c>
      <c r="M498" s="32">
        <f>IF(B498="","",TRIM(INDEX('Form Responses'!$K:$K,ROW())&amp;""))</f>
        <v/>
      </c>
      <c r="N498" s="32">
        <f>IF(B498="","",IF(E498&lt;&gt;"","P"&amp;E498,"N"&amp;B498))</f>
        <v/>
      </c>
      <c r="O498" s="32">
        <f>IF(N498="",0,IF(COUNTIF(N499:N$602,N498)=0,1,0))</f>
        <v/>
      </c>
      <c r="P498" s="32">
        <f>IF(AND(O498=1,E498&lt;&gt;""),E498,"")</f>
        <v/>
      </c>
      <c r="Q498" s="32">
        <f>IF(O498=1,B498,"")</f>
        <v/>
      </c>
      <c r="R498" s="32">
        <f>IF(O498&lt;&gt;1,"",IF(E498&lt;&gt;"",IFERROR(MATCH(E498,Guests!$S$6:$S$505,0)+5,IFERROR(MATCH(B498,Guests!$A$6:$A$505,0)+5,"")),IFERROR(MATCH(B498,Guests!$A$6:$A$505,0)+5,"")))</f>
        <v/>
      </c>
      <c r="S498" s="32">
        <f>IF(R498="","",TRIM(INDEX(Guests!$E$1:$E$505,R498)&amp;""))</f>
        <v/>
      </c>
      <c r="T498" s="32">
        <f>IF(R498="","",IF(S498="",1,COUNTIF(Guests!$E$6:$E$505,S498)))</f>
        <v/>
      </c>
      <c r="U498" s="32">
        <f>IF(R498="","",IF(S498="",1,IF(COUNTIF(S$1:S497,S498)=0,1,0)))</f>
        <v/>
      </c>
      <c r="V498" s="32">
        <f>IF(AND(R498&lt;&gt;"",G498="Attending",U498=1),MAX(0,H498+I498-T498),0)</f>
        <v/>
      </c>
      <c r="W498" s="32">
        <f>IF(AND(O498=1,R498=""),1,0)</f>
        <v/>
      </c>
      <c r="X498" s="32">
        <f>IF(B498="",0,H498+I498)</f>
        <v/>
      </c>
      <c r="Y498" s="32">
        <f>N(Y497)+O498</f>
        <v/>
      </c>
      <c r="Z498" s="32">
        <f>IF(O498=1,Y498,"")</f>
        <v/>
      </c>
      <c r="AA498" s="32">
        <f>IF(AND(W498=1,G498="Not sure yet"),1,0)</f>
        <v/>
      </c>
      <c r="AB498" s="32">
        <f>N(AB497)+AA498</f>
        <v/>
      </c>
      <c r="AC498" s="32">
        <f>IF(AA498=1,AB498,"")</f>
        <v/>
      </c>
      <c r="AD498" s="32">
        <f>IF(D498="","",IF(LEN(D498)=10,"+1"&amp;D498,IF(AND(LEN(D498)=11,LEFT(D498,1)="1"),"+"&amp;D498,IF(LEFT(C498,1)="+","+"&amp;D498,D498))))</f>
        <v/>
      </c>
      <c r="AE498" s="32">
        <f>IF(B498="","",PROPER(IFERROR(LEFT(B498,FIND(" ",B498)-1),B498)))</f>
        <v/>
      </c>
      <c r="AF498" s="32">
        <f>SUBSTITUTE(SUBSTITUTE(SUBSTITUTE(SUBSTITUTE(SUBSTITUTE(SUBSTITUTE(SUBSTITUTE(SUBSTITUTE(SUBSTITUTE(SUBSTITUTE(AE498,"%","%25"),"&amp;","%26"),"#","%23"),"+","%2B"),"=","%3D"),"?","%3F"),CHAR(34),"%22"),CHAR(10),"%0A"),CHAR(13),"")," ","+")</f>
        <v/>
      </c>
      <c r="AG498" s="32">
        <f>IF(OR(AD498="",AE498=""),"",'Start Here'!$B$20&amp;"#p="&amp;SUBSTITUTE(AD498,"+","%2B")&amp;"&amp;n="&amp;AF498&amp;"&amp;m="&amp;SUBSTITUTE('Start Here'!$B$24,"{name}",AF498))</f>
        <v/>
      </c>
      <c r="AH498" s="32">
        <f>N(AH497)+W498</f>
        <v/>
      </c>
      <c r="AI498" s="32">
        <f>IF(W498=1,AH498,"")</f>
        <v/>
      </c>
    </row>
    <row r="499">
      <c r="A499" s="32">
        <f>IF(INDEX('Form Responses'!$A:$A,ROW())="","",INDEX('Form Responses'!$A:$A,ROW()))</f>
        <v/>
      </c>
      <c r="B499" s="32">
        <f>TRIM(INDEX('Form Responses'!$B:$B,ROW())&amp;"")</f>
        <v/>
      </c>
      <c r="C499" s="32">
        <f>IF(B499="","",TRIM(INDEX('Form Responses'!$C:$C,ROW())&amp;""))</f>
        <v/>
      </c>
      <c r="D499" s="32">
        <f>SUBSTITUTE(SUBSTITUTE(SUBSTITUTE(SUBSTITUTE(SUBSTITUTE(SUBSTITUTE(SUBSTITUTE(SUBSTITUTE(C499," ",""),"-",""),"(",""),")",""),".",""),"+",""),"/",""),CHAR(160),"")</f>
        <v/>
      </c>
      <c r="E499" s="32">
        <f>IF(LEN(D499)&gt;=10,RIGHT(D499,10),D499)</f>
        <v/>
      </c>
      <c r="F499" s="32">
        <f>IF(B499="","",TRIM(INDEX('Form Responses'!$D:$D,ROW())&amp;""))</f>
        <v/>
      </c>
      <c r="G499" s="32">
        <f>IF(B499="","",IF(LEFT(TRIM(INDEX('Form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499" s="32">
        <f>IF(B499="","",MAX(0,IFERROR(INT(--(INDEX('Form Responses'!$F:$F,ROW())&amp;"")),1)))</f>
        <v/>
      </c>
      <c r="I499" s="32">
        <f>IF(B499="","",MAX(0,IFERROR(INT(--(INDEX('Form Responses'!$G:$G,ROW())&amp;"")),0)))</f>
        <v/>
      </c>
      <c r="J499" s="32">
        <f>IF(B499="","",TRIM(INDEX('Form Responses'!$H:$H,ROW())&amp;""))</f>
        <v/>
      </c>
      <c r="K499" s="32">
        <f>IF(B499="","",TRIM(INDEX('Form Responses'!$I:$I,ROW())&amp;""))</f>
        <v/>
      </c>
      <c r="L499" s="32">
        <f>IF(B499="","",TRIM(INDEX('Form Responses'!$J:$J,ROW())&amp;""))</f>
        <v/>
      </c>
      <c r="M499" s="32">
        <f>IF(B499="","",TRIM(INDEX('Form Responses'!$K:$K,ROW())&amp;""))</f>
        <v/>
      </c>
      <c r="N499" s="32">
        <f>IF(B499="","",IF(E499&lt;&gt;"","P"&amp;E499,"N"&amp;B499))</f>
        <v/>
      </c>
      <c r="O499" s="32">
        <f>IF(N499="",0,IF(COUNTIF(N500:N$602,N499)=0,1,0))</f>
        <v/>
      </c>
      <c r="P499" s="32">
        <f>IF(AND(O499=1,E499&lt;&gt;""),E499,"")</f>
        <v/>
      </c>
      <c r="Q499" s="32">
        <f>IF(O499=1,B499,"")</f>
        <v/>
      </c>
      <c r="R499" s="32">
        <f>IF(O499&lt;&gt;1,"",IF(E499&lt;&gt;"",IFERROR(MATCH(E499,Guests!$S$6:$S$505,0)+5,IFERROR(MATCH(B499,Guests!$A$6:$A$505,0)+5,"")),IFERROR(MATCH(B499,Guests!$A$6:$A$505,0)+5,"")))</f>
        <v/>
      </c>
      <c r="S499" s="32">
        <f>IF(R499="","",TRIM(INDEX(Guests!$E$1:$E$505,R499)&amp;""))</f>
        <v/>
      </c>
      <c r="T499" s="32">
        <f>IF(R499="","",IF(S499="",1,COUNTIF(Guests!$E$6:$E$505,S499)))</f>
        <v/>
      </c>
      <c r="U499" s="32">
        <f>IF(R499="","",IF(S499="",1,IF(COUNTIF(S$1:S498,S499)=0,1,0)))</f>
        <v/>
      </c>
      <c r="V499" s="32">
        <f>IF(AND(R499&lt;&gt;"",G499="Attending",U499=1),MAX(0,H499+I499-T499),0)</f>
        <v/>
      </c>
      <c r="W499" s="32">
        <f>IF(AND(O499=1,R499=""),1,0)</f>
        <v/>
      </c>
      <c r="X499" s="32">
        <f>IF(B499="",0,H499+I499)</f>
        <v/>
      </c>
      <c r="Y499" s="32">
        <f>N(Y498)+O499</f>
        <v/>
      </c>
      <c r="Z499" s="32">
        <f>IF(O499=1,Y499,"")</f>
        <v/>
      </c>
      <c r="AA499" s="32">
        <f>IF(AND(W499=1,G499="Not sure yet"),1,0)</f>
        <v/>
      </c>
      <c r="AB499" s="32">
        <f>N(AB498)+AA499</f>
        <v/>
      </c>
      <c r="AC499" s="32">
        <f>IF(AA499=1,AB499,"")</f>
        <v/>
      </c>
      <c r="AD499" s="32">
        <f>IF(D499="","",IF(LEN(D499)=10,"+1"&amp;D499,IF(AND(LEN(D499)=11,LEFT(D499,1)="1"),"+"&amp;D499,IF(LEFT(C499,1)="+","+"&amp;D499,D499))))</f>
        <v/>
      </c>
      <c r="AE499" s="32">
        <f>IF(B499="","",PROPER(IFERROR(LEFT(B499,FIND(" ",B499)-1),B499)))</f>
        <v/>
      </c>
      <c r="AF499" s="32">
        <f>SUBSTITUTE(SUBSTITUTE(SUBSTITUTE(SUBSTITUTE(SUBSTITUTE(SUBSTITUTE(SUBSTITUTE(SUBSTITUTE(SUBSTITUTE(SUBSTITUTE(AE499,"%","%25"),"&amp;","%26"),"#","%23"),"+","%2B"),"=","%3D"),"?","%3F"),CHAR(34),"%22"),CHAR(10),"%0A"),CHAR(13),"")," ","+")</f>
        <v/>
      </c>
      <c r="AG499" s="32">
        <f>IF(OR(AD499="",AE499=""),"",'Start Here'!$B$20&amp;"#p="&amp;SUBSTITUTE(AD499,"+","%2B")&amp;"&amp;n="&amp;AF499&amp;"&amp;m="&amp;SUBSTITUTE('Start Here'!$B$24,"{name}",AF499))</f>
        <v/>
      </c>
      <c r="AH499" s="32">
        <f>N(AH498)+W499</f>
        <v/>
      </c>
      <c r="AI499" s="32">
        <f>IF(W499=1,AH499,"")</f>
        <v/>
      </c>
    </row>
    <row r="500">
      <c r="A500" s="32">
        <f>IF(INDEX('Form Responses'!$A:$A,ROW())="","",INDEX('Form Responses'!$A:$A,ROW()))</f>
        <v/>
      </c>
      <c r="B500" s="32">
        <f>TRIM(INDEX('Form Responses'!$B:$B,ROW())&amp;"")</f>
        <v/>
      </c>
      <c r="C500" s="32">
        <f>IF(B500="","",TRIM(INDEX('Form Responses'!$C:$C,ROW())&amp;""))</f>
        <v/>
      </c>
      <c r="D500" s="32">
        <f>SUBSTITUTE(SUBSTITUTE(SUBSTITUTE(SUBSTITUTE(SUBSTITUTE(SUBSTITUTE(SUBSTITUTE(SUBSTITUTE(C500," ",""),"-",""),"(",""),")",""),".",""),"+",""),"/",""),CHAR(160),"")</f>
        <v/>
      </c>
      <c r="E500" s="32">
        <f>IF(LEN(D500)&gt;=10,RIGHT(D500,10),D500)</f>
        <v/>
      </c>
      <c r="F500" s="32">
        <f>IF(B500="","",TRIM(INDEX('Form Responses'!$D:$D,ROW())&amp;""))</f>
        <v/>
      </c>
      <c r="G500" s="32">
        <f>IF(B500="","",IF(LEFT(TRIM(INDEX('Form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0" s="32">
        <f>IF(B500="","",MAX(0,IFERROR(INT(--(INDEX('Form Responses'!$F:$F,ROW())&amp;"")),1)))</f>
        <v/>
      </c>
      <c r="I500" s="32">
        <f>IF(B500="","",MAX(0,IFERROR(INT(--(INDEX('Form Responses'!$G:$G,ROW())&amp;"")),0)))</f>
        <v/>
      </c>
      <c r="J500" s="32">
        <f>IF(B500="","",TRIM(INDEX('Form Responses'!$H:$H,ROW())&amp;""))</f>
        <v/>
      </c>
      <c r="K500" s="32">
        <f>IF(B500="","",TRIM(INDEX('Form Responses'!$I:$I,ROW())&amp;""))</f>
        <v/>
      </c>
      <c r="L500" s="32">
        <f>IF(B500="","",TRIM(INDEX('Form Responses'!$J:$J,ROW())&amp;""))</f>
        <v/>
      </c>
      <c r="M500" s="32">
        <f>IF(B500="","",TRIM(INDEX('Form Responses'!$K:$K,ROW())&amp;""))</f>
        <v/>
      </c>
      <c r="N500" s="32">
        <f>IF(B500="","",IF(E500&lt;&gt;"","P"&amp;E500,"N"&amp;B500))</f>
        <v/>
      </c>
      <c r="O500" s="32">
        <f>IF(N500="",0,IF(COUNTIF(N501:N$602,N500)=0,1,0))</f>
        <v/>
      </c>
      <c r="P500" s="32">
        <f>IF(AND(O500=1,E500&lt;&gt;""),E500,"")</f>
        <v/>
      </c>
      <c r="Q500" s="32">
        <f>IF(O500=1,B500,"")</f>
        <v/>
      </c>
      <c r="R500" s="32">
        <f>IF(O500&lt;&gt;1,"",IF(E500&lt;&gt;"",IFERROR(MATCH(E500,Guests!$S$6:$S$505,0)+5,IFERROR(MATCH(B500,Guests!$A$6:$A$505,0)+5,"")),IFERROR(MATCH(B500,Guests!$A$6:$A$505,0)+5,"")))</f>
        <v/>
      </c>
      <c r="S500" s="32">
        <f>IF(R500="","",TRIM(INDEX(Guests!$E$1:$E$505,R500)&amp;""))</f>
        <v/>
      </c>
      <c r="T500" s="32">
        <f>IF(R500="","",IF(S500="",1,COUNTIF(Guests!$E$6:$E$505,S500)))</f>
        <v/>
      </c>
      <c r="U500" s="32">
        <f>IF(R500="","",IF(S500="",1,IF(COUNTIF(S$1:S499,S500)=0,1,0)))</f>
        <v/>
      </c>
      <c r="V500" s="32">
        <f>IF(AND(R500&lt;&gt;"",G500="Attending",U500=1),MAX(0,H500+I500-T500),0)</f>
        <v/>
      </c>
      <c r="W500" s="32">
        <f>IF(AND(O500=1,R500=""),1,0)</f>
        <v/>
      </c>
      <c r="X500" s="32">
        <f>IF(B500="",0,H500+I500)</f>
        <v/>
      </c>
      <c r="Y500" s="32">
        <f>N(Y499)+O500</f>
        <v/>
      </c>
      <c r="Z500" s="32">
        <f>IF(O500=1,Y500,"")</f>
        <v/>
      </c>
      <c r="AA500" s="32">
        <f>IF(AND(W500=1,G500="Not sure yet"),1,0)</f>
        <v/>
      </c>
      <c r="AB500" s="32">
        <f>N(AB499)+AA500</f>
        <v/>
      </c>
      <c r="AC500" s="32">
        <f>IF(AA500=1,AB500,"")</f>
        <v/>
      </c>
      <c r="AD500" s="32">
        <f>IF(D500="","",IF(LEN(D500)=10,"+1"&amp;D500,IF(AND(LEN(D500)=11,LEFT(D500,1)="1"),"+"&amp;D500,IF(LEFT(C500,1)="+","+"&amp;D500,D500))))</f>
        <v/>
      </c>
      <c r="AE500" s="32">
        <f>IF(B500="","",PROPER(IFERROR(LEFT(B500,FIND(" ",B500)-1),B500)))</f>
        <v/>
      </c>
      <c r="AF500" s="32">
        <f>SUBSTITUTE(SUBSTITUTE(SUBSTITUTE(SUBSTITUTE(SUBSTITUTE(SUBSTITUTE(SUBSTITUTE(SUBSTITUTE(SUBSTITUTE(SUBSTITUTE(AE500,"%","%25"),"&amp;","%26"),"#","%23"),"+","%2B"),"=","%3D"),"?","%3F"),CHAR(34),"%22"),CHAR(10),"%0A"),CHAR(13),"")," ","+")</f>
        <v/>
      </c>
      <c r="AG500" s="32">
        <f>IF(OR(AD500="",AE500=""),"",'Start Here'!$B$20&amp;"#p="&amp;SUBSTITUTE(AD500,"+","%2B")&amp;"&amp;n="&amp;AF500&amp;"&amp;m="&amp;SUBSTITUTE('Start Here'!$B$24,"{name}",AF500))</f>
        <v/>
      </c>
      <c r="AH500" s="32">
        <f>N(AH499)+W500</f>
        <v/>
      </c>
      <c r="AI500" s="32">
        <f>IF(W500=1,AH500,"")</f>
        <v/>
      </c>
    </row>
    <row r="501">
      <c r="A501" s="32">
        <f>IF(INDEX('Form Responses'!$A:$A,ROW())="","",INDEX('Form Responses'!$A:$A,ROW()))</f>
        <v/>
      </c>
      <c r="B501" s="32">
        <f>TRIM(INDEX('Form Responses'!$B:$B,ROW())&amp;"")</f>
        <v/>
      </c>
      <c r="C501" s="32">
        <f>IF(B501="","",TRIM(INDEX('Form Responses'!$C:$C,ROW())&amp;""))</f>
        <v/>
      </c>
      <c r="D501" s="32">
        <f>SUBSTITUTE(SUBSTITUTE(SUBSTITUTE(SUBSTITUTE(SUBSTITUTE(SUBSTITUTE(SUBSTITUTE(SUBSTITUTE(C501," ",""),"-",""),"(",""),")",""),".",""),"+",""),"/",""),CHAR(160),"")</f>
        <v/>
      </c>
      <c r="E501" s="32">
        <f>IF(LEN(D501)&gt;=10,RIGHT(D501,10),D501)</f>
        <v/>
      </c>
      <c r="F501" s="32">
        <f>IF(B501="","",TRIM(INDEX('Form Responses'!$D:$D,ROW())&amp;""))</f>
        <v/>
      </c>
      <c r="G501" s="32">
        <f>IF(B501="","",IF(LEFT(TRIM(INDEX('Form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1" s="32">
        <f>IF(B501="","",MAX(0,IFERROR(INT(--(INDEX('Form Responses'!$F:$F,ROW())&amp;"")),1)))</f>
        <v/>
      </c>
      <c r="I501" s="32">
        <f>IF(B501="","",MAX(0,IFERROR(INT(--(INDEX('Form Responses'!$G:$G,ROW())&amp;"")),0)))</f>
        <v/>
      </c>
      <c r="J501" s="32">
        <f>IF(B501="","",TRIM(INDEX('Form Responses'!$H:$H,ROW())&amp;""))</f>
        <v/>
      </c>
      <c r="K501" s="32">
        <f>IF(B501="","",TRIM(INDEX('Form Responses'!$I:$I,ROW())&amp;""))</f>
        <v/>
      </c>
      <c r="L501" s="32">
        <f>IF(B501="","",TRIM(INDEX('Form Responses'!$J:$J,ROW())&amp;""))</f>
        <v/>
      </c>
      <c r="M501" s="32">
        <f>IF(B501="","",TRIM(INDEX('Form Responses'!$K:$K,ROW())&amp;""))</f>
        <v/>
      </c>
      <c r="N501" s="32">
        <f>IF(B501="","",IF(E501&lt;&gt;"","P"&amp;E501,"N"&amp;B501))</f>
        <v/>
      </c>
      <c r="O501" s="32">
        <f>IF(N501="",0,IF(COUNTIF(N502:N$602,N501)=0,1,0))</f>
        <v/>
      </c>
      <c r="P501" s="32">
        <f>IF(AND(O501=1,E501&lt;&gt;""),E501,"")</f>
        <v/>
      </c>
      <c r="Q501" s="32">
        <f>IF(O501=1,B501,"")</f>
        <v/>
      </c>
      <c r="R501" s="32">
        <f>IF(O501&lt;&gt;1,"",IF(E501&lt;&gt;"",IFERROR(MATCH(E501,Guests!$S$6:$S$505,0)+5,IFERROR(MATCH(B501,Guests!$A$6:$A$505,0)+5,"")),IFERROR(MATCH(B501,Guests!$A$6:$A$505,0)+5,"")))</f>
        <v/>
      </c>
      <c r="S501" s="32">
        <f>IF(R501="","",TRIM(INDEX(Guests!$E$1:$E$505,R501)&amp;""))</f>
        <v/>
      </c>
      <c r="T501" s="32">
        <f>IF(R501="","",IF(S501="",1,COUNTIF(Guests!$E$6:$E$505,S501)))</f>
        <v/>
      </c>
      <c r="U501" s="32">
        <f>IF(R501="","",IF(S501="",1,IF(COUNTIF(S$1:S500,S501)=0,1,0)))</f>
        <v/>
      </c>
      <c r="V501" s="32">
        <f>IF(AND(R501&lt;&gt;"",G501="Attending",U501=1),MAX(0,H501+I501-T501),0)</f>
        <v/>
      </c>
      <c r="W501" s="32">
        <f>IF(AND(O501=1,R501=""),1,0)</f>
        <v/>
      </c>
      <c r="X501" s="32">
        <f>IF(B501="",0,H501+I501)</f>
        <v/>
      </c>
      <c r="Y501" s="32">
        <f>N(Y500)+O501</f>
        <v/>
      </c>
      <c r="Z501" s="32">
        <f>IF(O501=1,Y501,"")</f>
        <v/>
      </c>
      <c r="AA501" s="32">
        <f>IF(AND(W501=1,G501="Not sure yet"),1,0)</f>
        <v/>
      </c>
      <c r="AB501" s="32">
        <f>N(AB500)+AA501</f>
        <v/>
      </c>
      <c r="AC501" s="32">
        <f>IF(AA501=1,AB501,"")</f>
        <v/>
      </c>
      <c r="AD501" s="32">
        <f>IF(D501="","",IF(LEN(D501)=10,"+1"&amp;D501,IF(AND(LEN(D501)=11,LEFT(D501,1)="1"),"+"&amp;D501,IF(LEFT(C501,1)="+","+"&amp;D501,D501))))</f>
        <v/>
      </c>
      <c r="AE501" s="32">
        <f>IF(B501="","",PROPER(IFERROR(LEFT(B501,FIND(" ",B501)-1),B501)))</f>
        <v/>
      </c>
      <c r="AF501" s="32">
        <f>SUBSTITUTE(SUBSTITUTE(SUBSTITUTE(SUBSTITUTE(SUBSTITUTE(SUBSTITUTE(SUBSTITUTE(SUBSTITUTE(SUBSTITUTE(SUBSTITUTE(AE501,"%","%25"),"&amp;","%26"),"#","%23"),"+","%2B"),"=","%3D"),"?","%3F"),CHAR(34),"%22"),CHAR(10),"%0A"),CHAR(13),"")," ","+")</f>
        <v/>
      </c>
      <c r="AG501" s="32">
        <f>IF(OR(AD501="",AE501=""),"",'Start Here'!$B$20&amp;"#p="&amp;SUBSTITUTE(AD501,"+","%2B")&amp;"&amp;n="&amp;AF501&amp;"&amp;m="&amp;SUBSTITUTE('Start Here'!$B$24,"{name}",AF501))</f>
        <v/>
      </c>
      <c r="AH501" s="32">
        <f>N(AH500)+W501</f>
        <v/>
      </c>
      <c r="AI501" s="32">
        <f>IF(W501=1,AH501,"")</f>
        <v/>
      </c>
    </row>
    <row r="502">
      <c r="A502" s="32">
        <f>IF(INDEX('Form Responses'!$A:$A,ROW())="","",INDEX('Form Responses'!$A:$A,ROW()))</f>
        <v/>
      </c>
      <c r="B502" s="32">
        <f>TRIM(INDEX('Form Responses'!$B:$B,ROW())&amp;"")</f>
        <v/>
      </c>
      <c r="C502" s="32">
        <f>IF(B502="","",TRIM(INDEX('Form Responses'!$C:$C,ROW())&amp;""))</f>
        <v/>
      </c>
      <c r="D502" s="32">
        <f>SUBSTITUTE(SUBSTITUTE(SUBSTITUTE(SUBSTITUTE(SUBSTITUTE(SUBSTITUTE(SUBSTITUTE(SUBSTITUTE(C502," ",""),"-",""),"(",""),")",""),".",""),"+",""),"/",""),CHAR(160),"")</f>
        <v/>
      </c>
      <c r="E502" s="32">
        <f>IF(LEN(D502)&gt;=10,RIGHT(D502,10),D502)</f>
        <v/>
      </c>
      <c r="F502" s="32">
        <f>IF(B502="","",TRIM(INDEX('Form Responses'!$D:$D,ROW())&amp;""))</f>
        <v/>
      </c>
      <c r="G502" s="32">
        <f>IF(B502="","",IF(LEFT(TRIM(INDEX('Form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2" s="32">
        <f>IF(B502="","",MAX(0,IFERROR(INT(--(INDEX('Form Responses'!$F:$F,ROW())&amp;"")),1)))</f>
        <v/>
      </c>
      <c r="I502" s="32">
        <f>IF(B502="","",MAX(0,IFERROR(INT(--(INDEX('Form Responses'!$G:$G,ROW())&amp;"")),0)))</f>
        <v/>
      </c>
      <c r="J502" s="32">
        <f>IF(B502="","",TRIM(INDEX('Form Responses'!$H:$H,ROW())&amp;""))</f>
        <v/>
      </c>
      <c r="K502" s="32">
        <f>IF(B502="","",TRIM(INDEX('Form Responses'!$I:$I,ROW())&amp;""))</f>
        <v/>
      </c>
      <c r="L502" s="32">
        <f>IF(B502="","",TRIM(INDEX('Form Responses'!$J:$J,ROW())&amp;""))</f>
        <v/>
      </c>
      <c r="M502" s="32">
        <f>IF(B502="","",TRIM(INDEX('Form Responses'!$K:$K,ROW())&amp;""))</f>
        <v/>
      </c>
      <c r="N502" s="32">
        <f>IF(B502="","",IF(E502&lt;&gt;"","P"&amp;E502,"N"&amp;B502))</f>
        <v/>
      </c>
      <c r="O502" s="32">
        <f>IF(N502="",0,IF(COUNTIF(N503:N$602,N502)=0,1,0))</f>
        <v/>
      </c>
      <c r="P502" s="32">
        <f>IF(AND(O502=1,E502&lt;&gt;""),E502,"")</f>
        <v/>
      </c>
      <c r="Q502" s="32">
        <f>IF(O502=1,B502,"")</f>
        <v/>
      </c>
      <c r="R502" s="32">
        <f>IF(O502&lt;&gt;1,"",IF(E502&lt;&gt;"",IFERROR(MATCH(E502,Guests!$S$6:$S$505,0)+5,IFERROR(MATCH(B502,Guests!$A$6:$A$505,0)+5,"")),IFERROR(MATCH(B502,Guests!$A$6:$A$505,0)+5,"")))</f>
        <v/>
      </c>
      <c r="S502" s="32">
        <f>IF(R502="","",TRIM(INDEX(Guests!$E$1:$E$505,R502)&amp;""))</f>
        <v/>
      </c>
      <c r="T502" s="32">
        <f>IF(R502="","",IF(S502="",1,COUNTIF(Guests!$E$6:$E$505,S502)))</f>
        <v/>
      </c>
      <c r="U502" s="32">
        <f>IF(R502="","",IF(S502="",1,IF(COUNTIF(S$1:S501,S502)=0,1,0)))</f>
        <v/>
      </c>
      <c r="V502" s="32">
        <f>IF(AND(R502&lt;&gt;"",G502="Attending",U502=1),MAX(0,H502+I502-T502),0)</f>
        <v/>
      </c>
      <c r="W502" s="32">
        <f>IF(AND(O502=1,R502=""),1,0)</f>
        <v/>
      </c>
      <c r="X502" s="32">
        <f>IF(B502="",0,H502+I502)</f>
        <v/>
      </c>
      <c r="Y502" s="32">
        <f>N(Y501)+O502</f>
        <v/>
      </c>
      <c r="Z502" s="32">
        <f>IF(O502=1,Y502,"")</f>
        <v/>
      </c>
      <c r="AA502" s="32">
        <f>IF(AND(W502=1,G502="Not sure yet"),1,0)</f>
        <v/>
      </c>
      <c r="AB502" s="32">
        <f>N(AB501)+AA502</f>
        <v/>
      </c>
      <c r="AC502" s="32">
        <f>IF(AA502=1,AB502,"")</f>
        <v/>
      </c>
      <c r="AD502" s="32">
        <f>IF(D502="","",IF(LEN(D502)=10,"+1"&amp;D502,IF(AND(LEN(D502)=11,LEFT(D502,1)="1"),"+"&amp;D502,IF(LEFT(C502,1)="+","+"&amp;D502,D502))))</f>
        <v/>
      </c>
      <c r="AE502" s="32">
        <f>IF(B502="","",PROPER(IFERROR(LEFT(B502,FIND(" ",B502)-1),B502)))</f>
        <v/>
      </c>
      <c r="AF502" s="32">
        <f>SUBSTITUTE(SUBSTITUTE(SUBSTITUTE(SUBSTITUTE(SUBSTITUTE(SUBSTITUTE(SUBSTITUTE(SUBSTITUTE(SUBSTITUTE(SUBSTITUTE(AE502,"%","%25"),"&amp;","%26"),"#","%23"),"+","%2B"),"=","%3D"),"?","%3F"),CHAR(34),"%22"),CHAR(10),"%0A"),CHAR(13),"")," ","+")</f>
        <v/>
      </c>
      <c r="AG502" s="32">
        <f>IF(OR(AD502="",AE502=""),"",'Start Here'!$B$20&amp;"#p="&amp;SUBSTITUTE(AD502,"+","%2B")&amp;"&amp;n="&amp;AF502&amp;"&amp;m="&amp;SUBSTITUTE('Start Here'!$B$24,"{name}",AF502))</f>
        <v/>
      </c>
      <c r="AH502" s="32">
        <f>N(AH501)+W502</f>
        <v/>
      </c>
      <c r="AI502" s="32">
        <f>IF(W502=1,AH502,"")</f>
        <v/>
      </c>
    </row>
    <row r="503">
      <c r="A503" s="32">
        <f>IF(INDEX('Form Responses'!$A:$A,ROW())="","",INDEX('Form Responses'!$A:$A,ROW()))</f>
        <v/>
      </c>
      <c r="B503" s="32">
        <f>TRIM(INDEX('Form Responses'!$B:$B,ROW())&amp;"")</f>
        <v/>
      </c>
      <c r="C503" s="32">
        <f>IF(B503="","",TRIM(INDEX('Form Responses'!$C:$C,ROW())&amp;""))</f>
        <v/>
      </c>
      <c r="D503" s="32">
        <f>SUBSTITUTE(SUBSTITUTE(SUBSTITUTE(SUBSTITUTE(SUBSTITUTE(SUBSTITUTE(SUBSTITUTE(SUBSTITUTE(C503," ",""),"-",""),"(",""),")",""),".",""),"+",""),"/",""),CHAR(160),"")</f>
        <v/>
      </c>
      <c r="E503" s="32">
        <f>IF(LEN(D503)&gt;=10,RIGHT(D503,10),D503)</f>
        <v/>
      </c>
      <c r="F503" s="32">
        <f>IF(B503="","",TRIM(INDEX('Form Responses'!$D:$D,ROW())&amp;""))</f>
        <v/>
      </c>
      <c r="G503" s="32">
        <f>IF(B503="","",IF(LEFT(TRIM(INDEX('Form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3" s="32">
        <f>IF(B503="","",MAX(0,IFERROR(INT(--(INDEX('Form Responses'!$F:$F,ROW())&amp;"")),1)))</f>
        <v/>
      </c>
      <c r="I503" s="32">
        <f>IF(B503="","",MAX(0,IFERROR(INT(--(INDEX('Form Responses'!$G:$G,ROW())&amp;"")),0)))</f>
        <v/>
      </c>
      <c r="J503" s="32">
        <f>IF(B503="","",TRIM(INDEX('Form Responses'!$H:$H,ROW())&amp;""))</f>
        <v/>
      </c>
      <c r="K503" s="32">
        <f>IF(B503="","",TRIM(INDEX('Form Responses'!$I:$I,ROW())&amp;""))</f>
        <v/>
      </c>
      <c r="L503" s="32">
        <f>IF(B503="","",TRIM(INDEX('Form Responses'!$J:$J,ROW())&amp;""))</f>
        <v/>
      </c>
      <c r="M503" s="32">
        <f>IF(B503="","",TRIM(INDEX('Form Responses'!$K:$K,ROW())&amp;""))</f>
        <v/>
      </c>
      <c r="N503" s="32">
        <f>IF(B503="","",IF(E503&lt;&gt;"","P"&amp;E503,"N"&amp;B503))</f>
        <v/>
      </c>
      <c r="O503" s="32">
        <f>IF(N503="",0,IF(COUNTIF(N504:N$602,N503)=0,1,0))</f>
        <v/>
      </c>
      <c r="P503" s="32">
        <f>IF(AND(O503=1,E503&lt;&gt;""),E503,"")</f>
        <v/>
      </c>
      <c r="Q503" s="32">
        <f>IF(O503=1,B503,"")</f>
        <v/>
      </c>
      <c r="R503" s="32">
        <f>IF(O503&lt;&gt;1,"",IF(E503&lt;&gt;"",IFERROR(MATCH(E503,Guests!$S$6:$S$505,0)+5,IFERROR(MATCH(B503,Guests!$A$6:$A$505,0)+5,"")),IFERROR(MATCH(B503,Guests!$A$6:$A$505,0)+5,"")))</f>
        <v/>
      </c>
      <c r="S503" s="32">
        <f>IF(R503="","",TRIM(INDEX(Guests!$E$1:$E$505,R503)&amp;""))</f>
        <v/>
      </c>
      <c r="T503" s="32">
        <f>IF(R503="","",IF(S503="",1,COUNTIF(Guests!$E$6:$E$505,S503)))</f>
        <v/>
      </c>
      <c r="U503" s="32">
        <f>IF(R503="","",IF(S503="",1,IF(COUNTIF(S$1:S502,S503)=0,1,0)))</f>
        <v/>
      </c>
      <c r="V503" s="32">
        <f>IF(AND(R503&lt;&gt;"",G503="Attending",U503=1),MAX(0,H503+I503-T503),0)</f>
        <v/>
      </c>
      <c r="W503" s="32">
        <f>IF(AND(O503=1,R503=""),1,0)</f>
        <v/>
      </c>
      <c r="X503" s="32">
        <f>IF(B503="",0,H503+I503)</f>
        <v/>
      </c>
      <c r="Y503" s="32">
        <f>N(Y502)+O503</f>
        <v/>
      </c>
      <c r="Z503" s="32">
        <f>IF(O503=1,Y503,"")</f>
        <v/>
      </c>
      <c r="AA503" s="32">
        <f>IF(AND(W503=1,G503="Not sure yet"),1,0)</f>
        <v/>
      </c>
      <c r="AB503" s="32">
        <f>N(AB502)+AA503</f>
        <v/>
      </c>
      <c r="AC503" s="32">
        <f>IF(AA503=1,AB503,"")</f>
        <v/>
      </c>
      <c r="AD503" s="32">
        <f>IF(D503="","",IF(LEN(D503)=10,"+1"&amp;D503,IF(AND(LEN(D503)=11,LEFT(D503,1)="1"),"+"&amp;D503,IF(LEFT(C503,1)="+","+"&amp;D503,D503))))</f>
        <v/>
      </c>
      <c r="AE503" s="32">
        <f>IF(B503="","",PROPER(IFERROR(LEFT(B503,FIND(" ",B503)-1),B503)))</f>
        <v/>
      </c>
      <c r="AF503" s="32">
        <f>SUBSTITUTE(SUBSTITUTE(SUBSTITUTE(SUBSTITUTE(SUBSTITUTE(SUBSTITUTE(SUBSTITUTE(SUBSTITUTE(SUBSTITUTE(SUBSTITUTE(AE503,"%","%25"),"&amp;","%26"),"#","%23"),"+","%2B"),"=","%3D"),"?","%3F"),CHAR(34),"%22"),CHAR(10),"%0A"),CHAR(13),"")," ","+")</f>
        <v/>
      </c>
      <c r="AG503" s="32">
        <f>IF(OR(AD503="",AE503=""),"",'Start Here'!$B$20&amp;"#p="&amp;SUBSTITUTE(AD503,"+","%2B")&amp;"&amp;n="&amp;AF503&amp;"&amp;m="&amp;SUBSTITUTE('Start Here'!$B$24,"{name}",AF503))</f>
        <v/>
      </c>
      <c r="AH503" s="32">
        <f>N(AH502)+W503</f>
        <v/>
      </c>
      <c r="AI503" s="32">
        <f>IF(W503=1,AH503,"")</f>
        <v/>
      </c>
    </row>
    <row r="504">
      <c r="A504" s="32">
        <f>IF(INDEX('Form Responses'!$A:$A,ROW())="","",INDEX('Form Responses'!$A:$A,ROW()))</f>
        <v/>
      </c>
      <c r="B504" s="32">
        <f>TRIM(INDEX('Form Responses'!$B:$B,ROW())&amp;"")</f>
        <v/>
      </c>
      <c r="C504" s="32">
        <f>IF(B504="","",TRIM(INDEX('Form Responses'!$C:$C,ROW())&amp;""))</f>
        <v/>
      </c>
      <c r="D504" s="32">
        <f>SUBSTITUTE(SUBSTITUTE(SUBSTITUTE(SUBSTITUTE(SUBSTITUTE(SUBSTITUTE(SUBSTITUTE(SUBSTITUTE(C504," ",""),"-",""),"(",""),")",""),".",""),"+",""),"/",""),CHAR(160),"")</f>
        <v/>
      </c>
      <c r="E504" s="32">
        <f>IF(LEN(D504)&gt;=10,RIGHT(D504,10),D504)</f>
        <v/>
      </c>
      <c r="F504" s="32">
        <f>IF(B504="","",TRIM(INDEX('Form Responses'!$D:$D,ROW())&amp;""))</f>
        <v/>
      </c>
      <c r="G504" s="32">
        <f>IF(B504="","",IF(LEFT(TRIM(INDEX('Form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4" s="32">
        <f>IF(B504="","",MAX(0,IFERROR(INT(--(INDEX('Form Responses'!$F:$F,ROW())&amp;"")),1)))</f>
        <v/>
      </c>
      <c r="I504" s="32">
        <f>IF(B504="","",MAX(0,IFERROR(INT(--(INDEX('Form Responses'!$G:$G,ROW())&amp;"")),0)))</f>
        <v/>
      </c>
      <c r="J504" s="32">
        <f>IF(B504="","",TRIM(INDEX('Form Responses'!$H:$H,ROW())&amp;""))</f>
        <v/>
      </c>
      <c r="K504" s="32">
        <f>IF(B504="","",TRIM(INDEX('Form Responses'!$I:$I,ROW())&amp;""))</f>
        <v/>
      </c>
      <c r="L504" s="32">
        <f>IF(B504="","",TRIM(INDEX('Form Responses'!$J:$J,ROW())&amp;""))</f>
        <v/>
      </c>
      <c r="M504" s="32">
        <f>IF(B504="","",TRIM(INDEX('Form Responses'!$K:$K,ROW())&amp;""))</f>
        <v/>
      </c>
      <c r="N504" s="32">
        <f>IF(B504="","",IF(E504&lt;&gt;"","P"&amp;E504,"N"&amp;B504))</f>
        <v/>
      </c>
      <c r="O504" s="32">
        <f>IF(N504="",0,IF(COUNTIF(N505:N$602,N504)=0,1,0))</f>
        <v/>
      </c>
      <c r="P504" s="32">
        <f>IF(AND(O504=1,E504&lt;&gt;""),E504,"")</f>
        <v/>
      </c>
      <c r="Q504" s="32">
        <f>IF(O504=1,B504,"")</f>
        <v/>
      </c>
      <c r="R504" s="32">
        <f>IF(O504&lt;&gt;1,"",IF(E504&lt;&gt;"",IFERROR(MATCH(E504,Guests!$S$6:$S$505,0)+5,IFERROR(MATCH(B504,Guests!$A$6:$A$505,0)+5,"")),IFERROR(MATCH(B504,Guests!$A$6:$A$505,0)+5,"")))</f>
        <v/>
      </c>
      <c r="S504" s="32">
        <f>IF(R504="","",TRIM(INDEX(Guests!$E$1:$E$505,R504)&amp;""))</f>
        <v/>
      </c>
      <c r="T504" s="32">
        <f>IF(R504="","",IF(S504="",1,COUNTIF(Guests!$E$6:$E$505,S504)))</f>
        <v/>
      </c>
      <c r="U504" s="32">
        <f>IF(R504="","",IF(S504="",1,IF(COUNTIF(S$1:S503,S504)=0,1,0)))</f>
        <v/>
      </c>
      <c r="V504" s="32">
        <f>IF(AND(R504&lt;&gt;"",G504="Attending",U504=1),MAX(0,H504+I504-T504),0)</f>
        <v/>
      </c>
      <c r="W504" s="32">
        <f>IF(AND(O504=1,R504=""),1,0)</f>
        <v/>
      </c>
      <c r="X504" s="32">
        <f>IF(B504="",0,H504+I504)</f>
        <v/>
      </c>
      <c r="Y504" s="32">
        <f>N(Y503)+O504</f>
        <v/>
      </c>
      <c r="Z504" s="32">
        <f>IF(O504=1,Y504,"")</f>
        <v/>
      </c>
      <c r="AA504" s="32">
        <f>IF(AND(W504=1,G504="Not sure yet"),1,0)</f>
        <v/>
      </c>
      <c r="AB504" s="32">
        <f>N(AB503)+AA504</f>
        <v/>
      </c>
      <c r="AC504" s="32">
        <f>IF(AA504=1,AB504,"")</f>
        <v/>
      </c>
      <c r="AD504" s="32">
        <f>IF(D504="","",IF(LEN(D504)=10,"+1"&amp;D504,IF(AND(LEN(D504)=11,LEFT(D504,1)="1"),"+"&amp;D504,IF(LEFT(C504,1)="+","+"&amp;D504,D504))))</f>
        <v/>
      </c>
      <c r="AE504" s="32">
        <f>IF(B504="","",PROPER(IFERROR(LEFT(B504,FIND(" ",B504)-1),B504)))</f>
        <v/>
      </c>
      <c r="AF504" s="32">
        <f>SUBSTITUTE(SUBSTITUTE(SUBSTITUTE(SUBSTITUTE(SUBSTITUTE(SUBSTITUTE(SUBSTITUTE(SUBSTITUTE(SUBSTITUTE(SUBSTITUTE(AE504,"%","%25"),"&amp;","%26"),"#","%23"),"+","%2B"),"=","%3D"),"?","%3F"),CHAR(34),"%22"),CHAR(10),"%0A"),CHAR(13),"")," ","+")</f>
        <v/>
      </c>
      <c r="AG504" s="32">
        <f>IF(OR(AD504="",AE504=""),"",'Start Here'!$B$20&amp;"#p="&amp;SUBSTITUTE(AD504,"+","%2B")&amp;"&amp;n="&amp;AF504&amp;"&amp;m="&amp;SUBSTITUTE('Start Here'!$B$24,"{name}",AF504))</f>
        <v/>
      </c>
      <c r="AH504" s="32">
        <f>N(AH503)+W504</f>
        <v/>
      </c>
      <c r="AI504" s="32">
        <f>IF(W504=1,AH504,"")</f>
        <v/>
      </c>
    </row>
    <row r="505">
      <c r="A505" s="32">
        <f>IF(INDEX('Form Responses'!$A:$A,ROW())="","",INDEX('Form Responses'!$A:$A,ROW()))</f>
        <v/>
      </c>
      <c r="B505" s="32">
        <f>TRIM(INDEX('Form Responses'!$B:$B,ROW())&amp;"")</f>
        <v/>
      </c>
      <c r="C505" s="32">
        <f>IF(B505="","",TRIM(INDEX('Form Responses'!$C:$C,ROW())&amp;""))</f>
        <v/>
      </c>
      <c r="D505" s="32">
        <f>SUBSTITUTE(SUBSTITUTE(SUBSTITUTE(SUBSTITUTE(SUBSTITUTE(SUBSTITUTE(SUBSTITUTE(SUBSTITUTE(C505," ",""),"-",""),"(",""),")",""),".",""),"+",""),"/",""),CHAR(160),"")</f>
        <v/>
      </c>
      <c r="E505" s="32">
        <f>IF(LEN(D505)&gt;=10,RIGHT(D505,10),D505)</f>
        <v/>
      </c>
      <c r="F505" s="32">
        <f>IF(B505="","",TRIM(INDEX('Form Responses'!$D:$D,ROW())&amp;""))</f>
        <v/>
      </c>
      <c r="G505" s="32">
        <f>IF(B505="","",IF(LEFT(TRIM(INDEX('Form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5" s="32">
        <f>IF(B505="","",MAX(0,IFERROR(INT(--(INDEX('Form Responses'!$F:$F,ROW())&amp;"")),1)))</f>
        <v/>
      </c>
      <c r="I505" s="32">
        <f>IF(B505="","",MAX(0,IFERROR(INT(--(INDEX('Form Responses'!$G:$G,ROW())&amp;"")),0)))</f>
        <v/>
      </c>
      <c r="J505" s="32">
        <f>IF(B505="","",TRIM(INDEX('Form Responses'!$H:$H,ROW())&amp;""))</f>
        <v/>
      </c>
      <c r="K505" s="32">
        <f>IF(B505="","",TRIM(INDEX('Form Responses'!$I:$I,ROW())&amp;""))</f>
        <v/>
      </c>
      <c r="L505" s="32">
        <f>IF(B505="","",TRIM(INDEX('Form Responses'!$J:$J,ROW())&amp;""))</f>
        <v/>
      </c>
      <c r="M505" s="32">
        <f>IF(B505="","",TRIM(INDEX('Form Responses'!$K:$K,ROW())&amp;""))</f>
        <v/>
      </c>
      <c r="N505" s="32">
        <f>IF(B505="","",IF(E505&lt;&gt;"","P"&amp;E505,"N"&amp;B505))</f>
        <v/>
      </c>
      <c r="O505" s="32">
        <f>IF(N505="",0,IF(COUNTIF(N506:N$602,N505)=0,1,0))</f>
        <v/>
      </c>
      <c r="P505" s="32">
        <f>IF(AND(O505=1,E505&lt;&gt;""),E505,"")</f>
        <v/>
      </c>
      <c r="Q505" s="32">
        <f>IF(O505=1,B505,"")</f>
        <v/>
      </c>
      <c r="R505" s="32">
        <f>IF(O505&lt;&gt;1,"",IF(E505&lt;&gt;"",IFERROR(MATCH(E505,Guests!$S$6:$S$505,0)+5,IFERROR(MATCH(B505,Guests!$A$6:$A$505,0)+5,"")),IFERROR(MATCH(B505,Guests!$A$6:$A$505,0)+5,"")))</f>
        <v/>
      </c>
      <c r="S505" s="32">
        <f>IF(R505="","",TRIM(INDEX(Guests!$E$1:$E$505,R505)&amp;""))</f>
        <v/>
      </c>
      <c r="T505" s="32">
        <f>IF(R505="","",IF(S505="",1,COUNTIF(Guests!$E$6:$E$505,S505)))</f>
        <v/>
      </c>
      <c r="U505" s="32">
        <f>IF(R505="","",IF(S505="",1,IF(COUNTIF(S$1:S504,S505)=0,1,0)))</f>
        <v/>
      </c>
      <c r="V505" s="32">
        <f>IF(AND(R505&lt;&gt;"",G505="Attending",U505=1),MAX(0,H505+I505-T505),0)</f>
        <v/>
      </c>
      <c r="W505" s="32">
        <f>IF(AND(O505=1,R505=""),1,0)</f>
        <v/>
      </c>
      <c r="X505" s="32">
        <f>IF(B505="",0,H505+I505)</f>
        <v/>
      </c>
      <c r="Y505" s="32">
        <f>N(Y504)+O505</f>
        <v/>
      </c>
      <c r="Z505" s="32">
        <f>IF(O505=1,Y505,"")</f>
        <v/>
      </c>
      <c r="AA505" s="32">
        <f>IF(AND(W505=1,G505="Not sure yet"),1,0)</f>
        <v/>
      </c>
      <c r="AB505" s="32">
        <f>N(AB504)+AA505</f>
        <v/>
      </c>
      <c r="AC505" s="32">
        <f>IF(AA505=1,AB505,"")</f>
        <v/>
      </c>
      <c r="AD505" s="32">
        <f>IF(D505="","",IF(LEN(D505)=10,"+1"&amp;D505,IF(AND(LEN(D505)=11,LEFT(D505,1)="1"),"+"&amp;D505,IF(LEFT(C505,1)="+","+"&amp;D505,D505))))</f>
        <v/>
      </c>
      <c r="AE505" s="32">
        <f>IF(B505="","",PROPER(IFERROR(LEFT(B505,FIND(" ",B505)-1),B505)))</f>
        <v/>
      </c>
      <c r="AF505" s="32">
        <f>SUBSTITUTE(SUBSTITUTE(SUBSTITUTE(SUBSTITUTE(SUBSTITUTE(SUBSTITUTE(SUBSTITUTE(SUBSTITUTE(SUBSTITUTE(SUBSTITUTE(AE505,"%","%25"),"&amp;","%26"),"#","%23"),"+","%2B"),"=","%3D"),"?","%3F"),CHAR(34),"%22"),CHAR(10),"%0A"),CHAR(13),"")," ","+")</f>
        <v/>
      </c>
      <c r="AG505" s="32">
        <f>IF(OR(AD505="",AE505=""),"",'Start Here'!$B$20&amp;"#p="&amp;SUBSTITUTE(AD505,"+","%2B")&amp;"&amp;n="&amp;AF505&amp;"&amp;m="&amp;SUBSTITUTE('Start Here'!$B$24,"{name}",AF505))</f>
        <v/>
      </c>
      <c r="AH505" s="32">
        <f>N(AH504)+W505</f>
        <v/>
      </c>
      <c r="AI505" s="32">
        <f>IF(W505=1,AH505,"")</f>
        <v/>
      </c>
    </row>
    <row r="506">
      <c r="A506" s="32">
        <f>IF(INDEX('Form Responses'!$A:$A,ROW())="","",INDEX('Form Responses'!$A:$A,ROW()))</f>
        <v/>
      </c>
      <c r="B506" s="32">
        <f>TRIM(INDEX('Form Responses'!$B:$B,ROW())&amp;"")</f>
        <v/>
      </c>
      <c r="C506" s="32">
        <f>IF(B506="","",TRIM(INDEX('Form Responses'!$C:$C,ROW())&amp;""))</f>
        <v/>
      </c>
      <c r="D506" s="32">
        <f>SUBSTITUTE(SUBSTITUTE(SUBSTITUTE(SUBSTITUTE(SUBSTITUTE(SUBSTITUTE(SUBSTITUTE(SUBSTITUTE(C506," ",""),"-",""),"(",""),")",""),".",""),"+",""),"/",""),CHAR(160),"")</f>
        <v/>
      </c>
      <c r="E506" s="32">
        <f>IF(LEN(D506)&gt;=10,RIGHT(D506,10),D506)</f>
        <v/>
      </c>
      <c r="F506" s="32">
        <f>IF(B506="","",TRIM(INDEX('Form Responses'!$D:$D,ROW())&amp;""))</f>
        <v/>
      </c>
      <c r="G506" s="32">
        <f>IF(B506="","",IF(LEFT(TRIM(INDEX('Form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6" s="32">
        <f>IF(B506="","",MAX(0,IFERROR(INT(--(INDEX('Form Responses'!$F:$F,ROW())&amp;"")),1)))</f>
        <v/>
      </c>
      <c r="I506" s="32">
        <f>IF(B506="","",MAX(0,IFERROR(INT(--(INDEX('Form Responses'!$G:$G,ROW())&amp;"")),0)))</f>
        <v/>
      </c>
      <c r="J506" s="32">
        <f>IF(B506="","",TRIM(INDEX('Form Responses'!$H:$H,ROW())&amp;""))</f>
        <v/>
      </c>
      <c r="K506" s="32">
        <f>IF(B506="","",TRIM(INDEX('Form Responses'!$I:$I,ROW())&amp;""))</f>
        <v/>
      </c>
      <c r="L506" s="32">
        <f>IF(B506="","",TRIM(INDEX('Form Responses'!$J:$J,ROW())&amp;""))</f>
        <v/>
      </c>
      <c r="M506" s="32">
        <f>IF(B506="","",TRIM(INDEX('Form Responses'!$K:$K,ROW())&amp;""))</f>
        <v/>
      </c>
      <c r="N506" s="32">
        <f>IF(B506="","",IF(E506&lt;&gt;"","P"&amp;E506,"N"&amp;B506))</f>
        <v/>
      </c>
      <c r="O506" s="32">
        <f>IF(N506="",0,IF(COUNTIF(N507:N$602,N506)=0,1,0))</f>
        <v/>
      </c>
      <c r="P506" s="32">
        <f>IF(AND(O506=1,E506&lt;&gt;""),E506,"")</f>
        <v/>
      </c>
      <c r="Q506" s="32">
        <f>IF(O506=1,B506,"")</f>
        <v/>
      </c>
      <c r="R506" s="32">
        <f>IF(O506&lt;&gt;1,"",IF(E506&lt;&gt;"",IFERROR(MATCH(E506,Guests!$S$6:$S$505,0)+5,IFERROR(MATCH(B506,Guests!$A$6:$A$505,0)+5,"")),IFERROR(MATCH(B506,Guests!$A$6:$A$505,0)+5,"")))</f>
        <v/>
      </c>
      <c r="S506" s="32">
        <f>IF(R506="","",TRIM(INDEX(Guests!$E$1:$E$505,R506)&amp;""))</f>
        <v/>
      </c>
      <c r="T506" s="32">
        <f>IF(R506="","",IF(S506="",1,COUNTIF(Guests!$E$6:$E$505,S506)))</f>
        <v/>
      </c>
      <c r="U506" s="32">
        <f>IF(R506="","",IF(S506="",1,IF(COUNTIF(S$1:S505,S506)=0,1,0)))</f>
        <v/>
      </c>
      <c r="V506" s="32">
        <f>IF(AND(R506&lt;&gt;"",G506="Attending",U506=1),MAX(0,H506+I506-T506),0)</f>
        <v/>
      </c>
      <c r="W506" s="32">
        <f>IF(AND(O506=1,R506=""),1,0)</f>
        <v/>
      </c>
      <c r="X506" s="32">
        <f>IF(B506="",0,H506+I506)</f>
        <v/>
      </c>
      <c r="Y506" s="32">
        <f>N(Y505)+O506</f>
        <v/>
      </c>
      <c r="Z506" s="32">
        <f>IF(O506=1,Y506,"")</f>
        <v/>
      </c>
      <c r="AA506" s="32">
        <f>IF(AND(W506=1,G506="Not sure yet"),1,0)</f>
        <v/>
      </c>
      <c r="AB506" s="32">
        <f>N(AB505)+AA506</f>
        <v/>
      </c>
      <c r="AC506" s="32">
        <f>IF(AA506=1,AB506,"")</f>
        <v/>
      </c>
      <c r="AD506" s="32">
        <f>IF(D506="","",IF(LEN(D506)=10,"+1"&amp;D506,IF(AND(LEN(D506)=11,LEFT(D506,1)="1"),"+"&amp;D506,IF(LEFT(C506,1)="+","+"&amp;D506,D506))))</f>
        <v/>
      </c>
      <c r="AE506" s="32">
        <f>IF(B506="","",PROPER(IFERROR(LEFT(B506,FIND(" ",B506)-1),B506)))</f>
        <v/>
      </c>
      <c r="AF506" s="32">
        <f>SUBSTITUTE(SUBSTITUTE(SUBSTITUTE(SUBSTITUTE(SUBSTITUTE(SUBSTITUTE(SUBSTITUTE(SUBSTITUTE(SUBSTITUTE(SUBSTITUTE(AE506,"%","%25"),"&amp;","%26"),"#","%23"),"+","%2B"),"=","%3D"),"?","%3F"),CHAR(34),"%22"),CHAR(10),"%0A"),CHAR(13),"")," ","+")</f>
        <v/>
      </c>
      <c r="AG506" s="32">
        <f>IF(OR(AD506="",AE506=""),"",'Start Here'!$B$20&amp;"#p="&amp;SUBSTITUTE(AD506,"+","%2B")&amp;"&amp;n="&amp;AF506&amp;"&amp;m="&amp;SUBSTITUTE('Start Here'!$B$24,"{name}",AF506))</f>
        <v/>
      </c>
      <c r="AH506" s="32">
        <f>N(AH505)+W506</f>
        <v/>
      </c>
      <c r="AI506" s="32">
        <f>IF(W506=1,AH506,"")</f>
        <v/>
      </c>
    </row>
    <row r="507">
      <c r="A507" s="32">
        <f>IF(INDEX('Form Responses'!$A:$A,ROW())="","",INDEX('Form Responses'!$A:$A,ROW()))</f>
        <v/>
      </c>
      <c r="B507" s="32">
        <f>TRIM(INDEX('Form Responses'!$B:$B,ROW())&amp;"")</f>
        <v/>
      </c>
      <c r="C507" s="32">
        <f>IF(B507="","",TRIM(INDEX('Form Responses'!$C:$C,ROW())&amp;""))</f>
        <v/>
      </c>
      <c r="D507" s="32">
        <f>SUBSTITUTE(SUBSTITUTE(SUBSTITUTE(SUBSTITUTE(SUBSTITUTE(SUBSTITUTE(SUBSTITUTE(SUBSTITUTE(C507," ",""),"-",""),"(",""),")",""),".",""),"+",""),"/",""),CHAR(160),"")</f>
        <v/>
      </c>
      <c r="E507" s="32">
        <f>IF(LEN(D507)&gt;=10,RIGHT(D507,10),D507)</f>
        <v/>
      </c>
      <c r="F507" s="32">
        <f>IF(B507="","",TRIM(INDEX('Form Responses'!$D:$D,ROW())&amp;""))</f>
        <v/>
      </c>
      <c r="G507" s="32">
        <f>IF(B507="","",IF(LEFT(TRIM(INDEX('Form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7" s="32">
        <f>IF(B507="","",MAX(0,IFERROR(INT(--(INDEX('Form Responses'!$F:$F,ROW())&amp;"")),1)))</f>
        <v/>
      </c>
      <c r="I507" s="32">
        <f>IF(B507="","",MAX(0,IFERROR(INT(--(INDEX('Form Responses'!$G:$G,ROW())&amp;"")),0)))</f>
        <v/>
      </c>
      <c r="J507" s="32">
        <f>IF(B507="","",TRIM(INDEX('Form Responses'!$H:$H,ROW())&amp;""))</f>
        <v/>
      </c>
      <c r="K507" s="32">
        <f>IF(B507="","",TRIM(INDEX('Form Responses'!$I:$I,ROW())&amp;""))</f>
        <v/>
      </c>
      <c r="L507" s="32">
        <f>IF(B507="","",TRIM(INDEX('Form Responses'!$J:$J,ROW())&amp;""))</f>
        <v/>
      </c>
      <c r="M507" s="32">
        <f>IF(B507="","",TRIM(INDEX('Form Responses'!$K:$K,ROW())&amp;""))</f>
        <v/>
      </c>
      <c r="N507" s="32">
        <f>IF(B507="","",IF(E507&lt;&gt;"","P"&amp;E507,"N"&amp;B507))</f>
        <v/>
      </c>
      <c r="O507" s="32">
        <f>IF(N507="",0,IF(COUNTIF(N508:N$602,N507)=0,1,0))</f>
        <v/>
      </c>
      <c r="P507" s="32">
        <f>IF(AND(O507=1,E507&lt;&gt;""),E507,"")</f>
        <v/>
      </c>
      <c r="Q507" s="32">
        <f>IF(O507=1,B507,"")</f>
        <v/>
      </c>
      <c r="R507" s="32">
        <f>IF(O507&lt;&gt;1,"",IF(E507&lt;&gt;"",IFERROR(MATCH(E507,Guests!$S$6:$S$505,0)+5,IFERROR(MATCH(B507,Guests!$A$6:$A$505,0)+5,"")),IFERROR(MATCH(B507,Guests!$A$6:$A$505,0)+5,"")))</f>
        <v/>
      </c>
      <c r="S507" s="32">
        <f>IF(R507="","",TRIM(INDEX(Guests!$E$1:$E$505,R507)&amp;""))</f>
        <v/>
      </c>
      <c r="T507" s="32">
        <f>IF(R507="","",IF(S507="",1,COUNTIF(Guests!$E$6:$E$505,S507)))</f>
        <v/>
      </c>
      <c r="U507" s="32">
        <f>IF(R507="","",IF(S507="",1,IF(COUNTIF(S$1:S506,S507)=0,1,0)))</f>
        <v/>
      </c>
      <c r="V507" s="32">
        <f>IF(AND(R507&lt;&gt;"",G507="Attending",U507=1),MAX(0,H507+I507-T507),0)</f>
        <v/>
      </c>
      <c r="W507" s="32">
        <f>IF(AND(O507=1,R507=""),1,0)</f>
        <v/>
      </c>
      <c r="X507" s="32">
        <f>IF(B507="",0,H507+I507)</f>
        <v/>
      </c>
      <c r="Y507" s="32">
        <f>N(Y506)+O507</f>
        <v/>
      </c>
      <c r="Z507" s="32">
        <f>IF(O507=1,Y507,"")</f>
        <v/>
      </c>
      <c r="AA507" s="32">
        <f>IF(AND(W507=1,G507="Not sure yet"),1,0)</f>
        <v/>
      </c>
      <c r="AB507" s="32">
        <f>N(AB506)+AA507</f>
        <v/>
      </c>
      <c r="AC507" s="32">
        <f>IF(AA507=1,AB507,"")</f>
        <v/>
      </c>
      <c r="AD507" s="32">
        <f>IF(D507="","",IF(LEN(D507)=10,"+1"&amp;D507,IF(AND(LEN(D507)=11,LEFT(D507,1)="1"),"+"&amp;D507,IF(LEFT(C507,1)="+","+"&amp;D507,D507))))</f>
        <v/>
      </c>
      <c r="AE507" s="32">
        <f>IF(B507="","",PROPER(IFERROR(LEFT(B507,FIND(" ",B507)-1),B507)))</f>
        <v/>
      </c>
      <c r="AF507" s="32">
        <f>SUBSTITUTE(SUBSTITUTE(SUBSTITUTE(SUBSTITUTE(SUBSTITUTE(SUBSTITUTE(SUBSTITUTE(SUBSTITUTE(SUBSTITUTE(SUBSTITUTE(AE507,"%","%25"),"&amp;","%26"),"#","%23"),"+","%2B"),"=","%3D"),"?","%3F"),CHAR(34),"%22"),CHAR(10),"%0A"),CHAR(13),"")," ","+")</f>
        <v/>
      </c>
      <c r="AG507" s="32">
        <f>IF(OR(AD507="",AE507=""),"",'Start Here'!$B$20&amp;"#p="&amp;SUBSTITUTE(AD507,"+","%2B")&amp;"&amp;n="&amp;AF507&amp;"&amp;m="&amp;SUBSTITUTE('Start Here'!$B$24,"{name}",AF507))</f>
        <v/>
      </c>
      <c r="AH507" s="32">
        <f>N(AH506)+W507</f>
        <v/>
      </c>
      <c r="AI507" s="32">
        <f>IF(W507=1,AH507,"")</f>
        <v/>
      </c>
    </row>
    <row r="508">
      <c r="A508" s="32">
        <f>IF(INDEX('Form Responses'!$A:$A,ROW())="","",INDEX('Form Responses'!$A:$A,ROW()))</f>
        <v/>
      </c>
      <c r="B508" s="32">
        <f>TRIM(INDEX('Form Responses'!$B:$B,ROW())&amp;"")</f>
        <v/>
      </c>
      <c r="C508" s="32">
        <f>IF(B508="","",TRIM(INDEX('Form Responses'!$C:$C,ROW())&amp;""))</f>
        <v/>
      </c>
      <c r="D508" s="32">
        <f>SUBSTITUTE(SUBSTITUTE(SUBSTITUTE(SUBSTITUTE(SUBSTITUTE(SUBSTITUTE(SUBSTITUTE(SUBSTITUTE(C508," ",""),"-",""),"(",""),")",""),".",""),"+",""),"/",""),CHAR(160),"")</f>
        <v/>
      </c>
      <c r="E508" s="32">
        <f>IF(LEN(D508)&gt;=10,RIGHT(D508,10),D508)</f>
        <v/>
      </c>
      <c r="F508" s="32">
        <f>IF(B508="","",TRIM(INDEX('Form Responses'!$D:$D,ROW())&amp;""))</f>
        <v/>
      </c>
      <c r="G508" s="32">
        <f>IF(B508="","",IF(LEFT(TRIM(INDEX('Form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8" s="32">
        <f>IF(B508="","",MAX(0,IFERROR(INT(--(INDEX('Form Responses'!$F:$F,ROW())&amp;"")),1)))</f>
        <v/>
      </c>
      <c r="I508" s="32">
        <f>IF(B508="","",MAX(0,IFERROR(INT(--(INDEX('Form Responses'!$G:$G,ROW())&amp;"")),0)))</f>
        <v/>
      </c>
      <c r="J508" s="32">
        <f>IF(B508="","",TRIM(INDEX('Form Responses'!$H:$H,ROW())&amp;""))</f>
        <v/>
      </c>
      <c r="K508" s="32">
        <f>IF(B508="","",TRIM(INDEX('Form Responses'!$I:$I,ROW())&amp;""))</f>
        <v/>
      </c>
      <c r="L508" s="32">
        <f>IF(B508="","",TRIM(INDEX('Form Responses'!$J:$J,ROW())&amp;""))</f>
        <v/>
      </c>
      <c r="M508" s="32">
        <f>IF(B508="","",TRIM(INDEX('Form Responses'!$K:$K,ROW())&amp;""))</f>
        <v/>
      </c>
      <c r="N508" s="32">
        <f>IF(B508="","",IF(E508&lt;&gt;"","P"&amp;E508,"N"&amp;B508))</f>
        <v/>
      </c>
      <c r="O508" s="32">
        <f>IF(N508="",0,IF(COUNTIF(N509:N$602,N508)=0,1,0))</f>
        <v/>
      </c>
      <c r="P508" s="32">
        <f>IF(AND(O508=1,E508&lt;&gt;""),E508,"")</f>
        <v/>
      </c>
      <c r="Q508" s="32">
        <f>IF(O508=1,B508,"")</f>
        <v/>
      </c>
      <c r="R508" s="32">
        <f>IF(O508&lt;&gt;1,"",IF(E508&lt;&gt;"",IFERROR(MATCH(E508,Guests!$S$6:$S$505,0)+5,IFERROR(MATCH(B508,Guests!$A$6:$A$505,0)+5,"")),IFERROR(MATCH(B508,Guests!$A$6:$A$505,0)+5,"")))</f>
        <v/>
      </c>
      <c r="S508" s="32">
        <f>IF(R508="","",TRIM(INDEX(Guests!$E$1:$E$505,R508)&amp;""))</f>
        <v/>
      </c>
      <c r="T508" s="32">
        <f>IF(R508="","",IF(S508="",1,COUNTIF(Guests!$E$6:$E$505,S508)))</f>
        <v/>
      </c>
      <c r="U508" s="32">
        <f>IF(R508="","",IF(S508="",1,IF(COUNTIF(S$1:S507,S508)=0,1,0)))</f>
        <v/>
      </c>
      <c r="V508" s="32">
        <f>IF(AND(R508&lt;&gt;"",G508="Attending",U508=1),MAX(0,H508+I508-T508),0)</f>
        <v/>
      </c>
      <c r="W508" s="32">
        <f>IF(AND(O508=1,R508=""),1,0)</f>
        <v/>
      </c>
      <c r="X508" s="32">
        <f>IF(B508="",0,H508+I508)</f>
        <v/>
      </c>
      <c r="Y508" s="32">
        <f>N(Y507)+O508</f>
        <v/>
      </c>
      <c r="Z508" s="32">
        <f>IF(O508=1,Y508,"")</f>
        <v/>
      </c>
      <c r="AA508" s="32">
        <f>IF(AND(W508=1,G508="Not sure yet"),1,0)</f>
        <v/>
      </c>
      <c r="AB508" s="32">
        <f>N(AB507)+AA508</f>
        <v/>
      </c>
      <c r="AC508" s="32">
        <f>IF(AA508=1,AB508,"")</f>
        <v/>
      </c>
      <c r="AD508" s="32">
        <f>IF(D508="","",IF(LEN(D508)=10,"+1"&amp;D508,IF(AND(LEN(D508)=11,LEFT(D508,1)="1"),"+"&amp;D508,IF(LEFT(C508,1)="+","+"&amp;D508,D508))))</f>
        <v/>
      </c>
      <c r="AE508" s="32">
        <f>IF(B508="","",PROPER(IFERROR(LEFT(B508,FIND(" ",B508)-1),B508)))</f>
        <v/>
      </c>
      <c r="AF508" s="32">
        <f>SUBSTITUTE(SUBSTITUTE(SUBSTITUTE(SUBSTITUTE(SUBSTITUTE(SUBSTITUTE(SUBSTITUTE(SUBSTITUTE(SUBSTITUTE(SUBSTITUTE(AE508,"%","%25"),"&amp;","%26"),"#","%23"),"+","%2B"),"=","%3D"),"?","%3F"),CHAR(34),"%22"),CHAR(10),"%0A"),CHAR(13),"")," ","+")</f>
        <v/>
      </c>
      <c r="AG508" s="32">
        <f>IF(OR(AD508="",AE508=""),"",'Start Here'!$B$20&amp;"#p="&amp;SUBSTITUTE(AD508,"+","%2B")&amp;"&amp;n="&amp;AF508&amp;"&amp;m="&amp;SUBSTITUTE('Start Here'!$B$24,"{name}",AF508))</f>
        <v/>
      </c>
      <c r="AH508" s="32">
        <f>N(AH507)+W508</f>
        <v/>
      </c>
      <c r="AI508" s="32">
        <f>IF(W508=1,AH508,"")</f>
        <v/>
      </c>
    </row>
    <row r="509">
      <c r="A509" s="32">
        <f>IF(INDEX('Form Responses'!$A:$A,ROW())="","",INDEX('Form Responses'!$A:$A,ROW()))</f>
        <v/>
      </c>
      <c r="B509" s="32">
        <f>TRIM(INDEX('Form Responses'!$B:$B,ROW())&amp;"")</f>
        <v/>
      </c>
      <c r="C509" s="32">
        <f>IF(B509="","",TRIM(INDEX('Form Responses'!$C:$C,ROW())&amp;""))</f>
        <v/>
      </c>
      <c r="D509" s="32">
        <f>SUBSTITUTE(SUBSTITUTE(SUBSTITUTE(SUBSTITUTE(SUBSTITUTE(SUBSTITUTE(SUBSTITUTE(SUBSTITUTE(C509," ",""),"-",""),"(",""),")",""),".",""),"+",""),"/",""),CHAR(160),"")</f>
        <v/>
      </c>
      <c r="E509" s="32">
        <f>IF(LEN(D509)&gt;=10,RIGHT(D509,10),D509)</f>
        <v/>
      </c>
      <c r="F509" s="32">
        <f>IF(B509="","",TRIM(INDEX('Form Responses'!$D:$D,ROW())&amp;""))</f>
        <v/>
      </c>
      <c r="G509" s="32">
        <f>IF(B509="","",IF(LEFT(TRIM(INDEX('Form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09" s="32">
        <f>IF(B509="","",MAX(0,IFERROR(INT(--(INDEX('Form Responses'!$F:$F,ROW())&amp;"")),1)))</f>
        <v/>
      </c>
      <c r="I509" s="32">
        <f>IF(B509="","",MAX(0,IFERROR(INT(--(INDEX('Form Responses'!$G:$G,ROW())&amp;"")),0)))</f>
        <v/>
      </c>
      <c r="J509" s="32">
        <f>IF(B509="","",TRIM(INDEX('Form Responses'!$H:$H,ROW())&amp;""))</f>
        <v/>
      </c>
      <c r="K509" s="32">
        <f>IF(B509="","",TRIM(INDEX('Form Responses'!$I:$I,ROW())&amp;""))</f>
        <v/>
      </c>
      <c r="L509" s="32">
        <f>IF(B509="","",TRIM(INDEX('Form Responses'!$J:$J,ROW())&amp;""))</f>
        <v/>
      </c>
      <c r="M509" s="32">
        <f>IF(B509="","",TRIM(INDEX('Form Responses'!$K:$K,ROW())&amp;""))</f>
        <v/>
      </c>
      <c r="N509" s="32">
        <f>IF(B509="","",IF(E509&lt;&gt;"","P"&amp;E509,"N"&amp;B509))</f>
        <v/>
      </c>
      <c r="O509" s="32">
        <f>IF(N509="",0,IF(COUNTIF(N510:N$602,N509)=0,1,0))</f>
        <v/>
      </c>
      <c r="P509" s="32">
        <f>IF(AND(O509=1,E509&lt;&gt;""),E509,"")</f>
        <v/>
      </c>
      <c r="Q509" s="32">
        <f>IF(O509=1,B509,"")</f>
        <v/>
      </c>
      <c r="R509" s="32">
        <f>IF(O509&lt;&gt;1,"",IF(E509&lt;&gt;"",IFERROR(MATCH(E509,Guests!$S$6:$S$505,0)+5,IFERROR(MATCH(B509,Guests!$A$6:$A$505,0)+5,"")),IFERROR(MATCH(B509,Guests!$A$6:$A$505,0)+5,"")))</f>
        <v/>
      </c>
      <c r="S509" s="32">
        <f>IF(R509="","",TRIM(INDEX(Guests!$E$1:$E$505,R509)&amp;""))</f>
        <v/>
      </c>
      <c r="T509" s="32">
        <f>IF(R509="","",IF(S509="",1,COUNTIF(Guests!$E$6:$E$505,S509)))</f>
        <v/>
      </c>
      <c r="U509" s="32">
        <f>IF(R509="","",IF(S509="",1,IF(COUNTIF(S$1:S508,S509)=0,1,0)))</f>
        <v/>
      </c>
      <c r="V509" s="32">
        <f>IF(AND(R509&lt;&gt;"",G509="Attending",U509=1),MAX(0,H509+I509-T509),0)</f>
        <v/>
      </c>
      <c r="W509" s="32">
        <f>IF(AND(O509=1,R509=""),1,0)</f>
        <v/>
      </c>
      <c r="X509" s="32">
        <f>IF(B509="",0,H509+I509)</f>
        <v/>
      </c>
      <c r="Y509" s="32">
        <f>N(Y508)+O509</f>
        <v/>
      </c>
      <c r="Z509" s="32">
        <f>IF(O509=1,Y509,"")</f>
        <v/>
      </c>
      <c r="AA509" s="32">
        <f>IF(AND(W509=1,G509="Not sure yet"),1,0)</f>
        <v/>
      </c>
      <c r="AB509" s="32">
        <f>N(AB508)+AA509</f>
        <v/>
      </c>
      <c r="AC509" s="32">
        <f>IF(AA509=1,AB509,"")</f>
        <v/>
      </c>
      <c r="AD509" s="32">
        <f>IF(D509="","",IF(LEN(D509)=10,"+1"&amp;D509,IF(AND(LEN(D509)=11,LEFT(D509,1)="1"),"+"&amp;D509,IF(LEFT(C509,1)="+","+"&amp;D509,D509))))</f>
        <v/>
      </c>
      <c r="AE509" s="32">
        <f>IF(B509="","",PROPER(IFERROR(LEFT(B509,FIND(" ",B509)-1),B509)))</f>
        <v/>
      </c>
      <c r="AF509" s="32">
        <f>SUBSTITUTE(SUBSTITUTE(SUBSTITUTE(SUBSTITUTE(SUBSTITUTE(SUBSTITUTE(SUBSTITUTE(SUBSTITUTE(SUBSTITUTE(SUBSTITUTE(AE509,"%","%25"),"&amp;","%26"),"#","%23"),"+","%2B"),"=","%3D"),"?","%3F"),CHAR(34),"%22"),CHAR(10),"%0A"),CHAR(13),"")," ","+")</f>
        <v/>
      </c>
      <c r="AG509" s="32">
        <f>IF(OR(AD509="",AE509=""),"",'Start Here'!$B$20&amp;"#p="&amp;SUBSTITUTE(AD509,"+","%2B")&amp;"&amp;n="&amp;AF509&amp;"&amp;m="&amp;SUBSTITUTE('Start Here'!$B$24,"{name}",AF509))</f>
        <v/>
      </c>
      <c r="AH509" s="32">
        <f>N(AH508)+W509</f>
        <v/>
      </c>
      <c r="AI509" s="32">
        <f>IF(W509=1,AH509,"")</f>
        <v/>
      </c>
    </row>
    <row r="510">
      <c r="A510" s="32">
        <f>IF(INDEX('Form Responses'!$A:$A,ROW())="","",INDEX('Form Responses'!$A:$A,ROW()))</f>
        <v/>
      </c>
      <c r="B510" s="32">
        <f>TRIM(INDEX('Form Responses'!$B:$B,ROW())&amp;"")</f>
        <v/>
      </c>
      <c r="C510" s="32">
        <f>IF(B510="","",TRIM(INDEX('Form Responses'!$C:$C,ROW())&amp;""))</f>
        <v/>
      </c>
      <c r="D510" s="32">
        <f>SUBSTITUTE(SUBSTITUTE(SUBSTITUTE(SUBSTITUTE(SUBSTITUTE(SUBSTITUTE(SUBSTITUTE(SUBSTITUTE(C510," ",""),"-",""),"(",""),")",""),".",""),"+",""),"/",""),CHAR(160),"")</f>
        <v/>
      </c>
      <c r="E510" s="32">
        <f>IF(LEN(D510)&gt;=10,RIGHT(D510,10),D510)</f>
        <v/>
      </c>
      <c r="F510" s="32">
        <f>IF(B510="","",TRIM(INDEX('Form Responses'!$D:$D,ROW())&amp;""))</f>
        <v/>
      </c>
      <c r="G510" s="32">
        <f>IF(B510="","",IF(LEFT(TRIM(INDEX('Form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0" s="32">
        <f>IF(B510="","",MAX(0,IFERROR(INT(--(INDEX('Form Responses'!$F:$F,ROW())&amp;"")),1)))</f>
        <v/>
      </c>
      <c r="I510" s="32">
        <f>IF(B510="","",MAX(0,IFERROR(INT(--(INDEX('Form Responses'!$G:$G,ROW())&amp;"")),0)))</f>
        <v/>
      </c>
      <c r="J510" s="32">
        <f>IF(B510="","",TRIM(INDEX('Form Responses'!$H:$H,ROW())&amp;""))</f>
        <v/>
      </c>
      <c r="K510" s="32">
        <f>IF(B510="","",TRIM(INDEX('Form Responses'!$I:$I,ROW())&amp;""))</f>
        <v/>
      </c>
      <c r="L510" s="32">
        <f>IF(B510="","",TRIM(INDEX('Form Responses'!$J:$J,ROW())&amp;""))</f>
        <v/>
      </c>
      <c r="M510" s="32">
        <f>IF(B510="","",TRIM(INDEX('Form Responses'!$K:$K,ROW())&amp;""))</f>
        <v/>
      </c>
      <c r="N510" s="32">
        <f>IF(B510="","",IF(E510&lt;&gt;"","P"&amp;E510,"N"&amp;B510))</f>
        <v/>
      </c>
      <c r="O510" s="32">
        <f>IF(N510="",0,IF(COUNTIF(N511:N$602,N510)=0,1,0))</f>
        <v/>
      </c>
      <c r="P510" s="32">
        <f>IF(AND(O510=1,E510&lt;&gt;""),E510,"")</f>
        <v/>
      </c>
      <c r="Q510" s="32">
        <f>IF(O510=1,B510,"")</f>
        <v/>
      </c>
      <c r="R510" s="32">
        <f>IF(O510&lt;&gt;1,"",IF(E510&lt;&gt;"",IFERROR(MATCH(E510,Guests!$S$6:$S$505,0)+5,IFERROR(MATCH(B510,Guests!$A$6:$A$505,0)+5,"")),IFERROR(MATCH(B510,Guests!$A$6:$A$505,0)+5,"")))</f>
        <v/>
      </c>
      <c r="S510" s="32">
        <f>IF(R510="","",TRIM(INDEX(Guests!$E$1:$E$505,R510)&amp;""))</f>
        <v/>
      </c>
      <c r="T510" s="32">
        <f>IF(R510="","",IF(S510="",1,COUNTIF(Guests!$E$6:$E$505,S510)))</f>
        <v/>
      </c>
      <c r="U510" s="32">
        <f>IF(R510="","",IF(S510="",1,IF(COUNTIF(S$1:S509,S510)=0,1,0)))</f>
        <v/>
      </c>
      <c r="V510" s="32">
        <f>IF(AND(R510&lt;&gt;"",G510="Attending",U510=1),MAX(0,H510+I510-T510),0)</f>
        <v/>
      </c>
      <c r="W510" s="32">
        <f>IF(AND(O510=1,R510=""),1,0)</f>
        <v/>
      </c>
      <c r="X510" s="32">
        <f>IF(B510="",0,H510+I510)</f>
        <v/>
      </c>
      <c r="Y510" s="32">
        <f>N(Y509)+O510</f>
        <v/>
      </c>
      <c r="Z510" s="32">
        <f>IF(O510=1,Y510,"")</f>
        <v/>
      </c>
      <c r="AA510" s="32">
        <f>IF(AND(W510=1,G510="Not sure yet"),1,0)</f>
        <v/>
      </c>
      <c r="AB510" s="32">
        <f>N(AB509)+AA510</f>
        <v/>
      </c>
      <c r="AC510" s="32">
        <f>IF(AA510=1,AB510,"")</f>
        <v/>
      </c>
      <c r="AD510" s="32">
        <f>IF(D510="","",IF(LEN(D510)=10,"+1"&amp;D510,IF(AND(LEN(D510)=11,LEFT(D510,1)="1"),"+"&amp;D510,IF(LEFT(C510,1)="+","+"&amp;D510,D510))))</f>
        <v/>
      </c>
      <c r="AE510" s="32">
        <f>IF(B510="","",PROPER(IFERROR(LEFT(B510,FIND(" ",B510)-1),B510)))</f>
        <v/>
      </c>
      <c r="AF510" s="32">
        <f>SUBSTITUTE(SUBSTITUTE(SUBSTITUTE(SUBSTITUTE(SUBSTITUTE(SUBSTITUTE(SUBSTITUTE(SUBSTITUTE(SUBSTITUTE(SUBSTITUTE(AE510,"%","%25"),"&amp;","%26"),"#","%23"),"+","%2B"),"=","%3D"),"?","%3F"),CHAR(34),"%22"),CHAR(10),"%0A"),CHAR(13),"")," ","+")</f>
        <v/>
      </c>
      <c r="AG510" s="32">
        <f>IF(OR(AD510="",AE510=""),"",'Start Here'!$B$20&amp;"#p="&amp;SUBSTITUTE(AD510,"+","%2B")&amp;"&amp;n="&amp;AF510&amp;"&amp;m="&amp;SUBSTITUTE('Start Here'!$B$24,"{name}",AF510))</f>
        <v/>
      </c>
      <c r="AH510" s="32">
        <f>N(AH509)+W510</f>
        <v/>
      </c>
      <c r="AI510" s="32">
        <f>IF(W510=1,AH510,"")</f>
        <v/>
      </c>
    </row>
    <row r="511">
      <c r="A511" s="32">
        <f>IF(INDEX('Form Responses'!$A:$A,ROW())="","",INDEX('Form Responses'!$A:$A,ROW()))</f>
        <v/>
      </c>
      <c r="B511" s="32">
        <f>TRIM(INDEX('Form Responses'!$B:$B,ROW())&amp;"")</f>
        <v/>
      </c>
      <c r="C511" s="32">
        <f>IF(B511="","",TRIM(INDEX('Form Responses'!$C:$C,ROW())&amp;""))</f>
        <v/>
      </c>
      <c r="D511" s="32">
        <f>SUBSTITUTE(SUBSTITUTE(SUBSTITUTE(SUBSTITUTE(SUBSTITUTE(SUBSTITUTE(SUBSTITUTE(SUBSTITUTE(C511," ",""),"-",""),"(",""),")",""),".",""),"+",""),"/",""),CHAR(160),"")</f>
        <v/>
      </c>
      <c r="E511" s="32">
        <f>IF(LEN(D511)&gt;=10,RIGHT(D511,10),D511)</f>
        <v/>
      </c>
      <c r="F511" s="32">
        <f>IF(B511="","",TRIM(INDEX('Form Responses'!$D:$D,ROW())&amp;""))</f>
        <v/>
      </c>
      <c r="G511" s="32">
        <f>IF(B511="","",IF(LEFT(TRIM(INDEX('Form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1" s="32">
        <f>IF(B511="","",MAX(0,IFERROR(INT(--(INDEX('Form Responses'!$F:$F,ROW())&amp;"")),1)))</f>
        <v/>
      </c>
      <c r="I511" s="32">
        <f>IF(B511="","",MAX(0,IFERROR(INT(--(INDEX('Form Responses'!$G:$G,ROW())&amp;"")),0)))</f>
        <v/>
      </c>
      <c r="J511" s="32">
        <f>IF(B511="","",TRIM(INDEX('Form Responses'!$H:$H,ROW())&amp;""))</f>
        <v/>
      </c>
      <c r="K511" s="32">
        <f>IF(B511="","",TRIM(INDEX('Form Responses'!$I:$I,ROW())&amp;""))</f>
        <v/>
      </c>
      <c r="L511" s="32">
        <f>IF(B511="","",TRIM(INDEX('Form Responses'!$J:$J,ROW())&amp;""))</f>
        <v/>
      </c>
      <c r="M511" s="32">
        <f>IF(B511="","",TRIM(INDEX('Form Responses'!$K:$K,ROW())&amp;""))</f>
        <v/>
      </c>
      <c r="N511" s="32">
        <f>IF(B511="","",IF(E511&lt;&gt;"","P"&amp;E511,"N"&amp;B511))</f>
        <v/>
      </c>
      <c r="O511" s="32">
        <f>IF(N511="",0,IF(COUNTIF(N512:N$602,N511)=0,1,0))</f>
        <v/>
      </c>
      <c r="P511" s="32">
        <f>IF(AND(O511=1,E511&lt;&gt;""),E511,"")</f>
        <v/>
      </c>
      <c r="Q511" s="32">
        <f>IF(O511=1,B511,"")</f>
        <v/>
      </c>
      <c r="R511" s="32">
        <f>IF(O511&lt;&gt;1,"",IF(E511&lt;&gt;"",IFERROR(MATCH(E511,Guests!$S$6:$S$505,0)+5,IFERROR(MATCH(B511,Guests!$A$6:$A$505,0)+5,"")),IFERROR(MATCH(B511,Guests!$A$6:$A$505,0)+5,"")))</f>
        <v/>
      </c>
      <c r="S511" s="32">
        <f>IF(R511="","",TRIM(INDEX(Guests!$E$1:$E$505,R511)&amp;""))</f>
        <v/>
      </c>
      <c r="T511" s="32">
        <f>IF(R511="","",IF(S511="",1,COUNTIF(Guests!$E$6:$E$505,S511)))</f>
        <v/>
      </c>
      <c r="U511" s="32">
        <f>IF(R511="","",IF(S511="",1,IF(COUNTIF(S$1:S510,S511)=0,1,0)))</f>
        <v/>
      </c>
      <c r="V511" s="32">
        <f>IF(AND(R511&lt;&gt;"",G511="Attending",U511=1),MAX(0,H511+I511-T511),0)</f>
        <v/>
      </c>
      <c r="W511" s="32">
        <f>IF(AND(O511=1,R511=""),1,0)</f>
        <v/>
      </c>
      <c r="X511" s="32">
        <f>IF(B511="",0,H511+I511)</f>
        <v/>
      </c>
      <c r="Y511" s="32">
        <f>N(Y510)+O511</f>
        <v/>
      </c>
      <c r="Z511" s="32">
        <f>IF(O511=1,Y511,"")</f>
        <v/>
      </c>
      <c r="AA511" s="32">
        <f>IF(AND(W511=1,G511="Not sure yet"),1,0)</f>
        <v/>
      </c>
      <c r="AB511" s="32">
        <f>N(AB510)+AA511</f>
        <v/>
      </c>
      <c r="AC511" s="32">
        <f>IF(AA511=1,AB511,"")</f>
        <v/>
      </c>
      <c r="AD511" s="32">
        <f>IF(D511="","",IF(LEN(D511)=10,"+1"&amp;D511,IF(AND(LEN(D511)=11,LEFT(D511,1)="1"),"+"&amp;D511,IF(LEFT(C511,1)="+","+"&amp;D511,D511))))</f>
        <v/>
      </c>
      <c r="AE511" s="32">
        <f>IF(B511="","",PROPER(IFERROR(LEFT(B511,FIND(" ",B511)-1),B511)))</f>
        <v/>
      </c>
      <c r="AF511" s="32">
        <f>SUBSTITUTE(SUBSTITUTE(SUBSTITUTE(SUBSTITUTE(SUBSTITUTE(SUBSTITUTE(SUBSTITUTE(SUBSTITUTE(SUBSTITUTE(SUBSTITUTE(AE511,"%","%25"),"&amp;","%26"),"#","%23"),"+","%2B"),"=","%3D"),"?","%3F"),CHAR(34),"%22"),CHAR(10),"%0A"),CHAR(13),"")," ","+")</f>
        <v/>
      </c>
      <c r="AG511" s="32">
        <f>IF(OR(AD511="",AE511=""),"",'Start Here'!$B$20&amp;"#p="&amp;SUBSTITUTE(AD511,"+","%2B")&amp;"&amp;n="&amp;AF511&amp;"&amp;m="&amp;SUBSTITUTE('Start Here'!$B$24,"{name}",AF511))</f>
        <v/>
      </c>
      <c r="AH511" s="32">
        <f>N(AH510)+W511</f>
        <v/>
      </c>
      <c r="AI511" s="32">
        <f>IF(W511=1,AH511,"")</f>
        <v/>
      </c>
    </row>
    <row r="512">
      <c r="A512" s="32">
        <f>IF(INDEX('Form Responses'!$A:$A,ROW())="","",INDEX('Form Responses'!$A:$A,ROW()))</f>
        <v/>
      </c>
      <c r="B512" s="32">
        <f>TRIM(INDEX('Form Responses'!$B:$B,ROW())&amp;"")</f>
        <v/>
      </c>
      <c r="C512" s="32">
        <f>IF(B512="","",TRIM(INDEX('Form Responses'!$C:$C,ROW())&amp;""))</f>
        <v/>
      </c>
      <c r="D512" s="32">
        <f>SUBSTITUTE(SUBSTITUTE(SUBSTITUTE(SUBSTITUTE(SUBSTITUTE(SUBSTITUTE(SUBSTITUTE(SUBSTITUTE(C512," ",""),"-",""),"(",""),")",""),".",""),"+",""),"/",""),CHAR(160),"")</f>
        <v/>
      </c>
      <c r="E512" s="32">
        <f>IF(LEN(D512)&gt;=10,RIGHT(D512,10),D512)</f>
        <v/>
      </c>
      <c r="F512" s="32">
        <f>IF(B512="","",TRIM(INDEX('Form Responses'!$D:$D,ROW())&amp;""))</f>
        <v/>
      </c>
      <c r="G512" s="32">
        <f>IF(B512="","",IF(LEFT(TRIM(INDEX('Form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2" s="32">
        <f>IF(B512="","",MAX(0,IFERROR(INT(--(INDEX('Form Responses'!$F:$F,ROW())&amp;"")),1)))</f>
        <v/>
      </c>
      <c r="I512" s="32">
        <f>IF(B512="","",MAX(0,IFERROR(INT(--(INDEX('Form Responses'!$G:$G,ROW())&amp;"")),0)))</f>
        <v/>
      </c>
      <c r="J512" s="32">
        <f>IF(B512="","",TRIM(INDEX('Form Responses'!$H:$H,ROW())&amp;""))</f>
        <v/>
      </c>
      <c r="K512" s="32">
        <f>IF(B512="","",TRIM(INDEX('Form Responses'!$I:$I,ROW())&amp;""))</f>
        <v/>
      </c>
      <c r="L512" s="32">
        <f>IF(B512="","",TRIM(INDEX('Form Responses'!$J:$J,ROW())&amp;""))</f>
        <v/>
      </c>
      <c r="M512" s="32">
        <f>IF(B512="","",TRIM(INDEX('Form Responses'!$K:$K,ROW())&amp;""))</f>
        <v/>
      </c>
      <c r="N512" s="32">
        <f>IF(B512="","",IF(E512&lt;&gt;"","P"&amp;E512,"N"&amp;B512))</f>
        <v/>
      </c>
      <c r="O512" s="32">
        <f>IF(N512="",0,IF(COUNTIF(N513:N$602,N512)=0,1,0))</f>
        <v/>
      </c>
      <c r="P512" s="32">
        <f>IF(AND(O512=1,E512&lt;&gt;""),E512,"")</f>
        <v/>
      </c>
      <c r="Q512" s="32">
        <f>IF(O512=1,B512,"")</f>
        <v/>
      </c>
      <c r="R512" s="32">
        <f>IF(O512&lt;&gt;1,"",IF(E512&lt;&gt;"",IFERROR(MATCH(E512,Guests!$S$6:$S$505,0)+5,IFERROR(MATCH(B512,Guests!$A$6:$A$505,0)+5,"")),IFERROR(MATCH(B512,Guests!$A$6:$A$505,0)+5,"")))</f>
        <v/>
      </c>
      <c r="S512" s="32">
        <f>IF(R512="","",TRIM(INDEX(Guests!$E$1:$E$505,R512)&amp;""))</f>
        <v/>
      </c>
      <c r="T512" s="32">
        <f>IF(R512="","",IF(S512="",1,COUNTIF(Guests!$E$6:$E$505,S512)))</f>
        <v/>
      </c>
      <c r="U512" s="32">
        <f>IF(R512="","",IF(S512="",1,IF(COUNTIF(S$1:S511,S512)=0,1,0)))</f>
        <v/>
      </c>
      <c r="V512" s="32">
        <f>IF(AND(R512&lt;&gt;"",G512="Attending",U512=1),MAX(0,H512+I512-T512),0)</f>
        <v/>
      </c>
      <c r="W512" s="32">
        <f>IF(AND(O512=1,R512=""),1,0)</f>
        <v/>
      </c>
      <c r="X512" s="32">
        <f>IF(B512="",0,H512+I512)</f>
        <v/>
      </c>
      <c r="Y512" s="32">
        <f>N(Y511)+O512</f>
        <v/>
      </c>
      <c r="Z512" s="32">
        <f>IF(O512=1,Y512,"")</f>
        <v/>
      </c>
      <c r="AA512" s="32">
        <f>IF(AND(W512=1,G512="Not sure yet"),1,0)</f>
        <v/>
      </c>
      <c r="AB512" s="32">
        <f>N(AB511)+AA512</f>
        <v/>
      </c>
      <c r="AC512" s="32">
        <f>IF(AA512=1,AB512,"")</f>
        <v/>
      </c>
      <c r="AD512" s="32">
        <f>IF(D512="","",IF(LEN(D512)=10,"+1"&amp;D512,IF(AND(LEN(D512)=11,LEFT(D512,1)="1"),"+"&amp;D512,IF(LEFT(C512,1)="+","+"&amp;D512,D512))))</f>
        <v/>
      </c>
      <c r="AE512" s="32">
        <f>IF(B512="","",PROPER(IFERROR(LEFT(B512,FIND(" ",B512)-1),B512)))</f>
        <v/>
      </c>
      <c r="AF512" s="32">
        <f>SUBSTITUTE(SUBSTITUTE(SUBSTITUTE(SUBSTITUTE(SUBSTITUTE(SUBSTITUTE(SUBSTITUTE(SUBSTITUTE(SUBSTITUTE(SUBSTITUTE(AE512,"%","%25"),"&amp;","%26"),"#","%23"),"+","%2B"),"=","%3D"),"?","%3F"),CHAR(34),"%22"),CHAR(10),"%0A"),CHAR(13),"")," ","+")</f>
        <v/>
      </c>
      <c r="AG512" s="32">
        <f>IF(OR(AD512="",AE512=""),"",'Start Here'!$B$20&amp;"#p="&amp;SUBSTITUTE(AD512,"+","%2B")&amp;"&amp;n="&amp;AF512&amp;"&amp;m="&amp;SUBSTITUTE('Start Here'!$B$24,"{name}",AF512))</f>
        <v/>
      </c>
      <c r="AH512" s="32">
        <f>N(AH511)+W512</f>
        <v/>
      </c>
      <c r="AI512" s="32">
        <f>IF(W512=1,AH512,"")</f>
        <v/>
      </c>
    </row>
    <row r="513">
      <c r="A513" s="32">
        <f>IF(INDEX('Form Responses'!$A:$A,ROW())="","",INDEX('Form Responses'!$A:$A,ROW()))</f>
        <v/>
      </c>
      <c r="B513" s="32">
        <f>TRIM(INDEX('Form Responses'!$B:$B,ROW())&amp;"")</f>
        <v/>
      </c>
      <c r="C513" s="32">
        <f>IF(B513="","",TRIM(INDEX('Form Responses'!$C:$C,ROW())&amp;""))</f>
        <v/>
      </c>
      <c r="D513" s="32">
        <f>SUBSTITUTE(SUBSTITUTE(SUBSTITUTE(SUBSTITUTE(SUBSTITUTE(SUBSTITUTE(SUBSTITUTE(SUBSTITUTE(C513," ",""),"-",""),"(",""),")",""),".",""),"+",""),"/",""),CHAR(160),"")</f>
        <v/>
      </c>
      <c r="E513" s="32">
        <f>IF(LEN(D513)&gt;=10,RIGHT(D513,10),D513)</f>
        <v/>
      </c>
      <c r="F513" s="32">
        <f>IF(B513="","",TRIM(INDEX('Form Responses'!$D:$D,ROW())&amp;""))</f>
        <v/>
      </c>
      <c r="G513" s="32">
        <f>IF(B513="","",IF(LEFT(TRIM(INDEX('Form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3" s="32">
        <f>IF(B513="","",MAX(0,IFERROR(INT(--(INDEX('Form Responses'!$F:$F,ROW())&amp;"")),1)))</f>
        <v/>
      </c>
      <c r="I513" s="32">
        <f>IF(B513="","",MAX(0,IFERROR(INT(--(INDEX('Form Responses'!$G:$G,ROW())&amp;"")),0)))</f>
        <v/>
      </c>
      <c r="J513" s="32">
        <f>IF(B513="","",TRIM(INDEX('Form Responses'!$H:$H,ROW())&amp;""))</f>
        <v/>
      </c>
      <c r="K513" s="32">
        <f>IF(B513="","",TRIM(INDEX('Form Responses'!$I:$I,ROW())&amp;""))</f>
        <v/>
      </c>
      <c r="L513" s="32">
        <f>IF(B513="","",TRIM(INDEX('Form Responses'!$J:$J,ROW())&amp;""))</f>
        <v/>
      </c>
      <c r="M513" s="32">
        <f>IF(B513="","",TRIM(INDEX('Form Responses'!$K:$K,ROW())&amp;""))</f>
        <v/>
      </c>
      <c r="N513" s="32">
        <f>IF(B513="","",IF(E513&lt;&gt;"","P"&amp;E513,"N"&amp;B513))</f>
        <v/>
      </c>
      <c r="O513" s="32">
        <f>IF(N513="",0,IF(COUNTIF(N514:N$602,N513)=0,1,0))</f>
        <v/>
      </c>
      <c r="P513" s="32">
        <f>IF(AND(O513=1,E513&lt;&gt;""),E513,"")</f>
        <v/>
      </c>
      <c r="Q513" s="32">
        <f>IF(O513=1,B513,"")</f>
        <v/>
      </c>
      <c r="R513" s="32">
        <f>IF(O513&lt;&gt;1,"",IF(E513&lt;&gt;"",IFERROR(MATCH(E513,Guests!$S$6:$S$505,0)+5,IFERROR(MATCH(B513,Guests!$A$6:$A$505,0)+5,"")),IFERROR(MATCH(B513,Guests!$A$6:$A$505,0)+5,"")))</f>
        <v/>
      </c>
      <c r="S513" s="32">
        <f>IF(R513="","",TRIM(INDEX(Guests!$E$1:$E$505,R513)&amp;""))</f>
        <v/>
      </c>
      <c r="T513" s="32">
        <f>IF(R513="","",IF(S513="",1,COUNTIF(Guests!$E$6:$E$505,S513)))</f>
        <v/>
      </c>
      <c r="U513" s="32">
        <f>IF(R513="","",IF(S513="",1,IF(COUNTIF(S$1:S512,S513)=0,1,0)))</f>
        <v/>
      </c>
      <c r="V513" s="32">
        <f>IF(AND(R513&lt;&gt;"",G513="Attending",U513=1),MAX(0,H513+I513-T513),0)</f>
        <v/>
      </c>
      <c r="W513" s="32">
        <f>IF(AND(O513=1,R513=""),1,0)</f>
        <v/>
      </c>
      <c r="X513" s="32">
        <f>IF(B513="",0,H513+I513)</f>
        <v/>
      </c>
      <c r="Y513" s="32">
        <f>N(Y512)+O513</f>
        <v/>
      </c>
      <c r="Z513" s="32">
        <f>IF(O513=1,Y513,"")</f>
        <v/>
      </c>
      <c r="AA513" s="32">
        <f>IF(AND(W513=1,G513="Not sure yet"),1,0)</f>
        <v/>
      </c>
      <c r="AB513" s="32">
        <f>N(AB512)+AA513</f>
        <v/>
      </c>
      <c r="AC513" s="32">
        <f>IF(AA513=1,AB513,"")</f>
        <v/>
      </c>
      <c r="AD513" s="32">
        <f>IF(D513="","",IF(LEN(D513)=10,"+1"&amp;D513,IF(AND(LEN(D513)=11,LEFT(D513,1)="1"),"+"&amp;D513,IF(LEFT(C513,1)="+","+"&amp;D513,D513))))</f>
        <v/>
      </c>
      <c r="AE513" s="32">
        <f>IF(B513="","",PROPER(IFERROR(LEFT(B513,FIND(" ",B513)-1),B513)))</f>
        <v/>
      </c>
      <c r="AF513" s="32">
        <f>SUBSTITUTE(SUBSTITUTE(SUBSTITUTE(SUBSTITUTE(SUBSTITUTE(SUBSTITUTE(SUBSTITUTE(SUBSTITUTE(SUBSTITUTE(SUBSTITUTE(AE513,"%","%25"),"&amp;","%26"),"#","%23"),"+","%2B"),"=","%3D"),"?","%3F"),CHAR(34),"%22"),CHAR(10),"%0A"),CHAR(13),"")," ","+")</f>
        <v/>
      </c>
      <c r="AG513" s="32">
        <f>IF(OR(AD513="",AE513=""),"",'Start Here'!$B$20&amp;"#p="&amp;SUBSTITUTE(AD513,"+","%2B")&amp;"&amp;n="&amp;AF513&amp;"&amp;m="&amp;SUBSTITUTE('Start Here'!$B$24,"{name}",AF513))</f>
        <v/>
      </c>
      <c r="AH513" s="32">
        <f>N(AH512)+W513</f>
        <v/>
      </c>
      <c r="AI513" s="32">
        <f>IF(W513=1,AH513,"")</f>
        <v/>
      </c>
    </row>
    <row r="514">
      <c r="A514" s="32">
        <f>IF(INDEX('Form Responses'!$A:$A,ROW())="","",INDEX('Form Responses'!$A:$A,ROW()))</f>
        <v/>
      </c>
      <c r="B514" s="32">
        <f>TRIM(INDEX('Form Responses'!$B:$B,ROW())&amp;"")</f>
        <v/>
      </c>
      <c r="C514" s="32">
        <f>IF(B514="","",TRIM(INDEX('Form Responses'!$C:$C,ROW())&amp;""))</f>
        <v/>
      </c>
      <c r="D514" s="32">
        <f>SUBSTITUTE(SUBSTITUTE(SUBSTITUTE(SUBSTITUTE(SUBSTITUTE(SUBSTITUTE(SUBSTITUTE(SUBSTITUTE(C514," ",""),"-",""),"(",""),")",""),".",""),"+",""),"/",""),CHAR(160),"")</f>
        <v/>
      </c>
      <c r="E514" s="32">
        <f>IF(LEN(D514)&gt;=10,RIGHT(D514,10),D514)</f>
        <v/>
      </c>
      <c r="F514" s="32">
        <f>IF(B514="","",TRIM(INDEX('Form Responses'!$D:$D,ROW())&amp;""))</f>
        <v/>
      </c>
      <c r="G514" s="32">
        <f>IF(B514="","",IF(LEFT(TRIM(INDEX('Form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4" s="32">
        <f>IF(B514="","",MAX(0,IFERROR(INT(--(INDEX('Form Responses'!$F:$F,ROW())&amp;"")),1)))</f>
        <v/>
      </c>
      <c r="I514" s="32">
        <f>IF(B514="","",MAX(0,IFERROR(INT(--(INDEX('Form Responses'!$G:$G,ROW())&amp;"")),0)))</f>
        <v/>
      </c>
      <c r="J514" s="32">
        <f>IF(B514="","",TRIM(INDEX('Form Responses'!$H:$H,ROW())&amp;""))</f>
        <v/>
      </c>
      <c r="K514" s="32">
        <f>IF(B514="","",TRIM(INDEX('Form Responses'!$I:$I,ROW())&amp;""))</f>
        <v/>
      </c>
      <c r="L514" s="32">
        <f>IF(B514="","",TRIM(INDEX('Form Responses'!$J:$J,ROW())&amp;""))</f>
        <v/>
      </c>
      <c r="M514" s="32">
        <f>IF(B514="","",TRIM(INDEX('Form Responses'!$K:$K,ROW())&amp;""))</f>
        <v/>
      </c>
      <c r="N514" s="32">
        <f>IF(B514="","",IF(E514&lt;&gt;"","P"&amp;E514,"N"&amp;B514))</f>
        <v/>
      </c>
      <c r="O514" s="32">
        <f>IF(N514="",0,IF(COUNTIF(N515:N$602,N514)=0,1,0))</f>
        <v/>
      </c>
      <c r="P514" s="32">
        <f>IF(AND(O514=1,E514&lt;&gt;""),E514,"")</f>
        <v/>
      </c>
      <c r="Q514" s="32">
        <f>IF(O514=1,B514,"")</f>
        <v/>
      </c>
      <c r="R514" s="32">
        <f>IF(O514&lt;&gt;1,"",IF(E514&lt;&gt;"",IFERROR(MATCH(E514,Guests!$S$6:$S$505,0)+5,IFERROR(MATCH(B514,Guests!$A$6:$A$505,0)+5,"")),IFERROR(MATCH(B514,Guests!$A$6:$A$505,0)+5,"")))</f>
        <v/>
      </c>
      <c r="S514" s="32">
        <f>IF(R514="","",TRIM(INDEX(Guests!$E$1:$E$505,R514)&amp;""))</f>
        <v/>
      </c>
      <c r="T514" s="32">
        <f>IF(R514="","",IF(S514="",1,COUNTIF(Guests!$E$6:$E$505,S514)))</f>
        <v/>
      </c>
      <c r="U514" s="32">
        <f>IF(R514="","",IF(S514="",1,IF(COUNTIF(S$1:S513,S514)=0,1,0)))</f>
        <v/>
      </c>
      <c r="V514" s="32">
        <f>IF(AND(R514&lt;&gt;"",G514="Attending",U514=1),MAX(0,H514+I514-T514),0)</f>
        <v/>
      </c>
      <c r="W514" s="32">
        <f>IF(AND(O514=1,R514=""),1,0)</f>
        <v/>
      </c>
      <c r="X514" s="32">
        <f>IF(B514="",0,H514+I514)</f>
        <v/>
      </c>
      <c r="Y514" s="32">
        <f>N(Y513)+O514</f>
        <v/>
      </c>
      <c r="Z514" s="32">
        <f>IF(O514=1,Y514,"")</f>
        <v/>
      </c>
      <c r="AA514" s="32">
        <f>IF(AND(W514=1,G514="Not sure yet"),1,0)</f>
        <v/>
      </c>
      <c r="AB514" s="32">
        <f>N(AB513)+AA514</f>
        <v/>
      </c>
      <c r="AC514" s="32">
        <f>IF(AA514=1,AB514,"")</f>
        <v/>
      </c>
      <c r="AD514" s="32">
        <f>IF(D514="","",IF(LEN(D514)=10,"+1"&amp;D514,IF(AND(LEN(D514)=11,LEFT(D514,1)="1"),"+"&amp;D514,IF(LEFT(C514,1)="+","+"&amp;D514,D514))))</f>
        <v/>
      </c>
      <c r="AE514" s="32">
        <f>IF(B514="","",PROPER(IFERROR(LEFT(B514,FIND(" ",B514)-1),B514)))</f>
        <v/>
      </c>
      <c r="AF514" s="32">
        <f>SUBSTITUTE(SUBSTITUTE(SUBSTITUTE(SUBSTITUTE(SUBSTITUTE(SUBSTITUTE(SUBSTITUTE(SUBSTITUTE(SUBSTITUTE(SUBSTITUTE(AE514,"%","%25"),"&amp;","%26"),"#","%23"),"+","%2B"),"=","%3D"),"?","%3F"),CHAR(34),"%22"),CHAR(10),"%0A"),CHAR(13),"")," ","+")</f>
        <v/>
      </c>
      <c r="AG514" s="32">
        <f>IF(OR(AD514="",AE514=""),"",'Start Here'!$B$20&amp;"#p="&amp;SUBSTITUTE(AD514,"+","%2B")&amp;"&amp;n="&amp;AF514&amp;"&amp;m="&amp;SUBSTITUTE('Start Here'!$B$24,"{name}",AF514))</f>
        <v/>
      </c>
      <c r="AH514" s="32">
        <f>N(AH513)+W514</f>
        <v/>
      </c>
      <c r="AI514" s="32">
        <f>IF(W514=1,AH514,"")</f>
        <v/>
      </c>
    </row>
    <row r="515">
      <c r="A515" s="32">
        <f>IF(INDEX('Form Responses'!$A:$A,ROW())="","",INDEX('Form Responses'!$A:$A,ROW()))</f>
        <v/>
      </c>
      <c r="B515" s="32">
        <f>TRIM(INDEX('Form Responses'!$B:$B,ROW())&amp;"")</f>
        <v/>
      </c>
      <c r="C515" s="32">
        <f>IF(B515="","",TRIM(INDEX('Form Responses'!$C:$C,ROW())&amp;""))</f>
        <v/>
      </c>
      <c r="D515" s="32">
        <f>SUBSTITUTE(SUBSTITUTE(SUBSTITUTE(SUBSTITUTE(SUBSTITUTE(SUBSTITUTE(SUBSTITUTE(SUBSTITUTE(C515," ",""),"-",""),"(",""),")",""),".",""),"+",""),"/",""),CHAR(160),"")</f>
        <v/>
      </c>
      <c r="E515" s="32">
        <f>IF(LEN(D515)&gt;=10,RIGHT(D515,10),D515)</f>
        <v/>
      </c>
      <c r="F515" s="32">
        <f>IF(B515="","",TRIM(INDEX('Form Responses'!$D:$D,ROW())&amp;""))</f>
        <v/>
      </c>
      <c r="G515" s="32">
        <f>IF(B515="","",IF(LEFT(TRIM(INDEX('Form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5" s="32">
        <f>IF(B515="","",MAX(0,IFERROR(INT(--(INDEX('Form Responses'!$F:$F,ROW())&amp;"")),1)))</f>
        <v/>
      </c>
      <c r="I515" s="32">
        <f>IF(B515="","",MAX(0,IFERROR(INT(--(INDEX('Form Responses'!$G:$G,ROW())&amp;"")),0)))</f>
        <v/>
      </c>
      <c r="J515" s="32">
        <f>IF(B515="","",TRIM(INDEX('Form Responses'!$H:$H,ROW())&amp;""))</f>
        <v/>
      </c>
      <c r="K515" s="32">
        <f>IF(B515="","",TRIM(INDEX('Form Responses'!$I:$I,ROW())&amp;""))</f>
        <v/>
      </c>
      <c r="L515" s="32">
        <f>IF(B515="","",TRIM(INDEX('Form Responses'!$J:$J,ROW())&amp;""))</f>
        <v/>
      </c>
      <c r="M515" s="32">
        <f>IF(B515="","",TRIM(INDEX('Form Responses'!$K:$K,ROW())&amp;""))</f>
        <v/>
      </c>
      <c r="N515" s="32">
        <f>IF(B515="","",IF(E515&lt;&gt;"","P"&amp;E515,"N"&amp;B515))</f>
        <v/>
      </c>
      <c r="O515" s="32">
        <f>IF(N515="",0,IF(COUNTIF(N516:N$602,N515)=0,1,0))</f>
        <v/>
      </c>
      <c r="P515" s="32">
        <f>IF(AND(O515=1,E515&lt;&gt;""),E515,"")</f>
        <v/>
      </c>
      <c r="Q515" s="32">
        <f>IF(O515=1,B515,"")</f>
        <v/>
      </c>
      <c r="R515" s="32">
        <f>IF(O515&lt;&gt;1,"",IF(E515&lt;&gt;"",IFERROR(MATCH(E515,Guests!$S$6:$S$505,0)+5,IFERROR(MATCH(B515,Guests!$A$6:$A$505,0)+5,"")),IFERROR(MATCH(B515,Guests!$A$6:$A$505,0)+5,"")))</f>
        <v/>
      </c>
      <c r="S515" s="32">
        <f>IF(R515="","",TRIM(INDEX(Guests!$E$1:$E$505,R515)&amp;""))</f>
        <v/>
      </c>
      <c r="T515" s="32">
        <f>IF(R515="","",IF(S515="",1,COUNTIF(Guests!$E$6:$E$505,S515)))</f>
        <v/>
      </c>
      <c r="U515" s="32">
        <f>IF(R515="","",IF(S515="",1,IF(COUNTIF(S$1:S514,S515)=0,1,0)))</f>
        <v/>
      </c>
      <c r="V515" s="32">
        <f>IF(AND(R515&lt;&gt;"",G515="Attending",U515=1),MAX(0,H515+I515-T515),0)</f>
        <v/>
      </c>
      <c r="W515" s="32">
        <f>IF(AND(O515=1,R515=""),1,0)</f>
        <v/>
      </c>
      <c r="X515" s="32">
        <f>IF(B515="",0,H515+I515)</f>
        <v/>
      </c>
      <c r="Y515" s="32">
        <f>N(Y514)+O515</f>
        <v/>
      </c>
      <c r="Z515" s="32">
        <f>IF(O515=1,Y515,"")</f>
        <v/>
      </c>
      <c r="AA515" s="32">
        <f>IF(AND(W515=1,G515="Not sure yet"),1,0)</f>
        <v/>
      </c>
      <c r="AB515" s="32">
        <f>N(AB514)+AA515</f>
        <v/>
      </c>
      <c r="AC515" s="32">
        <f>IF(AA515=1,AB515,"")</f>
        <v/>
      </c>
      <c r="AD515" s="32">
        <f>IF(D515="","",IF(LEN(D515)=10,"+1"&amp;D515,IF(AND(LEN(D515)=11,LEFT(D515,1)="1"),"+"&amp;D515,IF(LEFT(C515,1)="+","+"&amp;D515,D515))))</f>
        <v/>
      </c>
      <c r="AE515" s="32">
        <f>IF(B515="","",PROPER(IFERROR(LEFT(B515,FIND(" ",B515)-1),B515)))</f>
        <v/>
      </c>
      <c r="AF515" s="32">
        <f>SUBSTITUTE(SUBSTITUTE(SUBSTITUTE(SUBSTITUTE(SUBSTITUTE(SUBSTITUTE(SUBSTITUTE(SUBSTITUTE(SUBSTITUTE(SUBSTITUTE(AE515,"%","%25"),"&amp;","%26"),"#","%23"),"+","%2B"),"=","%3D"),"?","%3F"),CHAR(34),"%22"),CHAR(10),"%0A"),CHAR(13),"")," ","+")</f>
        <v/>
      </c>
      <c r="AG515" s="32">
        <f>IF(OR(AD515="",AE515=""),"",'Start Here'!$B$20&amp;"#p="&amp;SUBSTITUTE(AD515,"+","%2B")&amp;"&amp;n="&amp;AF515&amp;"&amp;m="&amp;SUBSTITUTE('Start Here'!$B$24,"{name}",AF515))</f>
        <v/>
      </c>
      <c r="AH515" s="32">
        <f>N(AH514)+W515</f>
        <v/>
      </c>
      <c r="AI515" s="32">
        <f>IF(W515=1,AH515,"")</f>
        <v/>
      </c>
    </row>
    <row r="516">
      <c r="A516" s="32">
        <f>IF(INDEX('Form Responses'!$A:$A,ROW())="","",INDEX('Form Responses'!$A:$A,ROW()))</f>
        <v/>
      </c>
      <c r="B516" s="32">
        <f>TRIM(INDEX('Form Responses'!$B:$B,ROW())&amp;"")</f>
        <v/>
      </c>
      <c r="C516" s="32">
        <f>IF(B516="","",TRIM(INDEX('Form Responses'!$C:$C,ROW())&amp;""))</f>
        <v/>
      </c>
      <c r="D516" s="32">
        <f>SUBSTITUTE(SUBSTITUTE(SUBSTITUTE(SUBSTITUTE(SUBSTITUTE(SUBSTITUTE(SUBSTITUTE(SUBSTITUTE(C516," ",""),"-",""),"(",""),")",""),".",""),"+",""),"/",""),CHAR(160),"")</f>
        <v/>
      </c>
      <c r="E516" s="32">
        <f>IF(LEN(D516)&gt;=10,RIGHT(D516,10),D516)</f>
        <v/>
      </c>
      <c r="F516" s="32">
        <f>IF(B516="","",TRIM(INDEX('Form Responses'!$D:$D,ROW())&amp;""))</f>
        <v/>
      </c>
      <c r="G516" s="32">
        <f>IF(B516="","",IF(LEFT(TRIM(INDEX('Form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6" s="32">
        <f>IF(B516="","",MAX(0,IFERROR(INT(--(INDEX('Form Responses'!$F:$F,ROW())&amp;"")),1)))</f>
        <v/>
      </c>
      <c r="I516" s="32">
        <f>IF(B516="","",MAX(0,IFERROR(INT(--(INDEX('Form Responses'!$G:$G,ROW())&amp;"")),0)))</f>
        <v/>
      </c>
      <c r="J516" s="32">
        <f>IF(B516="","",TRIM(INDEX('Form Responses'!$H:$H,ROW())&amp;""))</f>
        <v/>
      </c>
      <c r="K516" s="32">
        <f>IF(B516="","",TRIM(INDEX('Form Responses'!$I:$I,ROW())&amp;""))</f>
        <v/>
      </c>
      <c r="L516" s="32">
        <f>IF(B516="","",TRIM(INDEX('Form Responses'!$J:$J,ROW())&amp;""))</f>
        <v/>
      </c>
      <c r="M516" s="32">
        <f>IF(B516="","",TRIM(INDEX('Form Responses'!$K:$K,ROW())&amp;""))</f>
        <v/>
      </c>
      <c r="N516" s="32">
        <f>IF(B516="","",IF(E516&lt;&gt;"","P"&amp;E516,"N"&amp;B516))</f>
        <v/>
      </c>
      <c r="O516" s="32">
        <f>IF(N516="",0,IF(COUNTIF(N517:N$602,N516)=0,1,0))</f>
        <v/>
      </c>
      <c r="P516" s="32">
        <f>IF(AND(O516=1,E516&lt;&gt;""),E516,"")</f>
        <v/>
      </c>
      <c r="Q516" s="32">
        <f>IF(O516=1,B516,"")</f>
        <v/>
      </c>
      <c r="R516" s="32">
        <f>IF(O516&lt;&gt;1,"",IF(E516&lt;&gt;"",IFERROR(MATCH(E516,Guests!$S$6:$S$505,0)+5,IFERROR(MATCH(B516,Guests!$A$6:$A$505,0)+5,"")),IFERROR(MATCH(B516,Guests!$A$6:$A$505,0)+5,"")))</f>
        <v/>
      </c>
      <c r="S516" s="32">
        <f>IF(R516="","",TRIM(INDEX(Guests!$E$1:$E$505,R516)&amp;""))</f>
        <v/>
      </c>
      <c r="T516" s="32">
        <f>IF(R516="","",IF(S516="",1,COUNTIF(Guests!$E$6:$E$505,S516)))</f>
        <v/>
      </c>
      <c r="U516" s="32">
        <f>IF(R516="","",IF(S516="",1,IF(COUNTIF(S$1:S515,S516)=0,1,0)))</f>
        <v/>
      </c>
      <c r="V516" s="32">
        <f>IF(AND(R516&lt;&gt;"",G516="Attending",U516=1),MAX(0,H516+I516-T516),0)</f>
        <v/>
      </c>
      <c r="W516" s="32">
        <f>IF(AND(O516=1,R516=""),1,0)</f>
        <v/>
      </c>
      <c r="X516" s="32">
        <f>IF(B516="",0,H516+I516)</f>
        <v/>
      </c>
      <c r="Y516" s="32">
        <f>N(Y515)+O516</f>
        <v/>
      </c>
      <c r="Z516" s="32">
        <f>IF(O516=1,Y516,"")</f>
        <v/>
      </c>
      <c r="AA516" s="32">
        <f>IF(AND(W516=1,G516="Not sure yet"),1,0)</f>
        <v/>
      </c>
      <c r="AB516" s="32">
        <f>N(AB515)+AA516</f>
        <v/>
      </c>
      <c r="AC516" s="32">
        <f>IF(AA516=1,AB516,"")</f>
        <v/>
      </c>
      <c r="AD516" s="32">
        <f>IF(D516="","",IF(LEN(D516)=10,"+1"&amp;D516,IF(AND(LEN(D516)=11,LEFT(D516,1)="1"),"+"&amp;D516,IF(LEFT(C516,1)="+","+"&amp;D516,D516))))</f>
        <v/>
      </c>
      <c r="AE516" s="32">
        <f>IF(B516="","",PROPER(IFERROR(LEFT(B516,FIND(" ",B516)-1),B516)))</f>
        <v/>
      </c>
      <c r="AF516" s="32">
        <f>SUBSTITUTE(SUBSTITUTE(SUBSTITUTE(SUBSTITUTE(SUBSTITUTE(SUBSTITUTE(SUBSTITUTE(SUBSTITUTE(SUBSTITUTE(SUBSTITUTE(AE516,"%","%25"),"&amp;","%26"),"#","%23"),"+","%2B"),"=","%3D"),"?","%3F"),CHAR(34),"%22"),CHAR(10),"%0A"),CHAR(13),"")," ","+")</f>
        <v/>
      </c>
      <c r="AG516" s="32">
        <f>IF(OR(AD516="",AE516=""),"",'Start Here'!$B$20&amp;"#p="&amp;SUBSTITUTE(AD516,"+","%2B")&amp;"&amp;n="&amp;AF516&amp;"&amp;m="&amp;SUBSTITUTE('Start Here'!$B$24,"{name}",AF516))</f>
        <v/>
      </c>
      <c r="AH516" s="32">
        <f>N(AH515)+W516</f>
        <v/>
      </c>
      <c r="AI516" s="32">
        <f>IF(W516=1,AH516,"")</f>
        <v/>
      </c>
    </row>
    <row r="517">
      <c r="A517" s="32">
        <f>IF(INDEX('Form Responses'!$A:$A,ROW())="","",INDEX('Form Responses'!$A:$A,ROW()))</f>
        <v/>
      </c>
      <c r="B517" s="32">
        <f>TRIM(INDEX('Form Responses'!$B:$B,ROW())&amp;"")</f>
        <v/>
      </c>
      <c r="C517" s="32">
        <f>IF(B517="","",TRIM(INDEX('Form Responses'!$C:$C,ROW())&amp;""))</f>
        <v/>
      </c>
      <c r="D517" s="32">
        <f>SUBSTITUTE(SUBSTITUTE(SUBSTITUTE(SUBSTITUTE(SUBSTITUTE(SUBSTITUTE(SUBSTITUTE(SUBSTITUTE(C517," ",""),"-",""),"(",""),")",""),".",""),"+",""),"/",""),CHAR(160),"")</f>
        <v/>
      </c>
      <c r="E517" s="32">
        <f>IF(LEN(D517)&gt;=10,RIGHT(D517,10),D517)</f>
        <v/>
      </c>
      <c r="F517" s="32">
        <f>IF(B517="","",TRIM(INDEX('Form Responses'!$D:$D,ROW())&amp;""))</f>
        <v/>
      </c>
      <c r="G517" s="32">
        <f>IF(B517="","",IF(LEFT(TRIM(INDEX('Form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7" s="32">
        <f>IF(B517="","",MAX(0,IFERROR(INT(--(INDEX('Form Responses'!$F:$F,ROW())&amp;"")),1)))</f>
        <v/>
      </c>
      <c r="I517" s="32">
        <f>IF(B517="","",MAX(0,IFERROR(INT(--(INDEX('Form Responses'!$G:$G,ROW())&amp;"")),0)))</f>
        <v/>
      </c>
      <c r="J517" s="32">
        <f>IF(B517="","",TRIM(INDEX('Form Responses'!$H:$H,ROW())&amp;""))</f>
        <v/>
      </c>
      <c r="K517" s="32">
        <f>IF(B517="","",TRIM(INDEX('Form Responses'!$I:$I,ROW())&amp;""))</f>
        <v/>
      </c>
      <c r="L517" s="32">
        <f>IF(B517="","",TRIM(INDEX('Form Responses'!$J:$J,ROW())&amp;""))</f>
        <v/>
      </c>
      <c r="M517" s="32">
        <f>IF(B517="","",TRIM(INDEX('Form Responses'!$K:$K,ROW())&amp;""))</f>
        <v/>
      </c>
      <c r="N517" s="32">
        <f>IF(B517="","",IF(E517&lt;&gt;"","P"&amp;E517,"N"&amp;B517))</f>
        <v/>
      </c>
      <c r="O517" s="32">
        <f>IF(N517="",0,IF(COUNTIF(N518:N$602,N517)=0,1,0))</f>
        <v/>
      </c>
      <c r="P517" s="32">
        <f>IF(AND(O517=1,E517&lt;&gt;""),E517,"")</f>
        <v/>
      </c>
      <c r="Q517" s="32">
        <f>IF(O517=1,B517,"")</f>
        <v/>
      </c>
      <c r="R517" s="32">
        <f>IF(O517&lt;&gt;1,"",IF(E517&lt;&gt;"",IFERROR(MATCH(E517,Guests!$S$6:$S$505,0)+5,IFERROR(MATCH(B517,Guests!$A$6:$A$505,0)+5,"")),IFERROR(MATCH(B517,Guests!$A$6:$A$505,0)+5,"")))</f>
        <v/>
      </c>
      <c r="S517" s="32">
        <f>IF(R517="","",TRIM(INDEX(Guests!$E$1:$E$505,R517)&amp;""))</f>
        <v/>
      </c>
      <c r="T517" s="32">
        <f>IF(R517="","",IF(S517="",1,COUNTIF(Guests!$E$6:$E$505,S517)))</f>
        <v/>
      </c>
      <c r="U517" s="32">
        <f>IF(R517="","",IF(S517="",1,IF(COUNTIF(S$1:S516,S517)=0,1,0)))</f>
        <v/>
      </c>
      <c r="V517" s="32">
        <f>IF(AND(R517&lt;&gt;"",G517="Attending",U517=1),MAX(0,H517+I517-T517),0)</f>
        <v/>
      </c>
      <c r="W517" s="32">
        <f>IF(AND(O517=1,R517=""),1,0)</f>
        <v/>
      </c>
      <c r="X517" s="32">
        <f>IF(B517="",0,H517+I517)</f>
        <v/>
      </c>
      <c r="Y517" s="32">
        <f>N(Y516)+O517</f>
        <v/>
      </c>
      <c r="Z517" s="32">
        <f>IF(O517=1,Y517,"")</f>
        <v/>
      </c>
      <c r="AA517" s="32">
        <f>IF(AND(W517=1,G517="Not sure yet"),1,0)</f>
        <v/>
      </c>
      <c r="AB517" s="32">
        <f>N(AB516)+AA517</f>
        <v/>
      </c>
      <c r="AC517" s="32">
        <f>IF(AA517=1,AB517,"")</f>
        <v/>
      </c>
      <c r="AD517" s="32">
        <f>IF(D517="","",IF(LEN(D517)=10,"+1"&amp;D517,IF(AND(LEN(D517)=11,LEFT(D517,1)="1"),"+"&amp;D517,IF(LEFT(C517,1)="+","+"&amp;D517,D517))))</f>
        <v/>
      </c>
      <c r="AE517" s="32">
        <f>IF(B517="","",PROPER(IFERROR(LEFT(B517,FIND(" ",B517)-1),B517)))</f>
        <v/>
      </c>
      <c r="AF517" s="32">
        <f>SUBSTITUTE(SUBSTITUTE(SUBSTITUTE(SUBSTITUTE(SUBSTITUTE(SUBSTITUTE(SUBSTITUTE(SUBSTITUTE(SUBSTITUTE(SUBSTITUTE(AE517,"%","%25"),"&amp;","%26"),"#","%23"),"+","%2B"),"=","%3D"),"?","%3F"),CHAR(34),"%22"),CHAR(10),"%0A"),CHAR(13),"")," ","+")</f>
        <v/>
      </c>
      <c r="AG517" s="32">
        <f>IF(OR(AD517="",AE517=""),"",'Start Here'!$B$20&amp;"#p="&amp;SUBSTITUTE(AD517,"+","%2B")&amp;"&amp;n="&amp;AF517&amp;"&amp;m="&amp;SUBSTITUTE('Start Here'!$B$24,"{name}",AF517))</f>
        <v/>
      </c>
      <c r="AH517" s="32">
        <f>N(AH516)+W517</f>
        <v/>
      </c>
      <c r="AI517" s="32">
        <f>IF(W517=1,AH517,"")</f>
        <v/>
      </c>
    </row>
    <row r="518">
      <c r="A518" s="32">
        <f>IF(INDEX('Form Responses'!$A:$A,ROW())="","",INDEX('Form Responses'!$A:$A,ROW()))</f>
        <v/>
      </c>
      <c r="B518" s="32">
        <f>TRIM(INDEX('Form Responses'!$B:$B,ROW())&amp;"")</f>
        <v/>
      </c>
      <c r="C518" s="32">
        <f>IF(B518="","",TRIM(INDEX('Form Responses'!$C:$C,ROW())&amp;""))</f>
        <v/>
      </c>
      <c r="D518" s="32">
        <f>SUBSTITUTE(SUBSTITUTE(SUBSTITUTE(SUBSTITUTE(SUBSTITUTE(SUBSTITUTE(SUBSTITUTE(SUBSTITUTE(C518," ",""),"-",""),"(",""),")",""),".",""),"+",""),"/",""),CHAR(160),"")</f>
        <v/>
      </c>
      <c r="E518" s="32">
        <f>IF(LEN(D518)&gt;=10,RIGHT(D518,10),D518)</f>
        <v/>
      </c>
      <c r="F518" s="32">
        <f>IF(B518="","",TRIM(INDEX('Form Responses'!$D:$D,ROW())&amp;""))</f>
        <v/>
      </c>
      <c r="G518" s="32">
        <f>IF(B518="","",IF(LEFT(TRIM(INDEX('Form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8" s="32">
        <f>IF(B518="","",MAX(0,IFERROR(INT(--(INDEX('Form Responses'!$F:$F,ROW())&amp;"")),1)))</f>
        <v/>
      </c>
      <c r="I518" s="32">
        <f>IF(B518="","",MAX(0,IFERROR(INT(--(INDEX('Form Responses'!$G:$G,ROW())&amp;"")),0)))</f>
        <v/>
      </c>
      <c r="J518" s="32">
        <f>IF(B518="","",TRIM(INDEX('Form Responses'!$H:$H,ROW())&amp;""))</f>
        <v/>
      </c>
      <c r="K518" s="32">
        <f>IF(B518="","",TRIM(INDEX('Form Responses'!$I:$I,ROW())&amp;""))</f>
        <v/>
      </c>
      <c r="L518" s="32">
        <f>IF(B518="","",TRIM(INDEX('Form Responses'!$J:$J,ROW())&amp;""))</f>
        <v/>
      </c>
      <c r="M518" s="32">
        <f>IF(B518="","",TRIM(INDEX('Form Responses'!$K:$K,ROW())&amp;""))</f>
        <v/>
      </c>
      <c r="N518" s="32">
        <f>IF(B518="","",IF(E518&lt;&gt;"","P"&amp;E518,"N"&amp;B518))</f>
        <v/>
      </c>
      <c r="O518" s="32">
        <f>IF(N518="",0,IF(COUNTIF(N519:N$602,N518)=0,1,0))</f>
        <v/>
      </c>
      <c r="P518" s="32">
        <f>IF(AND(O518=1,E518&lt;&gt;""),E518,"")</f>
        <v/>
      </c>
      <c r="Q518" s="32">
        <f>IF(O518=1,B518,"")</f>
        <v/>
      </c>
      <c r="R518" s="32">
        <f>IF(O518&lt;&gt;1,"",IF(E518&lt;&gt;"",IFERROR(MATCH(E518,Guests!$S$6:$S$505,0)+5,IFERROR(MATCH(B518,Guests!$A$6:$A$505,0)+5,"")),IFERROR(MATCH(B518,Guests!$A$6:$A$505,0)+5,"")))</f>
        <v/>
      </c>
      <c r="S518" s="32">
        <f>IF(R518="","",TRIM(INDEX(Guests!$E$1:$E$505,R518)&amp;""))</f>
        <v/>
      </c>
      <c r="T518" s="32">
        <f>IF(R518="","",IF(S518="",1,COUNTIF(Guests!$E$6:$E$505,S518)))</f>
        <v/>
      </c>
      <c r="U518" s="32">
        <f>IF(R518="","",IF(S518="",1,IF(COUNTIF(S$1:S517,S518)=0,1,0)))</f>
        <v/>
      </c>
      <c r="V518" s="32">
        <f>IF(AND(R518&lt;&gt;"",G518="Attending",U518=1),MAX(0,H518+I518-T518),0)</f>
        <v/>
      </c>
      <c r="W518" s="32">
        <f>IF(AND(O518=1,R518=""),1,0)</f>
        <v/>
      </c>
      <c r="X518" s="32">
        <f>IF(B518="",0,H518+I518)</f>
        <v/>
      </c>
      <c r="Y518" s="32">
        <f>N(Y517)+O518</f>
        <v/>
      </c>
      <c r="Z518" s="32">
        <f>IF(O518=1,Y518,"")</f>
        <v/>
      </c>
      <c r="AA518" s="32">
        <f>IF(AND(W518=1,G518="Not sure yet"),1,0)</f>
        <v/>
      </c>
      <c r="AB518" s="32">
        <f>N(AB517)+AA518</f>
        <v/>
      </c>
      <c r="AC518" s="32">
        <f>IF(AA518=1,AB518,"")</f>
        <v/>
      </c>
      <c r="AD518" s="32">
        <f>IF(D518="","",IF(LEN(D518)=10,"+1"&amp;D518,IF(AND(LEN(D518)=11,LEFT(D518,1)="1"),"+"&amp;D518,IF(LEFT(C518,1)="+","+"&amp;D518,D518))))</f>
        <v/>
      </c>
      <c r="AE518" s="32">
        <f>IF(B518="","",PROPER(IFERROR(LEFT(B518,FIND(" ",B518)-1),B518)))</f>
        <v/>
      </c>
      <c r="AF518" s="32">
        <f>SUBSTITUTE(SUBSTITUTE(SUBSTITUTE(SUBSTITUTE(SUBSTITUTE(SUBSTITUTE(SUBSTITUTE(SUBSTITUTE(SUBSTITUTE(SUBSTITUTE(AE518,"%","%25"),"&amp;","%26"),"#","%23"),"+","%2B"),"=","%3D"),"?","%3F"),CHAR(34),"%22"),CHAR(10),"%0A"),CHAR(13),"")," ","+")</f>
        <v/>
      </c>
      <c r="AG518" s="32">
        <f>IF(OR(AD518="",AE518=""),"",'Start Here'!$B$20&amp;"#p="&amp;SUBSTITUTE(AD518,"+","%2B")&amp;"&amp;n="&amp;AF518&amp;"&amp;m="&amp;SUBSTITUTE('Start Here'!$B$24,"{name}",AF518))</f>
        <v/>
      </c>
      <c r="AH518" s="32">
        <f>N(AH517)+W518</f>
        <v/>
      </c>
      <c r="AI518" s="32">
        <f>IF(W518=1,AH518,"")</f>
        <v/>
      </c>
    </row>
    <row r="519">
      <c r="A519" s="32">
        <f>IF(INDEX('Form Responses'!$A:$A,ROW())="","",INDEX('Form Responses'!$A:$A,ROW()))</f>
        <v/>
      </c>
      <c r="B519" s="32">
        <f>TRIM(INDEX('Form Responses'!$B:$B,ROW())&amp;"")</f>
        <v/>
      </c>
      <c r="C519" s="32">
        <f>IF(B519="","",TRIM(INDEX('Form Responses'!$C:$C,ROW())&amp;""))</f>
        <v/>
      </c>
      <c r="D519" s="32">
        <f>SUBSTITUTE(SUBSTITUTE(SUBSTITUTE(SUBSTITUTE(SUBSTITUTE(SUBSTITUTE(SUBSTITUTE(SUBSTITUTE(C519," ",""),"-",""),"(",""),")",""),".",""),"+",""),"/",""),CHAR(160),"")</f>
        <v/>
      </c>
      <c r="E519" s="32">
        <f>IF(LEN(D519)&gt;=10,RIGHT(D519,10),D519)</f>
        <v/>
      </c>
      <c r="F519" s="32">
        <f>IF(B519="","",TRIM(INDEX('Form Responses'!$D:$D,ROW())&amp;""))</f>
        <v/>
      </c>
      <c r="G519" s="32">
        <f>IF(B519="","",IF(LEFT(TRIM(INDEX('Form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19" s="32">
        <f>IF(B519="","",MAX(0,IFERROR(INT(--(INDEX('Form Responses'!$F:$F,ROW())&amp;"")),1)))</f>
        <v/>
      </c>
      <c r="I519" s="32">
        <f>IF(B519="","",MAX(0,IFERROR(INT(--(INDEX('Form Responses'!$G:$G,ROW())&amp;"")),0)))</f>
        <v/>
      </c>
      <c r="J519" s="32">
        <f>IF(B519="","",TRIM(INDEX('Form Responses'!$H:$H,ROW())&amp;""))</f>
        <v/>
      </c>
      <c r="K519" s="32">
        <f>IF(B519="","",TRIM(INDEX('Form Responses'!$I:$I,ROW())&amp;""))</f>
        <v/>
      </c>
      <c r="L519" s="32">
        <f>IF(B519="","",TRIM(INDEX('Form Responses'!$J:$J,ROW())&amp;""))</f>
        <v/>
      </c>
      <c r="M519" s="32">
        <f>IF(B519="","",TRIM(INDEX('Form Responses'!$K:$K,ROW())&amp;""))</f>
        <v/>
      </c>
      <c r="N519" s="32">
        <f>IF(B519="","",IF(E519&lt;&gt;"","P"&amp;E519,"N"&amp;B519))</f>
        <v/>
      </c>
      <c r="O519" s="32">
        <f>IF(N519="",0,IF(COUNTIF(N520:N$602,N519)=0,1,0))</f>
        <v/>
      </c>
      <c r="P519" s="32">
        <f>IF(AND(O519=1,E519&lt;&gt;""),E519,"")</f>
        <v/>
      </c>
      <c r="Q519" s="32">
        <f>IF(O519=1,B519,"")</f>
        <v/>
      </c>
      <c r="R519" s="32">
        <f>IF(O519&lt;&gt;1,"",IF(E519&lt;&gt;"",IFERROR(MATCH(E519,Guests!$S$6:$S$505,0)+5,IFERROR(MATCH(B519,Guests!$A$6:$A$505,0)+5,"")),IFERROR(MATCH(B519,Guests!$A$6:$A$505,0)+5,"")))</f>
        <v/>
      </c>
      <c r="S519" s="32">
        <f>IF(R519="","",TRIM(INDEX(Guests!$E$1:$E$505,R519)&amp;""))</f>
        <v/>
      </c>
      <c r="T519" s="32">
        <f>IF(R519="","",IF(S519="",1,COUNTIF(Guests!$E$6:$E$505,S519)))</f>
        <v/>
      </c>
      <c r="U519" s="32">
        <f>IF(R519="","",IF(S519="",1,IF(COUNTIF(S$1:S518,S519)=0,1,0)))</f>
        <v/>
      </c>
      <c r="V519" s="32">
        <f>IF(AND(R519&lt;&gt;"",G519="Attending",U519=1),MAX(0,H519+I519-T519),0)</f>
        <v/>
      </c>
      <c r="W519" s="32">
        <f>IF(AND(O519=1,R519=""),1,0)</f>
        <v/>
      </c>
      <c r="X519" s="32">
        <f>IF(B519="",0,H519+I519)</f>
        <v/>
      </c>
      <c r="Y519" s="32">
        <f>N(Y518)+O519</f>
        <v/>
      </c>
      <c r="Z519" s="32">
        <f>IF(O519=1,Y519,"")</f>
        <v/>
      </c>
      <c r="AA519" s="32">
        <f>IF(AND(W519=1,G519="Not sure yet"),1,0)</f>
        <v/>
      </c>
      <c r="AB519" s="32">
        <f>N(AB518)+AA519</f>
        <v/>
      </c>
      <c r="AC519" s="32">
        <f>IF(AA519=1,AB519,"")</f>
        <v/>
      </c>
      <c r="AD519" s="32">
        <f>IF(D519="","",IF(LEN(D519)=10,"+1"&amp;D519,IF(AND(LEN(D519)=11,LEFT(D519,1)="1"),"+"&amp;D519,IF(LEFT(C519,1)="+","+"&amp;D519,D519))))</f>
        <v/>
      </c>
      <c r="AE519" s="32">
        <f>IF(B519="","",PROPER(IFERROR(LEFT(B519,FIND(" ",B519)-1),B519)))</f>
        <v/>
      </c>
      <c r="AF519" s="32">
        <f>SUBSTITUTE(SUBSTITUTE(SUBSTITUTE(SUBSTITUTE(SUBSTITUTE(SUBSTITUTE(SUBSTITUTE(SUBSTITUTE(SUBSTITUTE(SUBSTITUTE(AE519,"%","%25"),"&amp;","%26"),"#","%23"),"+","%2B"),"=","%3D"),"?","%3F"),CHAR(34),"%22"),CHAR(10),"%0A"),CHAR(13),"")," ","+")</f>
        <v/>
      </c>
      <c r="AG519" s="32">
        <f>IF(OR(AD519="",AE519=""),"",'Start Here'!$B$20&amp;"#p="&amp;SUBSTITUTE(AD519,"+","%2B")&amp;"&amp;n="&amp;AF519&amp;"&amp;m="&amp;SUBSTITUTE('Start Here'!$B$24,"{name}",AF519))</f>
        <v/>
      </c>
      <c r="AH519" s="32">
        <f>N(AH518)+W519</f>
        <v/>
      </c>
      <c r="AI519" s="32">
        <f>IF(W519=1,AH519,"")</f>
        <v/>
      </c>
    </row>
    <row r="520">
      <c r="A520" s="32">
        <f>IF(INDEX('Form Responses'!$A:$A,ROW())="","",INDEX('Form Responses'!$A:$A,ROW()))</f>
        <v/>
      </c>
      <c r="B520" s="32">
        <f>TRIM(INDEX('Form Responses'!$B:$B,ROW())&amp;"")</f>
        <v/>
      </c>
      <c r="C520" s="32">
        <f>IF(B520="","",TRIM(INDEX('Form Responses'!$C:$C,ROW())&amp;""))</f>
        <v/>
      </c>
      <c r="D520" s="32">
        <f>SUBSTITUTE(SUBSTITUTE(SUBSTITUTE(SUBSTITUTE(SUBSTITUTE(SUBSTITUTE(SUBSTITUTE(SUBSTITUTE(C520," ",""),"-",""),"(",""),")",""),".",""),"+",""),"/",""),CHAR(160),"")</f>
        <v/>
      </c>
      <c r="E520" s="32">
        <f>IF(LEN(D520)&gt;=10,RIGHT(D520,10),D520)</f>
        <v/>
      </c>
      <c r="F520" s="32">
        <f>IF(B520="","",TRIM(INDEX('Form Responses'!$D:$D,ROW())&amp;""))</f>
        <v/>
      </c>
      <c r="G520" s="32">
        <f>IF(B520="","",IF(LEFT(TRIM(INDEX('Form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0" s="32">
        <f>IF(B520="","",MAX(0,IFERROR(INT(--(INDEX('Form Responses'!$F:$F,ROW())&amp;"")),1)))</f>
        <v/>
      </c>
      <c r="I520" s="32">
        <f>IF(B520="","",MAX(0,IFERROR(INT(--(INDEX('Form Responses'!$G:$G,ROW())&amp;"")),0)))</f>
        <v/>
      </c>
      <c r="J520" s="32">
        <f>IF(B520="","",TRIM(INDEX('Form Responses'!$H:$H,ROW())&amp;""))</f>
        <v/>
      </c>
      <c r="K520" s="32">
        <f>IF(B520="","",TRIM(INDEX('Form Responses'!$I:$I,ROW())&amp;""))</f>
        <v/>
      </c>
      <c r="L520" s="32">
        <f>IF(B520="","",TRIM(INDEX('Form Responses'!$J:$J,ROW())&amp;""))</f>
        <v/>
      </c>
      <c r="M520" s="32">
        <f>IF(B520="","",TRIM(INDEX('Form Responses'!$K:$K,ROW())&amp;""))</f>
        <v/>
      </c>
      <c r="N520" s="32">
        <f>IF(B520="","",IF(E520&lt;&gt;"","P"&amp;E520,"N"&amp;B520))</f>
        <v/>
      </c>
      <c r="O520" s="32">
        <f>IF(N520="",0,IF(COUNTIF(N521:N$602,N520)=0,1,0))</f>
        <v/>
      </c>
      <c r="P520" s="32">
        <f>IF(AND(O520=1,E520&lt;&gt;""),E520,"")</f>
        <v/>
      </c>
      <c r="Q520" s="32">
        <f>IF(O520=1,B520,"")</f>
        <v/>
      </c>
      <c r="R520" s="32">
        <f>IF(O520&lt;&gt;1,"",IF(E520&lt;&gt;"",IFERROR(MATCH(E520,Guests!$S$6:$S$505,0)+5,IFERROR(MATCH(B520,Guests!$A$6:$A$505,0)+5,"")),IFERROR(MATCH(B520,Guests!$A$6:$A$505,0)+5,"")))</f>
        <v/>
      </c>
      <c r="S520" s="32">
        <f>IF(R520="","",TRIM(INDEX(Guests!$E$1:$E$505,R520)&amp;""))</f>
        <v/>
      </c>
      <c r="T520" s="32">
        <f>IF(R520="","",IF(S520="",1,COUNTIF(Guests!$E$6:$E$505,S520)))</f>
        <v/>
      </c>
      <c r="U520" s="32">
        <f>IF(R520="","",IF(S520="",1,IF(COUNTIF(S$1:S519,S520)=0,1,0)))</f>
        <v/>
      </c>
      <c r="V520" s="32">
        <f>IF(AND(R520&lt;&gt;"",G520="Attending",U520=1),MAX(0,H520+I520-T520),0)</f>
        <v/>
      </c>
      <c r="W520" s="32">
        <f>IF(AND(O520=1,R520=""),1,0)</f>
        <v/>
      </c>
      <c r="X520" s="32">
        <f>IF(B520="",0,H520+I520)</f>
        <v/>
      </c>
      <c r="Y520" s="32">
        <f>N(Y519)+O520</f>
        <v/>
      </c>
      <c r="Z520" s="32">
        <f>IF(O520=1,Y520,"")</f>
        <v/>
      </c>
      <c r="AA520" s="32">
        <f>IF(AND(W520=1,G520="Not sure yet"),1,0)</f>
        <v/>
      </c>
      <c r="AB520" s="32">
        <f>N(AB519)+AA520</f>
        <v/>
      </c>
      <c r="AC520" s="32">
        <f>IF(AA520=1,AB520,"")</f>
        <v/>
      </c>
      <c r="AD520" s="32">
        <f>IF(D520="","",IF(LEN(D520)=10,"+1"&amp;D520,IF(AND(LEN(D520)=11,LEFT(D520,1)="1"),"+"&amp;D520,IF(LEFT(C520,1)="+","+"&amp;D520,D520))))</f>
        <v/>
      </c>
      <c r="AE520" s="32">
        <f>IF(B520="","",PROPER(IFERROR(LEFT(B520,FIND(" ",B520)-1),B520)))</f>
        <v/>
      </c>
      <c r="AF520" s="32">
        <f>SUBSTITUTE(SUBSTITUTE(SUBSTITUTE(SUBSTITUTE(SUBSTITUTE(SUBSTITUTE(SUBSTITUTE(SUBSTITUTE(SUBSTITUTE(SUBSTITUTE(AE520,"%","%25"),"&amp;","%26"),"#","%23"),"+","%2B"),"=","%3D"),"?","%3F"),CHAR(34),"%22"),CHAR(10),"%0A"),CHAR(13),"")," ","+")</f>
        <v/>
      </c>
      <c r="AG520" s="32">
        <f>IF(OR(AD520="",AE520=""),"",'Start Here'!$B$20&amp;"#p="&amp;SUBSTITUTE(AD520,"+","%2B")&amp;"&amp;n="&amp;AF520&amp;"&amp;m="&amp;SUBSTITUTE('Start Here'!$B$24,"{name}",AF520))</f>
        <v/>
      </c>
      <c r="AH520" s="32">
        <f>N(AH519)+W520</f>
        <v/>
      </c>
      <c r="AI520" s="32">
        <f>IF(W520=1,AH520,"")</f>
        <v/>
      </c>
    </row>
    <row r="521">
      <c r="A521" s="32">
        <f>IF(INDEX('Form Responses'!$A:$A,ROW())="","",INDEX('Form Responses'!$A:$A,ROW()))</f>
        <v/>
      </c>
      <c r="B521" s="32">
        <f>TRIM(INDEX('Form Responses'!$B:$B,ROW())&amp;"")</f>
        <v/>
      </c>
      <c r="C521" s="32">
        <f>IF(B521="","",TRIM(INDEX('Form Responses'!$C:$C,ROW())&amp;""))</f>
        <v/>
      </c>
      <c r="D521" s="32">
        <f>SUBSTITUTE(SUBSTITUTE(SUBSTITUTE(SUBSTITUTE(SUBSTITUTE(SUBSTITUTE(SUBSTITUTE(SUBSTITUTE(C521," ",""),"-",""),"(",""),")",""),".",""),"+",""),"/",""),CHAR(160),"")</f>
        <v/>
      </c>
      <c r="E521" s="32">
        <f>IF(LEN(D521)&gt;=10,RIGHT(D521,10),D521)</f>
        <v/>
      </c>
      <c r="F521" s="32">
        <f>IF(B521="","",TRIM(INDEX('Form Responses'!$D:$D,ROW())&amp;""))</f>
        <v/>
      </c>
      <c r="G521" s="32">
        <f>IF(B521="","",IF(LEFT(TRIM(INDEX('Form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1" s="32">
        <f>IF(B521="","",MAX(0,IFERROR(INT(--(INDEX('Form Responses'!$F:$F,ROW())&amp;"")),1)))</f>
        <v/>
      </c>
      <c r="I521" s="32">
        <f>IF(B521="","",MAX(0,IFERROR(INT(--(INDEX('Form Responses'!$G:$G,ROW())&amp;"")),0)))</f>
        <v/>
      </c>
      <c r="J521" s="32">
        <f>IF(B521="","",TRIM(INDEX('Form Responses'!$H:$H,ROW())&amp;""))</f>
        <v/>
      </c>
      <c r="K521" s="32">
        <f>IF(B521="","",TRIM(INDEX('Form Responses'!$I:$I,ROW())&amp;""))</f>
        <v/>
      </c>
      <c r="L521" s="32">
        <f>IF(B521="","",TRIM(INDEX('Form Responses'!$J:$J,ROW())&amp;""))</f>
        <v/>
      </c>
      <c r="M521" s="32">
        <f>IF(B521="","",TRIM(INDEX('Form Responses'!$K:$K,ROW())&amp;""))</f>
        <v/>
      </c>
      <c r="N521" s="32">
        <f>IF(B521="","",IF(E521&lt;&gt;"","P"&amp;E521,"N"&amp;B521))</f>
        <v/>
      </c>
      <c r="O521" s="32">
        <f>IF(N521="",0,IF(COUNTIF(N522:N$602,N521)=0,1,0))</f>
        <v/>
      </c>
      <c r="P521" s="32">
        <f>IF(AND(O521=1,E521&lt;&gt;""),E521,"")</f>
        <v/>
      </c>
      <c r="Q521" s="32">
        <f>IF(O521=1,B521,"")</f>
        <v/>
      </c>
      <c r="R521" s="32">
        <f>IF(O521&lt;&gt;1,"",IF(E521&lt;&gt;"",IFERROR(MATCH(E521,Guests!$S$6:$S$505,0)+5,IFERROR(MATCH(B521,Guests!$A$6:$A$505,0)+5,"")),IFERROR(MATCH(B521,Guests!$A$6:$A$505,0)+5,"")))</f>
        <v/>
      </c>
      <c r="S521" s="32">
        <f>IF(R521="","",TRIM(INDEX(Guests!$E$1:$E$505,R521)&amp;""))</f>
        <v/>
      </c>
      <c r="T521" s="32">
        <f>IF(R521="","",IF(S521="",1,COUNTIF(Guests!$E$6:$E$505,S521)))</f>
        <v/>
      </c>
      <c r="U521" s="32">
        <f>IF(R521="","",IF(S521="",1,IF(COUNTIF(S$1:S520,S521)=0,1,0)))</f>
        <v/>
      </c>
      <c r="V521" s="32">
        <f>IF(AND(R521&lt;&gt;"",G521="Attending",U521=1),MAX(0,H521+I521-T521),0)</f>
        <v/>
      </c>
      <c r="W521" s="32">
        <f>IF(AND(O521=1,R521=""),1,0)</f>
        <v/>
      </c>
      <c r="X521" s="32">
        <f>IF(B521="",0,H521+I521)</f>
        <v/>
      </c>
      <c r="Y521" s="32">
        <f>N(Y520)+O521</f>
        <v/>
      </c>
      <c r="Z521" s="32">
        <f>IF(O521=1,Y521,"")</f>
        <v/>
      </c>
      <c r="AA521" s="32">
        <f>IF(AND(W521=1,G521="Not sure yet"),1,0)</f>
        <v/>
      </c>
      <c r="AB521" s="32">
        <f>N(AB520)+AA521</f>
        <v/>
      </c>
      <c r="AC521" s="32">
        <f>IF(AA521=1,AB521,"")</f>
        <v/>
      </c>
      <c r="AD521" s="32">
        <f>IF(D521="","",IF(LEN(D521)=10,"+1"&amp;D521,IF(AND(LEN(D521)=11,LEFT(D521,1)="1"),"+"&amp;D521,IF(LEFT(C521,1)="+","+"&amp;D521,D521))))</f>
        <v/>
      </c>
      <c r="AE521" s="32">
        <f>IF(B521="","",PROPER(IFERROR(LEFT(B521,FIND(" ",B521)-1),B521)))</f>
        <v/>
      </c>
      <c r="AF521" s="32">
        <f>SUBSTITUTE(SUBSTITUTE(SUBSTITUTE(SUBSTITUTE(SUBSTITUTE(SUBSTITUTE(SUBSTITUTE(SUBSTITUTE(SUBSTITUTE(SUBSTITUTE(AE521,"%","%25"),"&amp;","%26"),"#","%23"),"+","%2B"),"=","%3D"),"?","%3F"),CHAR(34),"%22"),CHAR(10),"%0A"),CHAR(13),"")," ","+")</f>
        <v/>
      </c>
      <c r="AG521" s="32">
        <f>IF(OR(AD521="",AE521=""),"",'Start Here'!$B$20&amp;"#p="&amp;SUBSTITUTE(AD521,"+","%2B")&amp;"&amp;n="&amp;AF521&amp;"&amp;m="&amp;SUBSTITUTE('Start Here'!$B$24,"{name}",AF521))</f>
        <v/>
      </c>
      <c r="AH521" s="32">
        <f>N(AH520)+W521</f>
        <v/>
      </c>
      <c r="AI521" s="32">
        <f>IF(W521=1,AH521,"")</f>
        <v/>
      </c>
    </row>
    <row r="522">
      <c r="A522" s="32">
        <f>IF(INDEX('Form Responses'!$A:$A,ROW())="","",INDEX('Form Responses'!$A:$A,ROW()))</f>
        <v/>
      </c>
      <c r="B522" s="32">
        <f>TRIM(INDEX('Form Responses'!$B:$B,ROW())&amp;"")</f>
        <v/>
      </c>
      <c r="C522" s="32">
        <f>IF(B522="","",TRIM(INDEX('Form Responses'!$C:$C,ROW())&amp;""))</f>
        <v/>
      </c>
      <c r="D522" s="32">
        <f>SUBSTITUTE(SUBSTITUTE(SUBSTITUTE(SUBSTITUTE(SUBSTITUTE(SUBSTITUTE(SUBSTITUTE(SUBSTITUTE(C522," ",""),"-",""),"(",""),")",""),".",""),"+",""),"/",""),CHAR(160),"")</f>
        <v/>
      </c>
      <c r="E522" s="32">
        <f>IF(LEN(D522)&gt;=10,RIGHT(D522,10),D522)</f>
        <v/>
      </c>
      <c r="F522" s="32">
        <f>IF(B522="","",TRIM(INDEX('Form Responses'!$D:$D,ROW())&amp;""))</f>
        <v/>
      </c>
      <c r="G522" s="32">
        <f>IF(B522="","",IF(LEFT(TRIM(INDEX('Form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2" s="32">
        <f>IF(B522="","",MAX(0,IFERROR(INT(--(INDEX('Form Responses'!$F:$F,ROW())&amp;"")),1)))</f>
        <v/>
      </c>
      <c r="I522" s="32">
        <f>IF(B522="","",MAX(0,IFERROR(INT(--(INDEX('Form Responses'!$G:$G,ROW())&amp;"")),0)))</f>
        <v/>
      </c>
      <c r="J522" s="32">
        <f>IF(B522="","",TRIM(INDEX('Form Responses'!$H:$H,ROW())&amp;""))</f>
        <v/>
      </c>
      <c r="K522" s="32">
        <f>IF(B522="","",TRIM(INDEX('Form Responses'!$I:$I,ROW())&amp;""))</f>
        <v/>
      </c>
      <c r="L522" s="32">
        <f>IF(B522="","",TRIM(INDEX('Form Responses'!$J:$J,ROW())&amp;""))</f>
        <v/>
      </c>
      <c r="M522" s="32">
        <f>IF(B522="","",TRIM(INDEX('Form Responses'!$K:$K,ROW())&amp;""))</f>
        <v/>
      </c>
      <c r="N522" s="32">
        <f>IF(B522="","",IF(E522&lt;&gt;"","P"&amp;E522,"N"&amp;B522))</f>
        <v/>
      </c>
      <c r="O522" s="32">
        <f>IF(N522="",0,IF(COUNTIF(N523:N$602,N522)=0,1,0))</f>
        <v/>
      </c>
      <c r="P522" s="32">
        <f>IF(AND(O522=1,E522&lt;&gt;""),E522,"")</f>
        <v/>
      </c>
      <c r="Q522" s="32">
        <f>IF(O522=1,B522,"")</f>
        <v/>
      </c>
      <c r="R522" s="32">
        <f>IF(O522&lt;&gt;1,"",IF(E522&lt;&gt;"",IFERROR(MATCH(E522,Guests!$S$6:$S$505,0)+5,IFERROR(MATCH(B522,Guests!$A$6:$A$505,0)+5,"")),IFERROR(MATCH(B522,Guests!$A$6:$A$505,0)+5,"")))</f>
        <v/>
      </c>
      <c r="S522" s="32">
        <f>IF(R522="","",TRIM(INDEX(Guests!$E$1:$E$505,R522)&amp;""))</f>
        <v/>
      </c>
      <c r="T522" s="32">
        <f>IF(R522="","",IF(S522="",1,COUNTIF(Guests!$E$6:$E$505,S522)))</f>
        <v/>
      </c>
      <c r="U522" s="32">
        <f>IF(R522="","",IF(S522="",1,IF(COUNTIF(S$1:S521,S522)=0,1,0)))</f>
        <v/>
      </c>
      <c r="V522" s="32">
        <f>IF(AND(R522&lt;&gt;"",G522="Attending",U522=1),MAX(0,H522+I522-T522),0)</f>
        <v/>
      </c>
      <c r="W522" s="32">
        <f>IF(AND(O522=1,R522=""),1,0)</f>
        <v/>
      </c>
      <c r="X522" s="32">
        <f>IF(B522="",0,H522+I522)</f>
        <v/>
      </c>
      <c r="Y522" s="32">
        <f>N(Y521)+O522</f>
        <v/>
      </c>
      <c r="Z522" s="32">
        <f>IF(O522=1,Y522,"")</f>
        <v/>
      </c>
      <c r="AA522" s="32">
        <f>IF(AND(W522=1,G522="Not sure yet"),1,0)</f>
        <v/>
      </c>
      <c r="AB522" s="32">
        <f>N(AB521)+AA522</f>
        <v/>
      </c>
      <c r="AC522" s="32">
        <f>IF(AA522=1,AB522,"")</f>
        <v/>
      </c>
      <c r="AD522" s="32">
        <f>IF(D522="","",IF(LEN(D522)=10,"+1"&amp;D522,IF(AND(LEN(D522)=11,LEFT(D522,1)="1"),"+"&amp;D522,IF(LEFT(C522,1)="+","+"&amp;D522,D522))))</f>
        <v/>
      </c>
      <c r="AE522" s="32">
        <f>IF(B522="","",PROPER(IFERROR(LEFT(B522,FIND(" ",B522)-1),B522)))</f>
        <v/>
      </c>
      <c r="AF522" s="32">
        <f>SUBSTITUTE(SUBSTITUTE(SUBSTITUTE(SUBSTITUTE(SUBSTITUTE(SUBSTITUTE(SUBSTITUTE(SUBSTITUTE(SUBSTITUTE(SUBSTITUTE(AE522,"%","%25"),"&amp;","%26"),"#","%23"),"+","%2B"),"=","%3D"),"?","%3F"),CHAR(34),"%22"),CHAR(10),"%0A"),CHAR(13),"")," ","+")</f>
        <v/>
      </c>
      <c r="AG522" s="32">
        <f>IF(OR(AD522="",AE522=""),"",'Start Here'!$B$20&amp;"#p="&amp;SUBSTITUTE(AD522,"+","%2B")&amp;"&amp;n="&amp;AF522&amp;"&amp;m="&amp;SUBSTITUTE('Start Here'!$B$24,"{name}",AF522))</f>
        <v/>
      </c>
      <c r="AH522" s="32">
        <f>N(AH521)+W522</f>
        <v/>
      </c>
      <c r="AI522" s="32">
        <f>IF(W522=1,AH522,"")</f>
        <v/>
      </c>
    </row>
    <row r="523">
      <c r="A523" s="32">
        <f>IF(INDEX('Form Responses'!$A:$A,ROW())="","",INDEX('Form Responses'!$A:$A,ROW()))</f>
        <v/>
      </c>
      <c r="B523" s="32">
        <f>TRIM(INDEX('Form Responses'!$B:$B,ROW())&amp;"")</f>
        <v/>
      </c>
      <c r="C523" s="32">
        <f>IF(B523="","",TRIM(INDEX('Form Responses'!$C:$C,ROW())&amp;""))</f>
        <v/>
      </c>
      <c r="D523" s="32">
        <f>SUBSTITUTE(SUBSTITUTE(SUBSTITUTE(SUBSTITUTE(SUBSTITUTE(SUBSTITUTE(SUBSTITUTE(SUBSTITUTE(C523," ",""),"-",""),"(",""),")",""),".",""),"+",""),"/",""),CHAR(160),"")</f>
        <v/>
      </c>
      <c r="E523" s="32">
        <f>IF(LEN(D523)&gt;=10,RIGHT(D523,10),D523)</f>
        <v/>
      </c>
      <c r="F523" s="32">
        <f>IF(B523="","",TRIM(INDEX('Form Responses'!$D:$D,ROW())&amp;""))</f>
        <v/>
      </c>
      <c r="G523" s="32">
        <f>IF(B523="","",IF(LEFT(TRIM(INDEX('Form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3" s="32">
        <f>IF(B523="","",MAX(0,IFERROR(INT(--(INDEX('Form Responses'!$F:$F,ROW())&amp;"")),1)))</f>
        <v/>
      </c>
      <c r="I523" s="32">
        <f>IF(B523="","",MAX(0,IFERROR(INT(--(INDEX('Form Responses'!$G:$G,ROW())&amp;"")),0)))</f>
        <v/>
      </c>
      <c r="J523" s="32">
        <f>IF(B523="","",TRIM(INDEX('Form Responses'!$H:$H,ROW())&amp;""))</f>
        <v/>
      </c>
      <c r="K523" s="32">
        <f>IF(B523="","",TRIM(INDEX('Form Responses'!$I:$I,ROW())&amp;""))</f>
        <v/>
      </c>
      <c r="L523" s="32">
        <f>IF(B523="","",TRIM(INDEX('Form Responses'!$J:$J,ROW())&amp;""))</f>
        <v/>
      </c>
      <c r="M523" s="32">
        <f>IF(B523="","",TRIM(INDEX('Form Responses'!$K:$K,ROW())&amp;""))</f>
        <v/>
      </c>
      <c r="N523" s="32">
        <f>IF(B523="","",IF(E523&lt;&gt;"","P"&amp;E523,"N"&amp;B523))</f>
        <v/>
      </c>
      <c r="O523" s="32">
        <f>IF(N523="",0,IF(COUNTIF(N524:N$602,N523)=0,1,0))</f>
        <v/>
      </c>
      <c r="P523" s="32">
        <f>IF(AND(O523=1,E523&lt;&gt;""),E523,"")</f>
        <v/>
      </c>
      <c r="Q523" s="32">
        <f>IF(O523=1,B523,"")</f>
        <v/>
      </c>
      <c r="R523" s="32">
        <f>IF(O523&lt;&gt;1,"",IF(E523&lt;&gt;"",IFERROR(MATCH(E523,Guests!$S$6:$S$505,0)+5,IFERROR(MATCH(B523,Guests!$A$6:$A$505,0)+5,"")),IFERROR(MATCH(B523,Guests!$A$6:$A$505,0)+5,"")))</f>
        <v/>
      </c>
      <c r="S523" s="32">
        <f>IF(R523="","",TRIM(INDEX(Guests!$E$1:$E$505,R523)&amp;""))</f>
        <v/>
      </c>
      <c r="T523" s="32">
        <f>IF(R523="","",IF(S523="",1,COUNTIF(Guests!$E$6:$E$505,S523)))</f>
        <v/>
      </c>
      <c r="U523" s="32">
        <f>IF(R523="","",IF(S523="",1,IF(COUNTIF(S$1:S522,S523)=0,1,0)))</f>
        <v/>
      </c>
      <c r="V523" s="32">
        <f>IF(AND(R523&lt;&gt;"",G523="Attending",U523=1),MAX(0,H523+I523-T523),0)</f>
        <v/>
      </c>
      <c r="W523" s="32">
        <f>IF(AND(O523=1,R523=""),1,0)</f>
        <v/>
      </c>
      <c r="X523" s="32">
        <f>IF(B523="",0,H523+I523)</f>
        <v/>
      </c>
      <c r="Y523" s="32">
        <f>N(Y522)+O523</f>
        <v/>
      </c>
      <c r="Z523" s="32">
        <f>IF(O523=1,Y523,"")</f>
        <v/>
      </c>
      <c r="AA523" s="32">
        <f>IF(AND(W523=1,G523="Not sure yet"),1,0)</f>
        <v/>
      </c>
      <c r="AB523" s="32">
        <f>N(AB522)+AA523</f>
        <v/>
      </c>
      <c r="AC523" s="32">
        <f>IF(AA523=1,AB523,"")</f>
        <v/>
      </c>
      <c r="AD523" s="32">
        <f>IF(D523="","",IF(LEN(D523)=10,"+1"&amp;D523,IF(AND(LEN(D523)=11,LEFT(D523,1)="1"),"+"&amp;D523,IF(LEFT(C523,1)="+","+"&amp;D523,D523))))</f>
        <v/>
      </c>
      <c r="AE523" s="32">
        <f>IF(B523="","",PROPER(IFERROR(LEFT(B523,FIND(" ",B523)-1),B523)))</f>
        <v/>
      </c>
      <c r="AF523" s="32">
        <f>SUBSTITUTE(SUBSTITUTE(SUBSTITUTE(SUBSTITUTE(SUBSTITUTE(SUBSTITUTE(SUBSTITUTE(SUBSTITUTE(SUBSTITUTE(SUBSTITUTE(AE523,"%","%25"),"&amp;","%26"),"#","%23"),"+","%2B"),"=","%3D"),"?","%3F"),CHAR(34),"%22"),CHAR(10),"%0A"),CHAR(13),"")," ","+")</f>
        <v/>
      </c>
      <c r="AG523" s="32">
        <f>IF(OR(AD523="",AE523=""),"",'Start Here'!$B$20&amp;"#p="&amp;SUBSTITUTE(AD523,"+","%2B")&amp;"&amp;n="&amp;AF523&amp;"&amp;m="&amp;SUBSTITUTE('Start Here'!$B$24,"{name}",AF523))</f>
        <v/>
      </c>
      <c r="AH523" s="32">
        <f>N(AH522)+W523</f>
        <v/>
      </c>
      <c r="AI523" s="32">
        <f>IF(W523=1,AH523,"")</f>
        <v/>
      </c>
    </row>
    <row r="524">
      <c r="A524" s="32">
        <f>IF(INDEX('Form Responses'!$A:$A,ROW())="","",INDEX('Form Responses'!$A:$A,ROW()))</f>
        <v/>
      </c>
      <c r="B524" s="32">
        <f>TRIM(INDEX('Form Responses'!$B:$B,ROW())&amp;"")</f>
        <v/>
      </c>
      <c r="C524" s="32">
        <f>IF(B524="","",TRIM(INDEX('Form Responses'!$C:$C,ROW())&amp;""))</f>
        <v/>
      </c>
      <c r="D524" s="32">
        <f>SUBSTITUTE(SUBSTITUTE(SUBSTITUTE(SUBSTITUTE(SUBSTITUTE(SUBSTITUTE(SUBSTITUTE(SUBSTITUTE(C524," ",""),"-",""),"(",""),")",""),".",""),"+",""),"/",""),CHAR(160),"")</f>
        <v/>
      </c>
      <c r="E524" s="32">
        <f>IF(LEN(D524)&gt;=10,RIGHT(D524,10),D524)</f>
        <v/>
      </c>
      <c r="F524" s="32">
        <f>IF(B524="","",TRIM(INDEX('Form Responses'!$D:$D,ROW())&amp;""))</f>
        <v/>
      </c>
      <c r="G524" s="32">
        <f>IF(B524="","",IF(LEFT(TRIM(INDEX('Form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4" s="32">
        <f>IF(B524="","",MAX(0,IFERROR(INT(--(INDEX('Form Responses'!$F:$F,ROW())&amp;"")),1)))</f>
        <v/>
      </c>
      <c r="I524" s="32">
        <f>IF(B524="","",MAX(0,IFERROR(INT(--(INDEX('Form Responses'!$G:$G,ROW())&amp;"")),0)))</f>
        <v/>
      </c>
      <c r="J524" s="32">
        <f>IF(B524="","",TRIM(INDEX('Form Responses'!$H:$H,ROW())&amp;""))</f>
        <v/>
      </c>
      <c r="K524" s="32">
        <f>IF(B524="","",TRIM(INDEX('Form Responses'!$I:$I,ROW())&amp;""))</f>
        <v/>
      </c>
      <c r="L524" s="32">
        <f>IF(B524="","",TRIM(INDEX('Form Responses'!$J:$J,ROW())&amp;""))</f>
        <v/>
      </c>
      <c r="M524" s="32">
        <f>IF(B524="","",TRIM(INDEX('Form Responses'!$K:$K,ROW())&amp;""))</f>
        <v/>
      </c>
      <c r="N524" s="32">
        <f>IF(B524="","",IF(E524&lt;&gt;"","P"&amp;E524,"N"&amp;B524))</f>
        <v/>
      </c>
      <c r="O524" s="32">
        <f>IF(N524="",0,IF(COUNTIF(N525:N$602,N524)=0,1,0))</f>
        <v/>
      </c>
      <c r="P524" s="32">
        <f>IF(AND(O524=1,E524&lt;&gt;""),E524,"")</f>
        <v/>
      </c>
      <c r="Q524" s="32">
        <f>IF(O524=1,B524,"")</f>
        <v/>
      </c>
      <c r="R524" s="32">
        <f>IF(O524&lt;&gt;1,"",IF(E524&lt;&gt;"",IFERROR(MATCH(E524,Guests!$S$6:$S$505,0)+5,IFERROR(MATCH(B524,Guests!$A$6:$A$505,0)+5,"")),IFERROR(MATCH(B524,Guests!$A$6:$A$505,0)+5,"")))</f>
        <v/>
      </c>
      <c r="S524" s="32">
        <f>IF(R524="","",TRIM(INDEX(Guests!$E$1:$E$505,R524)&amp;""))</f>
        <v/>
      </c>
      <c r="T524" s="32">
        <f>IF(R524="","",IF(S524="",1,COUNTIF(Guests!$E$6:$E$505,S524)))</f>
        <v/>
      </c>
      <c r="U524" s="32">
        <f>IF(R524="","",IF(S524="",1,IF(COUNTIF(S$1:S523,S524)=0,1,0)))</f>
        <v/>
      </c>
      <c r="V524" s="32">
        <f>IF(AND(R524&lt;&gt;"",G524="Attending",U524=1),MAX(0,H524+I524-T524),0)</f>
        <v/>
      </c>
      <c r="W524" s="32">
        <f>IF(AND(O524=1,R524=""),1,0)</f>
        <v/>
      </c>
      <c r="X524" s="32">
        <f>IF(B524="",0,H524+I524)</f>
        <v/>
      </c>
      <c r="Y524" s="32">
        <f>N(Y523)+O524</f>
        <v/>
      </c>
      <c r="Z524" s="32">
        <f>IF(O524=1,Y524,"")</f>
        <v/>
      </c>
      <c r="AA524" s="32">
        <f>IF(AND(W524=1,G524="Not sure yet"),1,0)</f>
        <v/>
      </c>
      <c r="AB524" s="32">
        <f>N(AB523)+AA524</f>
        <v/>
      </c>
      <c r="AC524" s="32">
        <f>IF(AA524=1,AB524,"")</f>
        <v/>
      </c>
      <c r="AD524" s="32">
        <f>IF(D524="","",IF(LEN(D524)=10,"+1"&amp;D524,IF(AND(LEN(D524)=11,LEFT(D524,1)="1"),"+"&amp;D524,IF(LEFT(C524,1)="+","+"&amp;D524,D524))))</f>
        <v/>
      </c>
      <c r="AE524" s="32">
        <f>IF(B524="","",PROPER(IFERROR(LEFT(B524,FIND(" ",B524)-1),B524)))</f>
        <v/>
      </c>
      <c r="AF524" s="32">
        <f>SUBSTITUTE(SUBSTITUTE(SUBSTITUTE(SUBSTITUTE(SUBSTITUTE(SUBSTITUTE(SUBSTITUTE(SUBSTITUTE(SUBSTITUTE(SUBSTITUTE(AE524,"%","%25"),"&amp;","%26"),"#","%23"),"+","%2B"),"=","%3D"),"?","%3F"),CHAR(34),"%22"),CHAR(10),"%0A"),CHAR(13),"")," ","+")</f>
        <v/>
      </c>
      <c r="AG524" s="32">
        <f>IF(OR(AD524="",AE524=""),"",'Start Here'!$B$20&amp;"#p="&amp;SUBSTITUTE(AD524,"+","%2B")&amp;"&amp;n="&amp;AF524&amp;"&amp;m="&amp;SUBSTITUTE('Start Here'!$B$24,"{name}",AF524))</f>
        <v/>
      </c>
      <c r="AH524" s="32">
        <f>N(AH523)+W524</f>
        <v/>
      </c>
      <c r="AI524" s="32">
        <f>IF(W524=1,AH524,"")</f>
        <v/>
      </c>
    </row>
    <row r="525">
      <c r="A525" s="32">
        <f>IF(INDEX('Form Responses'!$A:$A,ROW())="","",INDEX('Form Responses'!$A:$A,ROW()))</f>
        <v/>
      </c>
      <c r="B525" s="32">
        <f>TRIM(INDEX('Form Responses'!$B:$B,ROW())&amp;"")</f>
        <v/>
      </c>
      <c r="C525" s="32">
        <f>IF(B525="","",TRIM(INDEX('Form Responses'!$C:$C,ROW())&amp;""))</f>
        <v/>
      </c>
      <c r="D525" s="32">
        <f>SUBSTITUTE(SUBSTITUTE(SUBSTITUTE(SUBSTITUTE(SUBSTITUTE(SUBSTITUTE(SUBSTITUTE(SUBSTITUTE(C525," ",""),"-",""),"(",""),")",""),".",""),"+",""),"/",""),CHAR(160),"")</f>
        <v/>
      </c>
      <c r="E525" s="32">
        <f>IF(LEN(D525)&gt;=10,RIGHT(D525,10),D525)</f>
        <v/>
      </c>
      <c r="F525" s="32">
        <f>IF(B525="","",TRIM(INDEX('Form Responses'!$D:$D,ROW())&amp;""))</f>
        <v/>
      </c>
      <c r="G525" s="32">
        <f>IF(B525="","",IF(LEFT(TRIM(INDEX('Form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5" s="32">
        <f>IF(B525="","",MAX(0,IFERROR(INT(--(INDEX('Form Responses'!$F:$F,ROW())&amp;"")),1)))</f>
        <v/>
      </c>
      <c r="I525" s="32">
        <f>IF(B525="","",MAX(0,IFERROR(INT(--(INDEX('Form Responses'!$G:$G,ROW())&amp;"")),0)))</f>
        <v/>
      </c>
      <c r="J525" s="32">
        <f>IF(B525="","",TRIM(INDEX('Form Responses'!$H:$H,ROW())&amp;""))</f>
        <v/>
      </c>
      <c r="K525" s="32">
        <f>IF(B525="","",TRIM(INDEX('Form Responses'!$I:$I,ROW())&amp;""))</f>
        <v/>
      </c>
      <c r="L525" s="32">
        <f>IF(B525="","",TRIM(INDEX('Form Responses'!$J:$J,ROW())&amp;""))</f>
        <v/>
      </c>
      <c r="M525" s="32">
        <f>IF(B525="","",TRIM(INDEX('Form Responses'!$K:$K,ROW())&amp;""))</f>
        <v/>
      </c>
      <c r="N525" s="32">
        <f>IF(B525="","",IF(E525&lt;&gt;"","P"&amp;E525,"N"&amp;B525))</f>
        <v/>
      </c>
      <c r="O525" s="32">
        <f>IF(N525="",0,IF(COUNTIF(N526:N$602,N525)=0,1,0))</f>
        <v/>
      </c>
      <c r="P525" s="32">
        <f>IF(AND(O525=1,E525&lt;&gt;""),E525,"")</f>
        <v/>
      </c>
      <c r="Q525" s="32">
        <f>IF(O525=1,B525,"")</f>
        <v/>
      </c>
      <c r="R525" s="32">
        <f>IF(O525&lt;&gt;1,"",IF(E525&lt;&gt;"",IFERROR(MATCH(E525,Guests!$S$6:$S$505,0)+5,IFERROR(MATCH(B525,Guests!$A$6:$A$505,0)+5,"")),IFERROR(MATCH(B525,Guests!$A$6:$A$505,0)+5,"")))</f>
        <v/>
      </c>
      <c r="S525" s="32">
        <f>IF(R525="","",TRIM(INDEX(Guests!$E$1:$E$505,R525)&amp;""))</f>
        <v/>
      </c>
      <c r="T525" s="32">
        <f>IF(R525="","",IF(S525="",1,COUNTIF(Guests!$E$6:$E$505,S525)))</f>
        <v/>
      </c>
      <c r="U525" s="32">
        <f>IF(R525="","",IF(S525="",1,IF(COUNTIF(S$1:S524,S525)=0,1,0)))</f>
        <v/>
      </c>
      <c r="V525" s="32">
        <f>IF(AND(R525&lt;&gt;"",G525="Attending",U525=1),MAX(0,H525+I525-T525),0)</f>
        <v/>
      </c>
      <c r="W525" s="32">
        <f>IF(AND(O525=1,R525=""),1,0)</f>
        <v/>
      </c>
      <c r="X525" s="32">
        <f>IF(B525="",0,H525+I525)</f>
        <v/>
      </c>
      <c r="Y525" s="32">
        <f>N(Y524)+O525</f>
        <v/>
      </c>
      <c r="Z525" s="32">
        <f>IF(O525=1,Y525,"")</f>
        <v/>
      </c>
      <c r="AA525" s="32">
        <f>IF(AND(W525=1,G525="Not sure yet"),1,0)</f>
        <v/>
      </c>
      <c r="AB525" s="32">
        <f>N(AB524)+AA525</f>
        <v/>
      </c>
      <c r="AC525" s="32">
        <f>IF(AA525=1,AB525,"")</f>
        <v/>
      </c>
      <c r="AD525" s="32">
        <f>IF(D525="","",IF(LEN(D525)=10,"+1"&amp;D525,IF(AND(LEN(D525)=11,LEFT(D525,1)="1"),"+"&amp;D525,IF(LEFT(C525,1)="+","+"&amp;D525,D525))))</f>
        <v/>
      </c>
      <c r="AE525" s="32">
        <f>IF(B525="","",PROPER(IFERROR(LEFT(B525,FIND(" ",B525)-1),B525)))</f>
        <v/>
      </c>
      <c r="AF525" s="32">
        <f>SUBSTITUTE(SUBSTITUTE(SUBSTITUTE(SUBSTITUTE(SUBSTITUTE(SUBSTITUTE(SUBSTITUTE(SUBSTITUTE(SUBSTITUTE(SUBSTITUTE(AE525,"%","%25"),"&amp;","%26"),"#","%23"),"+","%2B"),"=","%3D"),"?","%3F"),CHAR(34),"%22"),CHAR(10),"%0A"),CHAR(13),"")," ","+")</f>
        <v/>
      </c>
      <c r="AG525" s="32">
        <f>IF(OR(AD525="",AE525=""),"",'Start Here'!$B$20&amp;"#p="&amp;SUBSTITUTE(AD525,"+","%2B")&amp;"&amp;n="&amp;AF525&amp;"&amp;m="&amp;SUBSTITUTE('Start Here'!$B$24,"{name}",AF525))</f>
        <v/>
      </c>
      <c r="AH525" s="32">
        <f>N(AH524)+W525</f>
        <v/>
      </c>
      <c r="AI525" s="32">
        <f>IF(W525=1,AH525,"")</f>
        <v/>
      </c>
    </row>
    <row r="526">
      <c r="A526" s="32">
        <f>IF(INDEX('Form Responses'!$A:$A,ROW())="","",INDEX('Form Responses'!$A:$A,ROW()))</f>
        <v/>
      </c>
      <c r="B526" s="32">
        <f>TRIM(INDEX('Form Responses'!$B:$B,ROW())&amp;"")</f>
        <v/>
      </c>
      <c r="C526" s="32">
        <f>IF(B526="","",TRIM(INDEX('Form Responses'!$C:$C,ROW())&amp;""))</f>
        <v/>
      </c>
      <c r="D526" s="32">
        <f>SUBSTITUTE(SUBSTITUTE(SUBSTITUTE(SUBSTITUTE(SUBSTITUTE(SUBSTITUTE(SUBSTITUTE(SUBSTITUTE(C526," ",""),"-",""),"(",""),")",""),".",""),"+",""),"/",""),CHAR(160),"")</f>
        <v/>
      </c>
      <c r="E526" s="32">
        <f>IF(LEN(D526)&gt;=10,RIGHT(D526,10),D526)</f>
        <v/>
      </c>
      <c r="F526" s="32">
        <f>IF(B526="","",TRIM(INDEX('Form Responses'!$D:$D,ROW())&amp;""))</f>
        <v/>
      </c>
      <c r="G526" s="32">
        <f>IF(B526="","",IF(LEFT(TRIM(INDEX('Form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6" s="32">
        <f>IF(B526="","",MAX(0,IFERROR(INT(--(INDEX('Form Responses'!$F:$F,ROW())&amp;"")),1)))</f>
        <v/>
      </c>
      <c r="I526" s="32">
        <f>IF(B526="","",MAX(0,IFERROR(INT(--(INDEX('Form Responses'!$G:$G,ROW())&amp;"")),0)))</f>
        <v/>
      </c>
      <c r="J526" s="32">
        <f>IF(B526="","",TRIM(INDEX('Form Responses'!$H:$H,ROW())&amp;""))</f>
        <v/>
      </c>
      <c r="K526" s="32">
        <f>IF(B526="","",TRIM(INDEX('Form Responses'!$I:$I,ROW())&amp;""))</f>
        <v/>
      </c>
      <c r="L526" s="32">
        <f>IF(B526="","",TRIM(INDEX('Form Responses'!$J:$J,ROW())&amp;""))</f>
        <v/>
      </c>
      <c r="M526" s="32">
        <f>IF(B526="","",TRIM(INDEX('Form Responses'!$K:$K,ROW())&amp;""))</f>
        <v/>
      </c>
      <c r="N526" s="32">
        <f>IF(B526="","",IF(E526&lt;&gt;"","P"&amp;E526,"N"&amp;B526))</f>
        <v/>
      </c>
      <c r="O526" s="32">
        <f>IF(N526="",0,IF(COUNTIF(N527:N$602,N526)=0,1,0))</f>
        <v/>
      </c>
      <c r="P526" s="32">
        <f>IF(AND(O526=1,E526&lt;&gt;""),E526,"")</f>
        <v/>
      </c>
      <c r="Q526" s="32">
        <f>IF(O526=1,B526,"")</f>
        <v/>
      </c>
      <c r="R526" s="32">
        <f>IF(O526&lt;&gt;1,"",IF(E526&lt;&gt;"",IFERROR(MATCH(E526,Guests!$S$6:$S$505,0)+5,IFERROR(MATCH(B526,Guests!$A$6:$A$505,0)+5,"")),IFERROR(MATCH(B526,Guests!$A$6:$A$505,0)+5,"")))</f>
        <v/>
      </c>
      <c r="S526" s="32">
        <f>IF(R526="","",TRIM(INDEX(Guests!$E$1:$E$505,R526)&amp;""))</f>
        <v/>
      </c>
      <c r="T526" s="32">
        <f>IF(R526="","",IF(S526="",1,COUNTIF(Guests!$E$6:$E$505,S526)))</f>
        <v/>
      </c>
      <c r="U526" s="32">
        <f>IF(R526="","",IF(S526="",1,IF(COUNTIF(S$1:S525,S526)=0,1,0)))</f>
        <v/>
      </c>
      <c r="V526" s="32">
        <f>IF(AND(R526&lt;&gt;"",G526="Attending",U526=1),MAX(0,H526+I526-T526),0)</f>
        <v/>
      </c>
      <c r="W526" s="32">
        <f>IF(AND(O526=1,R526=""),1,0)</f>
        <v/>
      </c>
      <c r="X526" s="32">
        <f>IF(B526="",0,H526+I526)</f>
        <v/>
      </c>
      <c r="Y526" s="32">
        <f>N(Y525)+O526</f>
        <v/>
      </c>
      <c r="Z526" s="32">
        <f>IF(O526=1,Y526,"")</f>
        <v/>
      </c>
      <c r="AA526" s="32">
        <f>IF(AND(W526=1,G526="Not sure yet"),1,0)</f>
        <v/>
      </c>
      <c r="AB526" s="32">
        <f>N(AB525)+AA526</f>
        <v/>
      </c>
      <c r="AC526" s="32">
        <f>IF(AA526=1,AB526,"")</f>
        <v/>
      </c>
      <c r="AD526" s="32">
        <f>IF(D526="","",IF(LEN(D526)=10,"+1"&amp;D526,IF(AND(LEN(D526)=11,LEFT(D526,1)="1"),"+"&amp;D526,IF(LEFT(C526,1)="+","+"&amp;D526,D526))))</f>
        <v/>
      </c>
      <c r="AE526" s="32">
        <f>IF(B526="","",PROPER(IFERROR(LEFT(B526,FIND(" ",B526)-1),B526)))</f>
        <v/>
      </c>
      <c r="AF526" s="32">
        <f>SUBSTITUTE(SUBSTITUTE(SUBSTITUTE(SUBSTITUTE(SUBSTITUTE(SUBSTITUTE(SUBSTITUTE(SUBSTITUTE(SUBSTITUTE(SUBSTITUTE(AE526,"%","%25"),"&amp;","%26"),"#","%23"),"+","%2B"),"=","%3D"),"?","%3F"),CHAR(34),"%22"),CHAR(10),"%0A"),CHAR(13),"")," ","+")</f>
        <v/>
      </c>
      <c r="AG526" s="32">
        <f>IF(OR(AD526="",AE526=""),"",'Start Here'!$B$20&amp;"#p="&amp;SUBSTITUTE(AD526,"+","%2B")&amp;"&amp;n="&amp;AF526&amp;"&amp;m="&amp;SUBSTITUTE('Start Here'!$B$24,"{name}",AF526))</f>
        <v/>
      </c>
      <c r="AH526" s="32">
        <f>N(AH525)+W526</f>
        <v/>
      </c>
      <c r="AI526" s="32">
        <f>IF(W526=1,AH526,"")</f>
        <v/>
      </c>
    </row>
    <row r="527">
      <c r="A527" s="32">
        <f>IF(INDEX('Form Responses'!$A:$A,ROW())="","",INDEX('Form Responses'!$A:$A,ROW()))</f>
        <v/>
      </c>
      <c r="B527" s="32">
        <f>TRIM(INDEX('Form Responses'!$B:$B,ROW())&amp;"")</f>
        <v/>
      </c>
      <c r="C527" s="32">
        <f>IF(B527="","",TRIM(INDEX('Form Responses'!$C:$C,ROW())&amp;""))</f>
        <v/>
      </c>
      <c r="D527" s="32">
        <f>SUBSTITUTE(SUBSTITUTE(SUBSTITUTE(SUBSTITUTE(SUBSTITUTE(SUBSTITUTE(SUBSTITUTE(SUBSTITUTE(C527," ",""),"-",""),"(",""),")",""),".",""),"+",""),"/",""),CHAR(160),"")</f>
        <v/>
      </c>
      <c r="E527" s="32">
        <f>IF(LEN(D527)&gt;=10,RIGHT(D527,10),D527)</f>
        <v/>
      </c>
      <c r="F527" s="32">
        <f>IF(B527="","",TRIM(INDEX('Form Responses'!$D:$D,ROW())&amp;""))</f>
        <v/>
      </c>
      <c r="G527" s="32">
        <f>IF(B527="","",IF(LEFT(TRIM(INDEX('Form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7" s="32">
        <f>IF(B527="","",MAX(0,IFERROR(INT(--(INDEX('Form Responses'!$F:$F,ROW())&amp;"")),1)))</f>
        <v/>
      </c>
      <c r="I527" s="32">
        <f>IF(B527="","",MAX(0,IFERROR(INT(--(INDEX('Form Responses'!$G:$G,ROW())&amp;"")),0)))</f>
        <v/>
      </c>
      <c r="J527" s="32">
        <f>IF(B527="","",TRIM(INDEX('Form Responses'!$H:$H,ROW())&amp;""))</f>
        <v/>
      </c>
      <c r="K527" s="32">
        <f>IF(B527="","",TRIM(INDEX('Form Responses'!$I:$I,ROW())&amp;""))</f>
        <v/>
      </c>
      <c r="L527" s="32">
        <f>IF(B527="","",TRIM(INDEX('Form Responses'!$J:$J,ROW())&amp;""))</f>
        <v/>
      </c>
      <c r="M527" s="32">
        <f>IF(B527="","",TRIM(INDEX('Form Responses'!$K:$K,ROW())&amp;""))</f>
        <v/>
      </c>
      <c r="N527" s="32">
        <f>IF(B527="","",IF(E527&lt;&gt;"","P"&amp;E527,"N"&amp;B527))</f>
        <v/>
      </c>
      <c r="O527" s="32">
        <f>IF(N527="",0,IF(COUNTIF(N528:N$602,N527)=0,1,0))</f>
        <v/>
      </c>
      <c r="P527" s="32">
        <f>IF(AND(O527=1,E527&lt;&gt;""),E527,"")</f>
        <v/>
      </c>
      <c r="Q527" s="32">
        <f>IF(O527=1,B527,"")</f>
        <v/>
      </c>
      <c r="R527" s="32">
        <f>IF(O527&lt;&gt;1,"",IF(E527&lt;&gt;"",IFERROR(MATCH(E527,Guests!$S$6:$S$505,0)+5,IFERROR(MATCH(B527,Guests!$A$6:$A$505,0)+5,"")),IFERROR(MATCH(B527,Guests!$A$6:$A$505,0)+5,"")))</f>
        <v/>
      </c>
      <c r="S527" s="32">
        <f>IF(R527="","",TRIM(INDEX(Guests!$E$1:$E$505,R527)&amp;""))</f>
        <v/>
      </c>
      <c r="T527" s="32">
        <f>IF(R527="","",IF(S527="",1,COUNTIF(Guests!$E$6:$E$505,S527)))</f>
        <v/>
      </c>
      <c r="U527" s="32">
        <f>IF(R527="","",IF(S527="",1,IF(COUNTIF(S$1:S526,S527)=0,1,0)))</f>
        <v/>
      </c>
      <c r="V527" s="32">
        <f>IF(AND(R527&lt;&gt;"",G527="Attending",U527=1),MAX(0,H527+I527-T527),0)</f>
        <v/>
      </c>
      <c r="W527" s="32">
        <f>IF(AND(O527=1,R527=""),1,0)</f>
        <v/>
      </c>
      <c r="X527" s="32">
        <f>IF(B527="",0,H527+I527)</f>
        <v/>
      </c>
      <c r="Y527" s="32">
        <f>N(Y526)+O527</f>
        <v/>
      </c>
      <c r="Z527" s="32">
        <f>IF(O527=1,Y527,"")</f>
        <v/>
      </c>
      <c r="AA527" s="32">
        <f>IF(AND(W527=1,G527="Not sure yet"),1,0)</f>
        <v/>
      </c>
      <c r="AB527" s="32">
        <f>N(AB526)+AA527</f>
        <v/>
      </c>
      <c r="AC527" s="32">
        <f>IF(AA527=1,AB527,"")</f>
        <v/>
      </c>
      <c r="AD527" s="32">
        <f>IF(D527="","",IF(LEN(D527)=10,"+1"&amp;D527,IF(AND(LEN(D527)=11,LEFT(D527,1)="1"),"+"&amp;D527,IF(LEFT(C527,1)="+","+"&amp;D527,D527))))</f>
        <v/>
      </c>
      <c r="AE527" s="32">
        <f>IF(B527="","",PROPER(IFERROR(LEFT(B527,FIND(" ",B527)-1),B527)))</f>
        <v/>
      </c>
      <c r="AF527" s="32">
        <f>SUBSTITUTE(SUBSTITUTE(SUBSTITUTE(SUBSTITUTE(SUBSTITUTE(SUBSTITUTE(SUBSTITUTE(SUBSTITUTE(SUBSTITUTE(SUBSTITUTE(AE527,"%","%25"),"&amp;","%26"),"#","%23"),"+","%2B"),"=","%3D"),"?","%3F"),CHAR(34),"%22"),CHAR(10),"%0A"),CHAR(13),"")," ","+")</f>
        <v/>
      </c>
      <c r="AG527" s="32">
        <f>IF(OR(AD527="",AE527=""),"",'Start Here'!$B$20&amp;"#p="&amp;SUBSTITUTE(AD527,"+","%2B")&amp;"&amp;n="&amp;AF527&amp;"&amp;m="&amp;SUBSTITUTE('Start Here'!$B$24,"{name}",AF527))</f>
        <v/>
      </c>
      <c r="AH527" s="32">
        <f>N(AH526)+W527</f>
        <v/>
      </c>
      <c r="AI527" s="32">
        <f>IF(W527=1,AH527,"")</f>
        <v/>
      </c>
    </row>
    <row r="528">
      <c r="A528" s="32">
        <f>IF(INDEX('Form Responses'!$A:$A,ROW())="","",INDEX('Form Responses'!$A:$A,ROW()))</f>
        <v/>
      </c>
      <c r="B528" s="32">
        <f>TRIM(INDEX('Form Responses'!$B:$B,ROW())&amp;"")</f>
        <v/>
      </c>
      <c r="C528" s="32">
        <f>IF(B528="","",TRIM(INDEX('Form Responses'!$C:$C,ROW())&amp;""))</f>
        <v/>
      </c>
      <c r="D528" s="32">
        <f>SUBSTITUTE(SUBSTITUTE(SUBSTITUTE(SUBSTITUTE(SUBSTITUTE(SUBSTITUTE(SUBSTITUTE(SUBSTITUTE(C528," ",""),"-",""),"(",""),")",""),".",""),"+",""),"/",""),CHAR(160),"")</f>
        <v/>
      </c>
      <c r="E528" s="32">
        <f>IF(LEN(D528)&gt;=10,RIGHT(D528,10),D528)</f>
        <v/>
      </c>
      <c r="F528" s="32">
        <f>IF(B528="","",TRIM(INDEX('Form Responses'!$D:$D,ROW())&amp;""))</f>
        <v/>
      </c>
      <c r="G528" s="32">
        <f>IF(B528="","",IF(LEFT(TRIM(INDEX('Form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8" s="32">
        <f>IF(B528="","",MAX(0,IFERROR(INT(--(INDEX('Form Responses'!$F:$F,ROW())&amp;"")),1)))</f>
        <v/>
      </c>
      <c r="I528" s="32">
        <f>IF(B528="","",MAX(0,IFERROR(INT(--(INDEX('Form Responses'!$G:$G,ROW())&amp;"")),0)))</f>
        <v/>
      </c>
      <c r="J528" s="32">
        <f>IF(B528="","",TRIM(INDEX('Form Responses'!$H:$H,ROW())&amp;""))</f>
        <v/>
      </c>
      <c r="K528" s="32">
        <f>IF(B528="","",TRIM(INDEX('Form Responses'!$I:$I,ROW())&amp;""))</f>
        <v/>
      </c>
      <c r="L528" s="32">
        <f>IF(B528="","",TRIM(INDEX('Form Responses'!$J:$J,ROW())&amp;""))</f>
        <v/>
      </c>
      <c r="M528" s="32">
        <f>IF(B528="","",TRIM(INDEX('Form Responses'!$K:$K,ROW())&amp;""))</f>
        <v/>
      </c>
      <c r="N528" s="32">
        <f>IF(B528="","",IF(E528&lt;&gt;"","P"&amp;E528,"N"&amp;B528))</f>
        <v/>
      </c>
      <c r="O528" s="32">
        <f>IF(N528="",0,IF(COUNTIF(N529:N$602,N528)=0,1,0))</f>
        <v/>
      </c>
      <c r="P528" s="32">
        <f>IF(AND(O528=1,E528&lt;&gt;""),E528,"")</f>
        <v/>
      </c>
      <c r="Q528" s="32">
        <f>IF(O528=1,B528,"")</f>
        <v/>
      </c>
      <c r="R528" s="32">
        <f>IF(O528&lt;&gt;1,"",IF(E528&lt;&gt;"",IFERROR(MATCH(E528,Guests!$S$6:$S$505,0)+5,IFERROR(MATCH(B528,Guests!$A$6:$A$505,0)+5,"")),IFERROR(MATCH(B528,Guests!$A$6:$A$505,0)+5,"")))</f>
        <v/>
      </c>
      <c r="S528" s="32">
        <f>IF(R528="","",TRIM(INDEX(Guests!$E$1:$E$505,R528)&amp;""))</f>
        <v/>
      </c>
      <c r="T528" s="32">
        <f>IF(R528="","",IF(S528="",1,COUNTIF(Guests!$E$6:$E$505,S528)))</f>
        <v/>
      </c>
      <c r="U528" s="32">
        <f>IF(R528="","",IF(S528="",1,IF(COUNTIF(S$1:S527,S528)=0,1,0)))</f>
        <v/>
      </c>
      <c r="V528" s="32">
        <f>IF(AND(R528&lt;&gt;"",G528="Attending",U528=1),MAX(0,H528+I528-T528),0)</f>
        <v/>
      </c>
      <c r="W528" s="32">
        <f>IF(AND(O528=1,R528=""),1,0)</f>
        <v/>
      </c>
      <c r="X528" s="32">
        <f>IF(B528="",0,H528+I528)</f>
        <v/>
      </c>
      <c r="Y528" s="32">
        <f>N(Y527)+O528</f>
        <v/>
      </c>
      <c r="Z528" s="32">
        <f>IF(O528=1,Y528,"")</f>
        <v/>
      </c>
      <c r="AA528" s="32">
        <f>IF(AND(W528=1,G528="Not sure yet"),1,0)</f>
        <v/>
      </c>
      <c r="AB528" s="32">
        <f>N(AB527)+AA528</f>
        <v/>
      </c>
      <c r="AC528" s="32">
        <f>IF(AA528=1,AB528,"")</f>
        <v/>
      </c>
      <c r="AD528" s="32">
        <f>IF(D528="","",IF(LEN(D528)=10,"+1"&amp;D528,IF(AND(LEN(D528)=11,LEFT(D528,1)="1"),"+"&amp;D528,IF(LEFT(C528,1)="+","+"&amp;D528,D528))))</f>
        <v/>
      </c>
      <c r="AE528" s="32">
        <f>IF(B528="","",PROPER(IFERROR(LEFT(B528,FIND(" ",B528)-1),B528)))</f>
        <v/>
      </c>
      <c r="AF528" s="32">
        <f>SUBSTITUTE(SUBSTITUTE(SUBSTITUTE(SUBSTITUTE(SUBSTITUTE(SUBSTITUTE(SUBSTITUTE(SUBSTITUTE(SUBSTITUTE(SUBSTITUTE(AE528,"%","%25"),"&amp;","%26"),"#","%23"),"+","%2B"),"=","%3D"),"?","%3F"),CHAR(34),"%22"),CHAR(10),"%0A"),CHAR(13),"")," ","+")</f>
        <v/>
      </c>
      <c r="AG528" s="32">
        <f>IF(OR(AD528="",AE528=""),"",'Start Here'!$B$20&amp;"#p="&amp;SUBSTITUTE(AD528,"+","%2B")&amp;"&amp;n="&amp;AF528&amp;"&amp;m="&amp;SUBSTITUTE('Start Here'!$B$24,"{name}",AF528))</f>
        <v/>
      </c>
      <c r="AH528" s="32">
        <f>N(AH527)+W528</f>
        <v/>
      </c>
      <c r="AI528" s="32">
        <f>IF(W528=1,AH528,"")</f>
        <v/>
      </c>
    </row>
    <row r="529">
      <c r="A529" s="32">
        <f>IF(INDEX('Form Responses'!$A:$A,ROW())="","",INDEX('Form Responses'!$A:$A,ROW()))</f>
        <v/>
      </c>
      <c r="B529" s="32">
        <f>TRIM(INDEX('Form Responses'!$B:$B,ROW())&amp;"")</f>
        <v/>
      </c>
      <c r="C529" s="32">
        <f>IF(B529="","",TRIM(INDEX('Form Responses'!$C:$C,ROW())&amp;""))</f>
        <v/>
      </c>
      <c r="D529" s="32">
        <f>SUBSTITUTE(SUBSTITUTE(SUBSTITUTE(SUBSTITUTE(SUBSTITUTE(SUBSTITUTE(SUBSTITUTE(SUBSTITUTE(C529," ",""),"-",""),"(",""),")",""),".",""),"+",""),"/",""),CHAR(160),"")</f>
        <v/>
      </c>
      <c r="E529" s="32">
        <f>IF(LEN(D529)&gt;=10,RIGHT(D529,10),D529)</f>
        <v/>
      </c>
      <c r="F529" s="32">
        <f>IF(B529="","",TRIM(INDEX('Form Responses'!$D:$D,ROW())&amp;""))</f>
        <v/>
      </c>
      <c r="G529" s="32">
        <f>IF(B529="","",IF(LEFT(TRIM(INDEX('Form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29" s="32">
        <f>IF(B529="","",MAX(0,IFERROR(INT(--(INDEX('Form Responses'!$F:$F,ROW())&amp;"")),1)))</f>
        <v/>
      </c>
      <c r="I529" s="32">
        <f>IF(B529="","",MAX(0,IFERROR(INT(--(INDEX('Form Responses'!$G:$G,ROW())&amp;"")),0)))</f>
        <v/>
      </c>
      <c r="J529" s="32">
        <f>IF(B529="","",TRIM(INDEX('Form Responses'!$H:$H,ROW())&amp;""))</f>
        <v/>
      </c>
      <c r="K529" s="32">
        <f>IF(B529="","",TRIM(INDEX('Form Responses'!$I:$I,ROW())&amp;""))</f>
        <v/>
      </c>
      <c r="L529" s="32">
        <f>IF(B529="","",TRIM(INDEX('Form Responses'!$J:$J,ROW())&amp;""))</f>
        <v/>
      </c>
      <c r="M529" s="32">
        <f>IF(B529="","",TRIM(INDEX('Form Responses'!$K:$K,ROW())&amp;""))</f>
        <v/>
      </c>
      <c r="N529" s="32">
        <f>IF(B529="","",IF(E529&lt;&gt;"","P"&amp;E529,"N"&amp;B529))</f>
        <v/>
      </c>
      <c r="O529" s="32">
        <f>IF(N529="",0,IF(COUNTIF(N530:N$602,N529)=0,1,0))</f>
        <v/>
      </c>
      <c r="P529" s="32">
        <f>IF(AND(O529=1,E529&lt;&gt;""),E529,"")</f>
        <v/>
      </c>
      <c r="Q529" s="32">
        <f>IF(O529=1,B529,"")</f>
        <v/>
      </c>
      <c r="R529" s="32">
        <f>IF(O529&lt;&gt;1,"",IF(E529&lt;&gt;"",IFERROR(MATCH(E529,Guests!$S$6:$S$505,0)+5,IFERROR(MATCH(B529,Guests!$A$6:$A$505,0)+5,"")),IFERROR(MATCH(B529,Guests!$A$6:$A$505,0)+5,"")))</f>
        <v/>
      </c>
      <c r="S529" s="32">
        <f>IF(R529="","",TRIM(INDEX(Guests!$E$1:$E$505,R529)&amp;""))</f>
        <v/>
      </c>
      <c r="T529" s="32">
        <f>IF(R529="","",IF(S529="",1,COUNTIF(Guests!$E$6:$E$505,S529)))</f>
        <v/>
      </c>
      <c r="U529" s="32">
        <f>IF(R529="","",IF(S529="",1,IF(COUNTIF(S$1:S528,S529)=0,1,0)))</f>
        <v/>
      </c>
      <c r="V529" s="32">
        <f>IF(AND(R529&lt;&gt;"",G529="Attending",U529=1),MAX(0,H529+I529-T529),0)</f>
        <v/>
      </c>
      <c r="W529" s="32">
        <f>IF(AND(O529=1,R529=""),1,0)</f>
        <v/>
      </c>
      <c r="X529" s="32">
        <f>IF(B529="",0,H529+I529)</f>
        <v/>
      </c>
      <c r="Y529" s="32">
        <f>N(Y528)+O529</f>
        <v/>
      </c>
      <c r="Z529" s="32">
        <f>IF(O529=1,Y529,"")</f>
        <v/>
      </c>
      <c r="AA529" s="32">
        <f>IF(AND(W529=1,G529="Not sure yet"),1,0)</f>
        <v/>
      </c>
      <c r="AB529" s="32">
        <f>N(AB528)+AA529</f>
        <v/>
      </c>
      <c r="AC529" s="32">
        <f>IF(AA529=1,AB529,"")</f>
        <v/>
      </c>
      <c r="AD529" s="32">
        <f>IF(D529="","",IF(LEN(D529)=10,"+1"&amp;D529,IF(AND(LEN(D529)=11,LEFT(D529,1)="1"),"+"&amp;D529,IF(LEFT(C529,1)="+","+"&amp;D529,D529))))</f>
        <v/>
      </c>
      <c r="AE529" s="32">
        <f>IF(B529="","",PROPER(IFERROR(LEFT(B529,FIND(" ",B529)-1),B529)))</f>
        <v/>
      </c>
      <c r="AF529" s="32">
        <f>SUBSTITUTE(SUBSTITUTE(SUBSTITUTE(SUBSTITUTE(SUBSTITUTE(SUBSTITUTE(SUBSTITUTE(SUBSTITUTE(SUBSTITUTE(SUBSTITUTE(AE529,"%","%25"),"&amp;","%26"),"#","%23"),"+","%2B"),"=","%3D"),"?","%3F"),CHAR(34),"%22"),CHAR(10),"%0A"),CHAR(13),"")," ","+")</f>
        <v/>
      </c>
      <c r="AG529" s="32">
        <f>IF(OR(AD529="",AE529=""),"",'Start Here'!$B$20&amp;"#p="&amp;SUBSTITUTE(AD529,"+","%2B")&amp;"&amp;n="&amp;AF529&amp;"&amp;m="&amp;SUBSTITUTE('Start Here'!$B$24,"{name}",AF529))</f>
        <v/>
      </c>
      <c r="AH529" s="32">
        <f>N(AH528)+W529</f>
        <v/>
      </c>
      <c r="AI529" s="32">
        <f>IF(W529=1,AH529,"")</f>
        <v/>
      </c>
    </row>
    <row r="530">
      <c r="A530" s="32">
        <f>IF(INDEX('Form Responses'!$A:$A,ROW())="","",INDEX('Form Responses'!$A:$A,ROW()))</f>
        <v/>
      </c>
      <c r="B530" s="32">
        <f>TRIM(INDEX('Form Responses'!$B:$B,ROW())&amp;"")</f>
        <v/>
      </c>
      <c r="C530" s="32">
        <f>IF(B530="","",TRIM(INDEX('Form Responses'!$C:$C,ROW())&amp;""))</f>
        <v/>
      </c>
      <c r="D530" s="32">
        <f>SUBSTITUTE(SUBSTITUTE(SUBSTITUTE(SUBSTITUTE(SUBSTITUTE(SUBSTITUTE(SUBSTITUTE(SUBSTITUTE(C530," ",""),"-",""),"(",""),")",""),".",""),"+",""),"/",""),CHAR(160),"")</f>
        <v/>
      </c>
      <c r="E530" s="32">
        <f>IF(LEN(D530)&gt;=10,RIGHT(D530,10),D530)</f>
        <v/>
      </c>
      <c r="F530" s="32">
        <f>IF(B530="","",TRIM(INDEX('Form Responses'!$D:$D,ROW())&amp;""))</f>
        <v/>
      </c>
      <c r="G530" s="32">
        <f>IF(B530="","",IF(LEFT(TRIM(INDEX('Form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0" s="32">
        <f>IF(B530="","",MAX(0,IFERROR(INT(--(INDEX('Form Responses'!$F:$F,ROW())&amp;"")),1)))</f>
        <v/>
      </c>
      <c r="I530" s="32">
        <f>IF(B530="","",MAX(0,IFERROR(INT(--(INDEX('Form Responses'!$G:$G,ROW())&amp;"")),0)))</f>
        <v/>
      </c>
      <c r="J530" s="32">
        <f>IF(B530="","",TRIM(INDEX('Form Responses'!$H:$H,ROW())&amp;""))</f>
        <v/>
      </c>
      <c r="K530" s="32">
        <f>IF(B530="","",TRIM(INDEX('Form Responses'!$I:$I,ROW())&amp;""))</f>
        <v/>
      </c>
      <c r="L530" s="32">
        <f>IF(B530="","",TRIM(INDEX('Form Responses'!$J:$J,ROW())&amp;""))</f>
        <v/>
      </c>
      <c r="M530" s="32">
        <f>IF(B530="","",TRIM(INDEX('Form Responses'!$K:$K,ROW())&amp;""))</f>
        <v/>
      </c>
      <c r="N530" s="32">
        <f>IF(B530="","",IF(E530&lt;&gt;"","P"&amp;E530,"N"&amp;B530))</f>
        <v/>
      </c>
      <c r="O530" s="32">
        <f>IF(N530="",0,IF(COUNTIF(N531:N$602,N530)=0,1,0))</f>
        <v/>
      </c>
      <c r="P530" s="32">
        <f>IF(AND(O530=1,E530&lt;&gt;""),E530,"")</f>
        <v/>
      </c>
      <c r="Q530" s="32">
        <f>IF(O530=1,B530,"")</f>
        <v/>
      </c>
      <c r="R530" s="32">
        <f>IF(O530&lt;&gt;1,"",IF(E530&lt;&gt;"",IFERROR(MATCH(E530,Guests!$S$6:$S$505,0)+5,IFERROR(MATCH(B530,Guests!$A$6:$A$505,0)+5,"")),IFERROR(MATCH(B530,Guests!$A$6:$A$505,0)+5,"")))</f>
        <v/>
      </c>
      <c r="S530" s="32">
        <f>IF(R530="","",TRIM(INDEX(Guests!$E$1:$E$505,R530)&amp;""))</f>
        <v/>
      </c>
      <c r="T530" s="32">
        <f>IF(R530="","",IF(S530="",1,COUNTIF(Guests!$E$6:$E$505,S530)))</f>
        <v/>
      </c>
      <c r="U530" s="32">
        <f>IF(R530="","",IF(S530="",1,IF(COUNTIF(S$1:S529,S530)=0,1,0)))</f>
        <v/>
      </c>
      <c r="V530" s="32">
        <f>IF(AND(R530&lt;&gt;"",G530="Attending",U530=1),MAX(0,H530+I530-T530),0)</f>
        <v/>
      </c>
      <c r="W530" s="32">
        <f>IF(AND(O530=1,R530=""),1,0)</f>
        <v/>
      </c>
      <c r="X530" s="32">
        <f>IF(B530="",0,H530+I530)</f>
        <v/>
      </c>
      <c r="Y530" s="32">
        <f>N(Y529)+O530</f>
        <v/>
      </c>
      <c r="Z530" s="32">
        <f>IF(O530=1,Y530,"")</f>
        <v/>
      </c>
      <c r="AA530" s="32">
        <f>IF(AND(W530=1,G530="Not sure yet"),1,0)</f>
        <v/>
      </c>
      <c r="AB530" s="32">
        <f>N(AB529)+AA530</f>
        <v/>
      </c>
      <c r="AC530" s="32">
        <f>IF(AA530=1,AB530,"")</f>
        <v/>
      </c>
      <c r="AD530" s="32">
        <f>IF(D530="","",IF(LEN(D530)=10,"+1"&amp;D530,IF(AND(LEN(D530)=11,LEFT(D530,1)="1"),"+"&amp;D530,IF(LEFT(C530,1)="+","+"&amp;D530,D530))))</f>
        <v/>
      </c>
      <c r="AE530" s="32">
        <f>IF(B530="","",PROPER(IFERROR(LEFT(B530,FIND(" ",B530)-1),B530)))</f>
        <v/>
      </c>
      <c r="AF530" s="32">
        <f>SUBSTITUTE(SUBSTITUTE(SUBSTITUTE(SUBSTITUTE(SUBSTITUTE(SUBSTITUTE(SUBSTITUTE(SUBSTITUTE(SUBSTITUTE(SUBSTITUTE(AE530,"%","%25"),"&amp;","%26"),"#","%23"),"+","%2B"),"=","%3D"),"?","%3F"),CHAR(34),"%22"),CHAR(10),"%0A"),CHAR(13),"")," ","+")</f>
        <v/>
      </c>
      <c r="AG530" s="32">
        <f>IF(OR(AD530="",AE530=""),"",'Start Here'!$B$20&amp;"#p="&amp;SUBSTITUTE(AD530,"+","%2B")&amp;"&amp;n="&amp;AF530&amp;"&amp;m="&amp;SUBSTITUTE('Start Here'!$B$24,"{name}",AF530))</f>
        <v/>
      </c>
      <c r="AH530" s="32">
        <f>N(AH529)+W530</f>
        <v/>
      </c>
      <c r="AI530" s="32">
        <f>IF(W530=1,AH530,"")</f>
        <v/>
      </c>
    </row>
    <row r="531">
      <c r="A531" s="32">
        <f>IF(INDEX('Form Responses'!$A:$A,ROW())="","",INDEX('Form Responses'!$A:$A,ROW()))</f>
        <v/>
      </c>
      <c r="B531" s="32">
        <f>TRIM(INDEX('Form Responses'!$B:$B,ROW())&amp;"")</f>
        <v/>
      </c>
      <c r="C531" s="32">
        <f>IF(B531="","",TRIM(INDEX('Form Responses'!$C:$C,ROW())&amp;""))</f>
        <v/>
      </c>
      <c r="D531" s="32">
        <f>SUBSTITUTE(SUBSTITUTE(SUBSTITUTE(SUBSTITUTE(SUBSTITUTE(SUBSTITUTE(SUBSTITUTE(SUBSTITUTE(C531," ",""),"-",""),"(",""),")",""),".",""),"+",""),"/",""),CHAR(160),"")</f>
        <v/>
      </c>
      <c r="E531" s="32">
        <f>IF(LEN(D531)&gt;=10,RIGHT(D531,10),D531)</f>
        <v/>
      </c>
      <c r="F531" s="32">
        <f>IF(B531="","",TRIM(INDEX('Form Responses'!$D:$D,ROW())&amp;""))</f>
        <v/>
      </c>
      <c r="G531" s="32">
        <f>IF(B531="","",IF(LEFT(TRIM(INDEX('Form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1" s="32">
        <f>IF(B531="","",MAX(0,IFERROR(INT(--(INDEX('Form Responses'!$F:$F,ROW())&amp;"")),1)))</f>
        <v/>
      </c>
      <c r="I531" s="32">
        <f>IF(B531="","",MAX(0,IFERROR(INT(--(INDEX('Form Responses'!$G:$G,ROW())&amp;"")),0)))</f>
        <v/>
      </c>
      <c r="J531" s="32">
        <f>IF(B531="","",TRIM(INDEX('Form Responses'!$H:$H,ROW())&amp;""))</f>
        <v/>
      </c>
      <c r="K531" s="32">
        <f>IF(B531="","",TRIM(INDEX('Form Responses'!$I:$I,ROW())&amp;""))</f>
        <v/>
      </c>
      <c r="L531" s="32">
        <f>IF(B531="","",TRIM(INDEX('Form Responses'!$J:$J,ROW())&amp;""))</f>
        <v/>
      </c>
      <c r="M531" s="32">
        <f>IF(B531="","",TRIM(INDEX('Form Responses'!$K:$K,ROW())&amp;""))</f>
        <v/>
      </c>
      <c r="N531" s="32">
        <f>IF(B531="","",IF(E531&lt;&gt;"","P"&amp;E531,"N"&amp;B531))</f>
        <v/>
      </c>
      <c r="O531" s="32">
        <f>IF(N531="",0,IF(COUNTIF(N532:N$602,N531)=0,1,0))</f>
        <v/>
      </c>
      <c r="P531" s="32">
        <f>IF(AND(O531=1,E531&lt;&gt;""),E531,"")</f>
        <v/>
      </c>
      <c r="Q531" s="32">
        <f>IF(O531=1,B531,"")</f>
        <v/>
      </c>
      <c r="R531" s="32">
        <f>IF(O531&lt;&gt;1,"",IF(E531&lt;&gt;"",IFERROR(MATCH(E531,Guests!$S$6:$S$505,0)+5,IFERROR(MATCH(B531,Guests!$A$6:$A$505,0)+5,"")),IFERROR(MATCH(B531,Guests!$A$6:$A$505,0)+5,"")))</f>
        <v/>
      </c>
      <c r="S531" s="32">
        <f>IF(R531="","",TRIM(INDEX(Guests!$E$1:$E$505,R531)&amp;""))</f>
        <v/>
      </c>
      <c r="T531" s="32">
        <f>IF(R531="","",IF(S531="",1,COUNTIF(Guests!$E$6:$E$505,S531)))</f>
        <v/>
      </c>
      <c r="U531" s="32">
        <f>IF(R531="","",IF(S531="",1,IF(COUNTIF(S$1:S530,S531)=0,1,0)))</f>
        <v/>
      </c>
      <c r="V531" s="32">
        <f>IF(AND(R531&lt;&gt;"",G531="Attending",U531=1),MAX(0,H531+I531-T531),0)</f>
        <v/>
      </c>
      <c r="W531" s="32">
        <f>IF(AND(O531=1,R531=""),1,0)</f>
        <v/>
      </c>
      <c r="X531" s="32">
        <f>IF(B531="",0,H531+I531)</f>
        <v/>
      </c>
      <c r="Y531" s="32">
        <f>N(Y530)+O531</f>
        <v/>
      </c>
      <c r="Z531" s="32">
        <f>IF(O531=1,Y531,"")</f>
        <v/>
      </c>
      <c r="AA531" s="32">
        <f>IF(AND(W531=1,G531="Not sure yet"),1,0)</f>
        <v/>
      </c>
      <c r="AB531" s="32">
        <f>N(AB530)+AA531</f>
        <v/>
      </c>
      <c r="AC531" s="32">
        <f>IF(AA531=1,AB531,"")</f>
        <v/>
      </c>
      <c r="AD531" s="32">
        <f>IF(D531="","",IF(LEN(D531)=10,"+1"&amp;D531,IF(AND(LEN(D531)=11,LEFT(D531,1)="1"),"+"&amp;D531,IF(LEFT(C531,1)="+","+"&amp;D531,D531))))</f>
        <v/>
      </c>
      <c r="AE531" s="32">
        <f>IF(B531="","",PROPER(IFERROR(LEFT(B531,FIND(" ",B531)-1),B531)))</f>
        <v/>
      </c>
      <c r="AF531" s="32">
        <f>SUBSTITUTE(SUBSTITUTE(SUBSTITUTE(SUBSTITUTE(SUBSTITUTE(SUBSTITUTE(SUBSTITUTE(SUBSTITUTE(SUBSTITUTE(SUBSTITUTE(AE531,"%","%25"),"&amp;","%26"),"#","%23"),"+","%2B"),"=","%3D"),"?","%3F"),CHAR(34),"%22"),CHAR(10),"%0A"),CHAR(13),"")," ","+")</f>
        <v/>
      </c>
      <c r="AG531" s="32">
        <f>IF(OR(AD531="",AE531=""),"",'Start Here'!$B$20&amp;"#p="&amp;SUBSTITUTE(AD531,"+","%2B")&amp;"&amp;n="&amp;AF531&amp;"&amp;m="&amp;SUBSTITUTE('Start Here'!$B$24,"{name}",AF531))</f>
        <v/>
      </c>
      <c r="AH531" s="32">
        <f>N(AH530)+W531</f>
        <v/>
      </c>
      <c r="AI531" s="32">
        <f>IF(W531=1,AH531,"")</f>
        <v/>
      </c>
    </row>
    <row r="532">
      <c r="A532" s="32">
        <f>IF(INDEX('Form Responses'!$A:$A,ROW())="","",INDEX('Form Responses'!$A:$A,ROW()))</f>
        <v/>
      </c>
      <c r="B532" s="32">
        <f>TRIM(INDEX('Form Responses'!$B:$B,ROW())&amp;"")</f>
        <v/>
      </c>
      <c r="C532" s="32">
        <f>IF(B532="","",TRIM(INDEX('Form Responses'!$C:$C,ROW())&amp;""))</f>
        <v/>
      </c>
      <c r="D532" s="32">
        <f>SUBSTITUTE(SUBSTITUTE(SUBSTITUTE(SUBSTITUTE(SUBSTITUTE(SUBSTITUTE(SUBSTITUTE(SUBSTITUTE(C532," ",""),"-",""),"(",""),")",""),".",""),"+",""),"/",""),CHAR(160),"")</f>
        <v/>
      </c>
      <c r="E532" s="32">
        <f>IF(LEN(D532)&gt;=10,RIGHT(D532,10),D532)</f>
        <v/>
      </c>
      <c r="F532" s="32">
        <f>IF(B532="","",TRIM(INDEX('Form Responses'!$D:$D,ROW())&amp;""))</f>
        <v/>
      </c>
      <c r="G532" s="32">
        <f>IF(B532="","",IF(LEFT(TRIM(INDEX('Form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2" s="32">
        <f>IF(B532="","",MAX(0,IFERROR(INT(--(INDEX('Form Responses'!$F:$F,ROW())&amp;"")),1)))</f>
        <v/>
      </c>
      <c r="I532" s="32">
        <f>IF(B532="","",MAX(0,IFERROR(INT(--(INDEX('Form Responses'!$G:$G,ROW())&amp;"")),0)))</f>
        <v/>
      </c>
      <c r="J532" s="32">
        <f>IF(B532="","",TRIM(INDEX('Form Responses'!$H:$H,ROW())&amp;""))</f>
        <v/>
      </c>
      <c r="K532" s="32">
        <f>IF(B532="","",TRIM(INDEX('Form Responses'!$I:$I,ROW())&amp;""))</f>
        <v/>
      </c>
      <c r="L532" s="32">
        <f>IF(B532="","",TRIM(INDEX('Form Responses'!$J:$J,ROW())&amp;""))</f>
        <v/>
      </c>
      <c r="M532" s="32">
        <f>IF(B532="","",TRIM(INDEX('Form Responses'!$K:$K,ROW())&amp;""))</f>
        <v/>
      </c>
      <c r="N532" s="32">
        <f>IF(B532="","",IF(E532&lt;&gt;"","P"&amp;E532,"N"&amp;B532))</f>
        <v/>
      </c>
      <c r="O532" s="32">
        <f>IF(N532="",0,IF(COUNTIF(N533:N$602,N532)=0,1,0))</f>
        <v/>
      </c>
      <c r="P532" s="32">
        <f>IF(AND(O532=1,E532&lt;&gt;""),E532,"")</f>
        <v/>
      </c>
      <c r="Q532" s="32">
        <f>IF(O532=1,B532,"")</f>
        <v/>
      </c>
      <c r="R532" s="32">
        <f>IF(O532&lt;&gt;1,"",IF(E532&lt;&gt;"",IFERROR(MATCH(E532,Guests!$S$6:$S$505,0)+5,IFERROR(MATCH(B532,Guests!$A$6:$A$505,0)+5,"")),IFERROR(MATCH(B532,Guests!$A$6:$A$505,0)+5,"")))</f>
        <v/>
      </c>
      <c r="S532" s="32">
        <f>IF(R532="","",TRIM(INDEX(Guests!$E$1:$E$505,R532)&amp;""))</f>
        <v/>
      </c>
      <c r="T532" s="32">
        <f>IF(R532="","",IF(S532="",1,COUNTIF(Guests!$E$6:$E$505,S532)))</f>
        <v/>
      </c>
      <c r="U532" s="32">
        <f>IF(R532="","",IF(S532="",1,IF(COUNTIF(S$1:S531,S532)=0,1,0)))</f>
        <v/>
      </c>
      <c r="V532" s="32">
        <f>IF(AND(R532&lt;&gt;"",G532="Attending",U532=1),MAX(0,H532+I532-T532),0)</f>
        <v/>
      </c>
      <c r="W532" s="32">
        <f>IF(AND(O532=1,R532=""),1,0)</f>
        <v/>
      </c>
      <c r="X532" s="32">
        <f>IF(B532="",0,H532+I532)</f>
        <v/>
      </c>
      <c r="Y532" s="32">
        <f>N(Y531)+O532</f>
        <v/>
      </c>
      <c r="Z532" s="32">
        <f>IF(O532=1,Y532,"")</f>
        <v/>
      </c>
      <c r="AA532" s="32">
        <f>IF(AND(W532=1,G532="Not sure yet"),1,0)</f>
        <v/>
      </c>
      <c r="AB532" s="32">
        <f>N(AB531)+AA532</f>
        <v/>
      </c>
      <c r="AC532" s="32">
        <f>IF(AA532=1,AB532,"")</f>
        <v/>
      </c>
      <c r="AD532" s="32">
        <f>IF(D532="","",IF(LEN(D532)=10,"+1"&amp;D532,IF(AND(LEN(D532)=11,LEFT(D532,1)="1"),"+"&amp;D532,IF(LEFT(C532,1)="+","+"&amp;D532,D532))))</f>
        <v/>
      </c>
      <c r="AE532" s="32">
        <f>IF(B532="","",PROPER(IFERROR(LEFT(B532,FIND(" ",B532)-1),B532)))</f>
        <v/>
      </c>
      <c r="AF532" s="32">
        <f>SUBSTITUTE(SUBSTITUTE(SUBSTITUTE(SUBSTITUTE(SUBSTITUTE(SUBSTITUTE(SUBSTITUTE(SUBSTITUTE(SUBSTITUTE(SUBSTITUTE(AE532,"%","%25"),"&amp;","%26"),"#","%23"),"+","%2B"),"=","%3D"),"?","%3F"),CHAR(34),"%22"),CHAR(10),"%0A"),CHAR(13),"")," ","+")</f>
        <v/>
      </c>
      <c r="AG532" s="32">
        <f>IF(OR(AD532="",AE532=""),"",'Start Here'!$B$20&amp;"#p="&amp;SUBSTITUTE(AD532,"+","%2B")&amp;"&amp;n="&amp;AF532&amp;"&amp;m="&amp;SUBSTITUTE('Start Here'!$B$24,"{name}",AF532))</f>
        <v/>
      </c>
      <c r="AH532" s="32">
        <f>N(AH531)+W532</f>
        <v/>
      </c>
      <c r="AI532" s="32">
        <f>IF(W532=1,AH532,"")</f>
        <v/>
      </c>
    </row>
    <row r="533">
      <c r="A533" s="32">
        <f>IF(INDEX('Form Responses'!$A:$A,ROW())="","",INDEX('Form Responses'!$A:$A,ROW()))</f>
        <v/>
      </c>
      <c r="B533" s="32">
        <f>TRIM(INDEX('Form Responses'!$B:$B,ROW())&amp;"")</f>
        <v/>
      </c>
      <c r="C533" s="32">
        <f>IF(B533="","",TRIM(INDEX('Form Responses'!$C:$C,ROW())&amp;""))</f>
        <v/>
      </c>
      <c r="D533" s="32">
        <f>SUBSTITUTE(SUBSTITUTE(SUBSTITUTE(SUBSTITUTE(SUBSTITUTE(SUBSTITUTE(SUBSTITUTE(SUBSTITUTE(C533," ",""),"-",""),"(",""),")",""),".",""),"+",""),"/",""),CHAR(160),"")</f>
        <v/>
      </c>
      <c r="E533" s="32">
        <f>IF(LEN(D533)&gt;=10,RIGHT(D533,10),D533)</f>
        <v/>
      </c>
      <c r="F533" s="32">
        <f>IF(B533="","",TRIM(INDEX('Form Responses'!$D:$D,ROW())&amp;""))</f>
        <v/>
      </c>
      <c r="G533" s="32">
        <f>IF(B533="","",IF(LEFT(TRIM(INDEX('Form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3" s="32">
        <f>IF(B533="","",MAX(0,IFERROR(INT(--(INDEX('Form Responses'!$F:$F,ROW())&amp;"")),1)))</f>
        <v/>
      </c>
      <c r="I533" s="32">
        <f>IF(B533="","",MAX(0,IFERROR(INT(--(INDEX('Form Responses'!$G:$G,ROW())&amp;"")),0)))</f>
        <v/>
      </c>
      <c r="J533" s="32">
        <f>IF(B533="","",TRIM(INDEX('Form Responses'!$H:$H,ROW())&amp;""))</f>
        <v/>
      </c>
      <c r="K533" s="32">
        <f>IF(B533="","",TRIM(INDEX('Form Responses'!$I:$I,ROW())&amp;""))</f>
        <v/>
      </c>
      <c r="L533" s="32">
        <f>IF(B533="","",TRIM(INDEX('Form Responses'!$J:$J,ROW())&amp;""))</f>
        <v/>
      </c>
      <c r="M533" s="32">
        <f>IF(B533="","",TRIM(INDEX('Form Responses'!$K:$K,ROW())&amp;""))</f>
        <v/>
      </c>
      <c r="N533" s="32">
        <f>IF(B533="","",IF(E533&lt;&gt;"","P"&amp;E533,"N"&amp;B533))</f>
        <v/>
      </c>
      <c r="O533" s="32">
        <f>IF(N533="",0,IF(COUNTIF(N534:N$602,N533)=0,1,0))</f>
        <v/>
      </c>
      <c r="P533" s="32">
        <f>IF(AND(O533=1,E533&lt;&gt;""),E533,"")</f>
        <v/>
      </c>
      <c r="Q533" s="32">
        <f>IF(O533=1,B533,"")</f>
        <v/>
      </c>
      <c r="R533" s="32">
        <f>IF(O533&lt;&gt;1,"",IF(E533&lt;&gt;"",IFERROR(MATCH(E533,Guests!$S$6:$S$505,0)+5,IFERROR(MATCH(B533,Guests!$A$6:$A$505,0)+5,"")),IFERROR(MATCH(B533,Guests!$A$6:$A$505,0)+5,"")))</f>
        <v/>
      </c>
      <c r="S533" s="32">
        <f>IF(R533="","",TRIM(INDEX(Guests!$E$1:$E$505,R533)&amp;""))</f>
        <v/>
      </c>
      <c r="T533" s="32">
        <f>IF(R533="","",IF(S533="",1,COUNTIF(Guests!$E$6:$E$505,S533)))</f>
        <v/>
      </c>
      <c r="U533" s="32">
        <f>IF(R533="","",IF(S533="",1,IF(COUNTIF(S$1:S532,S533)=0,1,0)))</f>
        <v/>
      </c>
      <c r="V533" s="32">
        <f>IF(AND(R533&lt;&gt;"",G533="Attending",U533=1),MAX(0,H533+I533-T533),0)</f>
        <v/>
      </c>
      <c r="W533" s="32">
        <f>IF(AND(O533=1,R533=""),1,0)</f>
        <v/>
      </c>
      <c r="X533" s="32">
        <f>IF(B533="",0,H533+I533)</f>
        <v/>
      </c>
      <c r="Y533" s="32">
        <f>N(Y532)+O533</f>
        <v/>
      </c>
      <c r="Z533" s="32">
        <f>IF(O533=1,Y533,"")</f>
        <v/>
      </c>
      <c r="AA533" s="32">
        <f>IF(AND(W533=1,G533="Not sure yet"),1,0)</f>
        <v/>
      </c>
      <c r="AB533" s="32">
        <f>N(AB532)+AA533</f>
        <v/>
      </c>
      <c r="AC533" s="32">
        <f>IF(AA533=1,AB533,"")</f>
        <v/>
      </c>
      <c r="AD533" s="32">
        <f>IF(D533="","",IF(LEN(D533)=10,"+1"&amp;D533,IF(AND(LEN(D533)=11,LEFT(D533,1)="1"),"+"&amp;D533,IF(LEFT(C533,1)="+","+"&amp;D533,D533))))</f>
        <v/>
      </c>
      <c r="AE533" s="32">
        <f>IF(B533="","",PROPER(IFERROR(LEFT(B533,FIND(" ",B533)-1),B533)))</f>
        <v/>
      </c>
      <c r="AF533" s="32">
        <f>SUBSTITUTE(SUBSTITUTE(SUBSTITUTE(SUBSTITUTE(SUBSTITUTE(SUBSTITUTE(SUBSTITUTE(SUBSTITUTE(SUBSTITUTE(SUBSTITUTE(AE533,"%","%25"),"&amp;","%26"),"#","%23"),"+","%2B"),"=","%3D"),"?","%3F"),CHAR(34),"%22"),CHAR(10),"%0A"),CHAR(13),"")," ","+")</f>
        <v/>
      </c>
      <c r="AG533" s="32">
        <f>IF(OR(AD533="",AE533=""),"",'Start Here'!$B$20&amp;"#p="&amp;SUBSTITUTE(AD533,"+","%2B")&amp;"&amp;n="&amp;AF533&amp;"&amp;m="&amp;SUBSTITUTE('Start Here'!$B$24,"{name}",AF533))</f>
        <v/>
      </c>
      <c r="AH533" s="32">
        <f>N(AH532)+W533</f>
        <v/>
      </c>
      <c r="AI533" s="32">
        <f>IF(W533=1,AH533,"")</f>
        <v/>
      </c>
    </row>
    <row r="534">
      <c r="A534" s="32">
        <f>IF(INDEX('Form Responses'!$A:$A,ROW())="","",INDEX('Form Responses'!$A:$A,ROW()))</f>
        <v/>
      </c>
      <c r="B534" s="32">
        <f>TRIM(INDEX('Form Responses'!$B:$B,ROW())&amp;"")</f>
        <v/>
      </c>
      <c r="C534" s="32">
        <f>IF(B534="","",TRIM(INDEX('Form Responses'!$C:$C,ROW())&amp;""))</f>
        <v/>
      </c>
      <c r="D534" s="32">
        <f>SUBSTITUTE(SUBSTITUTE(SUBSTITUTE(SUBSTITUTE(SUBSTITUTE(SUBSTITUTE(SUBSTITUTE(SUBSTITUTE(C534," ",""),"-",""),"(",""),")",""),".",""),"+",""),"/",""),CHAR(160),"")</f>
        <v/>
      </c>
      <c r="E534" s="32">
        <f>IF(LEN(D534)&gt;=10,RIGHT(D534,10),D534)</f>
        <v/>
      </c>
      <c r="F534" s="32">
        <f>IF(B534="","",TRIM(INDEX('Form Responses'!$D:$D,ROW())&amp;""))</f>
        <v/>
      </c>
      <c r="G534" s="32">
        <f>IF(B534="","",IF(LEFT(TRIM(INDEX('Form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4" s="32">
        <f>IF(B534="","",MAX(0,IFERROR(INT(--(INDEX('Form Responses'!$F:$F,ROW())&amp;"")),1)))</f>
        <v/>
      </c>
      <c r="I534" s="32">
        <f>IF(B534="","",MAX(0,IFERROR(INT(--(INDEX('Form Responses'!$G:$G,ROW())&amp;"")),0)))</f>
        <v/>
      </c>
      <c r="J534" s="32">
        <f>IF(B534="","",TRIM(INDEX('Form Responses'!$H:$H,ROW())&amp;""))</f>
        <v/>
      </c>
      <c r="K534" s="32">
        <f>IF(B534="","",TRIM(INDEX('Form Responses'!$I:$I,ROW())&amp;""))</f>
        <v/>
      </c>
      <c r="L534" s="32">
        <f>IF(B534="","",TRIM(INDEX('Form Responses'!$J:$J,ROW())&amp;""))</f>
        <v/>
      </c>
      <c r="M534" s="32">
        <f>IF(B534="","",TRIM(INDEX('Form Responses'!$K:$K,ROW())&amp;""))</f>
        <v/>
      </c>
      <c r="N534" s="32">
        <f>IF(B534="","",IF(E534&lt;&gt;"","P"&amp;E534,"N"&amp;B534))</f>
        <v/>
      </c>
      <c r="O534" s="32">
        <f>IF(N534="",0,IF(COUNTIF(N535:N$602,N534)=0,1,0))</f>
        <v/>
      </c>
      <c r="P534" s="32">
        <f>IF(AND(O534=1,E534&lt;&gt;""),E534,"")</f>
        <v/>
      </c>
      <c r="Q534" s="32">
        <f>IF(O534=1,B534,"")</f>
        <v/>
      </c>
      <c r="R534" s="32">
        <f>IF(O534&lt;&gt;1,"",IF(E534&lt;&gt;"",IFERROR(MATCH(E534,Guests!$S$6:$S$505,0)+5,IFERROR(MATCH(B534,Guests!$A$6:$A$505,0)+5,"")),IFERROR(MATCH(B534,Guests!$A$6:$A$505,0)+5,"")))</f>
        <v/>
      </c>
      <c r="S534" s="32">
        <f>IF(R534="","",TRIM(INDEX(Guests!$E$1:$E$505,R534)&amp;""))</f>
        <v/>
      </c>
      <c r="T534" s="32">
        <f>IF(R534="","",IF(S534="",1,COUNTIF(Guests!$E$6:$E$505,S534)))</f>
        <v/>
      </c>
      <c r="U534" s="32">
        <f>IF(R534="","",IF(S534="",1,IF(COUNTIF(S$1:S533,S534)=0,1,0)))</f>
        <v/>
      </c>
      <c r="V534" s="32">
        <f>IF(AND(R534&lt;&gt;"",G534="Attending",U534=1),MAX(0,H534+I534-T534),0)</f>
        <v/>
      </c>
      <c r="W534" s="32">
        <f>IF(AND(O534=1,R534=""),1,0)</f>
        <v/>
      </c>
      <c r="X534" s="32">
        <f>IF(B534="",0,H534+I534)</f>
        <v/>
      </c>
      <c r="Y534" s="32">
        <f>N(Y533)+O534</f>
        <v/>
      </c>
      <c r="Z534" s="32">
        <f>IF(O534=1,Y534,"")</f>
        <v/>
      </c>
      <c r="AA534" s="32">
        <f>IF(AND(W534=1,G534="Not sure yet"),1,0)</f>
        <v/>
      </c>
      <c r="AB534" s="32">
        <f>N(AB533)+AA534</f>
        <v/>
      </c>
      <c r="AC534" s="32">
        <f>IF(AA534=1,AB534,"")</f>
        <v/>
      </c>
      <c r="AD534" s="32">
        <f>IF(D534="","",IF(LEN(D534)=10,"+1"&amp;D534,IF(AND(LEN(D534)=11,LEFT(D534,1)="1"),"+"&amp;D534,IF(LEFT(C534,1)="+","+"&amp;D534,D534))))</f>
        <v/>
      </c>
      <c r="AE534" s="32">
        <f>IF(B534="","",PROPER(IFERROR(LEFT(B534,FIND(" ",B534)-1),B534)))</f>
        <v/>
      </c>
      <c r="AF534" s="32">
        <f>SUBSTITUTE(SUBSTITUTE(SUBSTITUTE(SUBSTITUTE(SUBSTITUTE(SUBSTITUTE(SUBSTITUTE(SUBSTITUTE(SUBSTITUTE(SUBSTITUTE(AE534,"%","%25"),"&amp;","%26"),"#","%23"),"+","%2B"),"=","%3D"),"?","%3F"),CHAR(34),"%22"),CHAR(10),"%0A"),CHAR(13),"")," ","+")</f>
        <v/>
      </c>
      <c r="AG534" s="32">
        <f>IF(OR(AD534="",AE534=""),"",'Start Here'!$B$20&amp;"#p="&amp;SUBSTITUTE(AD534,"+","%2B")&amp;"&amp;n="&amp;AF534&amp;"&amp;m="&amp;SUBSTITUTE('Start Here'!$B$24,"{name}",AF534))</f>
        <v/>
      </c>
      <c r="AH534" s="32">
        <f>N(AH533)+W534</f>
        <v/>
      </c>
      <c r="AI534" s="32">
        <f>IF(W534=1,AH534,"")</f>
        <v/>
      </c>
    </row>
    <row r="535">
      <c r="A535" s="32">
        <f>IF(INDEX('Form Responses'!$A:$A,ROW())="","",INDEX('Form Responses'!$A:$A,ROW()))</f>
        <v/>
      </c>
      <c r="B535" s="32">
        <f>TRIM(INDEX('Form Responses'!$B:$B,ROW())&amp;"")</f>
        <v/>
      </c>
      <c r="C535" s="32">
        <f>IF(B535="","",TRIM(INDEX('Form Responses'!$C:$C,ROW())&amp;""))</f>
        <v/>
      </c>
      <c r="D535" s="32">
        <f>SUBSTITUTE(SUBSTITUTE(SUBSTITUTE(SUBSTITUTE(SUBSTITUTE(SUBSTITUTE(SUBSTITUTE(SUBSTITUTE(C535," ",""),"-",""),"(",""),")",""),".",""),"+",""),"/",""),CHAR(160),"")</f>
        <v/>
      </c>
      <c r="E535" s="32">
        <f>IF(LEN(D535)&gt;=10,RIGHT(D535,10),D535)</f>
        <v/>
      </c>
      <c r="F535" s="32">
        <f>IF(B535="","",TRIM(INDEX('Form Responses'!$D:$D,ROW())&amp;""))</f>
        <v/>
      </c>
      <c r="G535" s="32">
        <f>IF(B535="","",IF(LEFT(TRIM(INDEX('Form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5" s="32">
        <f>IF(B535="","",MAX(0,IFERROR(INT(--(INDEX('Form Responses'!$F:$F,ROW())&amp;"")),1)))</f>
        <v/>
      </c>
      <c r="I535" s="32">
        <f>IF(B535="","",MAX(0,IFERROR(INT(--(INDEX('Form Responses'!$G:$G,ROW())&amp;"")),0)))</f>
        <v/>
      </c>
      <c r="J535" s="32">
        <f>IF(B535="","",TRIM(INDEX('Form Responses'!$H:$H,ROW())&amp;""))</f>
        <v/>
      </c>
      <c r="K535" s="32">
        <f>IF(B535="","",TRIM(INDEX('Form Responses'!$I:$I,ROW())&amp;""))</f>
        <v/>
      </c>
      <c r="L535" s="32">
        <f>IF(B535="","",TRIM(INDEX('Form Responses'!$J:$J,ROW())&amp;""))</f>
        <v/>
      </c>
      <c r="M535" s="32">
        <f>IF(B535="","",TRIM(INDEX('Form Responses'!$K:$K,ROW())&amp;""))</f>
        <v/>
      </c>
      <c r="N535" s="32">
        <f>IF(B535="","",IF(E535&lt;&gt;"","P"&amp;E535,"N"&amp;B535))</f>
        <v/>
      </c>
      <c r="O535" s="32">
        <f>IF(N535="",0,IF(COUNTIF(N536:N$602,N535)=0,1,0))</f>
        <v/>
      </c>
      <c r="P535" s="32">
        <f>IF(AND(O535=1,E535&lt;&gt;""),E535,"")</f>
        <v/>
      </c>
      <c r="Q535" s="32">
        <f>IF(O535=1,B535,"")</f>
        <v/>
      </c>
      <c r="R535" s="32">
        <f>IF(O535&lt;&gt;1,"",IF(E535&lt;&gt;"",IFERROR(MATCH(E535,Guests!$S$6:$S$505,0)+5,IFERROR(MATCH(B535,Guests!$A$6:$A$505,0)+5,"")),IFERROR(MATCH(B535,Guests!$A$6:$A$505,0)+5,"")))</f>
        <v/>
      </c>
      <c r="S535" s="32">
        <f>IF(R535="","",TRIM(INDEX(Guests!$E$1:$E$505,R535)&amp;""))</f>
        <v/>
      </c>
      <c r="T535" s="32">
        <f>IF(R535="","",IF(S535="",1,COUNTIF(Guests!$E$6:$E$505,S535)))</f>
        <v/>
      </c>
      <c r="U535" s="32">
        <f>IF(R535="","",IF(S535="",1,IF(COUNTIF(S$1:S534,S535)=0,1,0)))</f>
        <v/>
      </c>
      <c r="V535" s="32">
        <f>IF(AND(R535&lt;&gt;"",G535="Attending",U535=1),MAX(0,H535+I535-T535),0)</f>
        <v/>
      </c>
      <c r="W535" s="32">
        <f>IF(AND(O535=1,R535=""),1,0)</f>
        <v/>
      </c>
      <c r="X535" s="32">
        <f>IF(B535="",0,H535+I535)</f>
        <v/>
      </c>
      <c r="Y535" s="32">
        <f>N(Y534)+O535</f>
        <v/>
      </c>
      <c r="Z535" s="32">
        <f>IF(O535=1,Y535,"")</f>
        <v/>
      </c>
      <c r="AA535" s="32">
        <f>IF(AND(W535=1,G535="Not sure yet"),1,0)</f>
        <v/>
      </c>
      <c r="AB535" s="32">
        <f>N(AB534)+AA535</f>
        <v/>
      </c>
      <c r="AC535" s="32">
        <f>IF(AA535=1,AB535,"")</f>
        <v/>
      </c>
      <c r="AD535" s="32">
        <f>IF(D535="","",IF(LEN(D535)=10,"+1"&amp;D535,IF(AND(LEN(D535)=11,LEFT(D535,1)="1"),"+"&amp;D535,IF(LEFT(C535,1)="+","+"&amp;D535,D535))))</f>
        <v/>
      </c>
      <c r="AE535" s="32">
        <f>IF(B535="","",PROPER(IFERROR(LEFT(B535,FIND(" ",B535)-1),B535)))</f>
        <v/>
      </c>
      <c r="AF535" s="32">
        <f>SUBSTITUTE(SUBSTITUTE(SUBSTITUTE(SUBSTITUTE(SUBSTITUTE(SUBSTITUTE(SUBSTITUTE(SUBSTITUTE(SUBSTITUTE(SUBSTITUTE(AE535,"%","%25"),"&amp;","%26"),"#","%23"),"+","%2B"),"=","%3D"),"?","%3F"),CHAR(34),"%22"),CHAR(10),"%0A"),CHAR(13),"")," ","+")</f>
        <v/>
      </c>
      <c r="AG535" s="32">
        <f>IF(OR(AD535="",AE535=""),"",'Start Here'!$B$20&amp;"#p="&amp;SUBSTITUTE(AD535,"+","%2B")&amp;"&amp;n="&amp;AF535&amp;"&amp;m="&amp;SUBSTITUTE('Start Here'!$B$24,"{name}",AF535))</f>
        <v/>
      </c>
      <c r="AH535" s="32">
        <f>N(AH534)+W535</f>
        <v/>
      </c>
      <c r="AI535" s="32">
        <f>IF(W535=1,AH535,"")</f>
        <v/>
      </c>
    </row>
    <row r="536">
      <c r="A536" s="32">
        <f>IF(INDEX('Form Responses'!$A:$A,ROW())="","",INDEX('Form Responses'!$A:$A,ROW()))</f>
        <v/>
      </c>
      <c r="B536" s="32">
        <f>TRIM(INDEX('Form Responses'!$B:$B,ROW())&amp;"")</f>
        <v/>
      </c>
      <c r="C536" s="32">
        <f>IF(B536="","",TRIM(INDEX('Form Responses'!$C:$C,ROW())&amp;""))</f>
        <v/>
      </c>
      <c r="D536" s="32">
        <f>SUBSTITUTE(SUBSTITUTE(SUBSTITUTE(SUBSTITUTE(SUBSTITUTE(SUBSTITUTE(SUBSTITUTE(SUBSTITUTE(C536," ",""),"-",""),"(",""),")",""),".",""),"+",""),"/",""),CHAR(160),"")</f>
        <v/>
      </c>
      <c r="E536" s="32">
        <f>IF(LEN(D536)&gt;=10,RIGHT(D536,10),D536)</f>
        <v/>
      </c>
      <c r="F536" s="32">
        <f>IF(B536="","",TRIM(INDEX('Form Responses'!$D:$D,ROW())&amp;""))</f>
        <v/>
      </c>
      <c r="G536" s="32">
        <f>IF(B536="","",IF(LEFT(TRIM(INDEX('Form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6" s="32">
        <f>IF(B536="","",MAX(0,IFERROR(INT(--(INDEX('Form Responses'!$F:$F,ROW())&amp;"")),1)))</f>
        <v/>
      </c>
      <c r="I536" s="32">
        <f>IF(B536="","",MAX(0,IFERROR(INT(--(INDEX('Form Responses'!$G:$G,ROW())&amp;"")),0)))</f>
        <v/>
      </c>
      <c r="J536" s="32">
        <f>IF(B536="","",TRIM(INDEX('Form Responses'!$H:$H,ROW())&amp;""))</f>
        <v/>
      </c>
      <c r="K536" s="32">
        <f>IF(B536="","",TRIM(INDEX('Form Responses'!$I:$I,ROW())&amp;""))</f>
        <v/>
      </c>
      <c r="L536" s="32">
        <f>IF(B536="","",TRIM(INDEX('Form Responses'!$J:$J,ROW())&amp;""))</f>
        <v/>
      </c>
      <c r="M536" s="32">
        <f>IF(B536="","",TRIM(INDEX('Form Responses'!$K:$K,ROW())&amp;""))</f>
        <v/>
      </c>
      <c r="N536" s="32">
        <f>IF(B536="","",IF(E536&lt;&gt;"","P"&amp;E536,"N"&amp;B536))</f>
        <v/>
      </c>
      <c r="O536" s="32">
        <f>IF(N536="",0,IF(COUNTIF(N537:N$602,N536)=0,1,0))</f>
        <v/>
      </c>
      <c r="P536" s="32">
        <f>IF(AND(O536=1,E536&lt;&gt;""),E536,"")</f>
        <v/>
      </c>
      <c r="Q536" s="32">
        <f>IF(O536=1,B536,"")</f>
        <v/>
      </c>
      <c r="R536" s="32">
        <f>IF(O536&lt;&gt;1,"",IF(E536&lt;&gt;"",IFERROR(MATCH(E536,Guests!$S$6:$S$505,0)+5,IFERROR(MATCH(B536,Guests!$A$6:$A$505,0)+5,"")),IFERROR(MATCH(B536,Guests!$A$6:$A$505,0)+5,"")))</f>
        <v/>
      </c>
      <c r="S536" s="32">
        <f>IF(R536="","",TRIM(INDEX(Guests!$E$1:$E$505,R536)&amp;""))</f>
        <v/>
      </c>
      <c r="T536" s="32">
        <f>IF(R536="","",IF(S536="",1,COUNTIF(Guests!$E$6:$E$505,S536)))</f>
        <v/>
      </c>
      <c r="U536" s="32">
        <f>IF(R536="","",IF(S536="",1,IF(COUNTIF(S$1:S535,S536)=0,1,0)))</f>
        <v/>
      </c>
      <c r="V536" s="32">
        <f>IF(AND(R536&lt;&gt;"",G536="Attending",U536=1),MAX(0,H536+I536-T536),0)</f>
        <v/>
      </c>
      <c r="W536" s="32">
        <f>IF(AND(O536=1,R536=""),1,0)</f>
        <v/>
      </c>
      <c r="X536" s="32">
        <f>IF(B536="",0,H536+I536)</f>
        <v/>
      </c>
      <c r="Y536" s="32">
        <f>N(Y535)+O536</f>
        <v/>
      </c>
      <c r="Z536" s="32">
        <f>IF(O536=1,Y536,"")</f>
        <v/>
      </c>
      <c r="AA536" s="32">
        <f>IF(AND(W536=1,G536="Not sure yet"),1,0)</f>
        <v/>
      </c>
      <c r="AB536" s="32">
        <f>N(AB535)+AA536</f>
        <v/>
      </c>
      <c r="AC536" s="32">
        <f>IF(AA536=1,AB536,"")</f>
        <v/>
      </c>
      <c r="AD536" s="32">
        <f>IF(D536="","",IF(LEN(D536)=10,"+1"&amp;D536,IF(AND(LEN(D536)=11,LEFT(D536,1)="1"),"+"&amp;D536,IF(LEFT(C536,1)="+","+"&amp;D536,D536))))</f>
        <v/>
      </c>
      <c r="AE536" s="32">
        <f>IF(B536="","",PROPER(IFERROR(LEFT(B536,FIND(" ",B536)-1),B536)))</f>
        <v/>
      </c>
      <c r="AF536" s="32">
        <f>SUBSTITUTE(SUBSTITUTE(SUBSTITUTE(SUBSTITUTE(SUBSTITUTE(SUBSTITUTE(SUBSTITUTE(SUBSTITUTE(SUBSTITUTE(SUBSTITUTE(AE536,"%","%25"),"&amp;","%26"),"#","%23"),"+","%2B"),"=","%3D"),"?","%3F"),CHAR(34),"%22"),CHAR(10),"%0A"),CHAR(13),"")," ","+")</f>
        <v/>
      </c>
      <c r="AG536" s="32">
        <f>IF(OR(AD536="",AE536=""),"",'Start Here'!$B$20&amp;"#p="&amp;SUBSTITUTE(AD536,"+","%2B")&amp;"&amp;n="&amp;AF536&amp;"&amp;m="&amp;SUBSTITUTE('Start Here'!$B$24,"{name}",AF536))</f>
        <v/>
      </c>
      <c r="AH536" s="32">
        <f>N(AH535)+W536</f>
        <v/>
      </c>
      <c r="AI536" s="32">
        <f>IF(W536=1,AH536,"")</f>
        <v/>
      </c>
    </row>
    <row r="537">
      <c r="A537" s="32">
        <f>IF(INDEX('Form Responses'!$A:$A,ROW())="","",INDEX('Form Responses'!$A:$A,ROW()))</f>
        <v/>
      </c>
      <c r="B537" s="32">
        <f>TRIM(INDEX('Form Responses'!$B:$B,ROW())&amp;"")</f>
        <v/>
      </c>
      <c r="C537" s="32">
        <f>IF(B537="","",TRIM(INDEX('Form Responses'!$C:$C,ROW())&amp;""))</f>
        <v/>
      </c>
      <c r="D537" s="32">
        <f>SUBSTITUTE(SUBSTITUTE(SUBSTITUTE(SUBSTITUTE(SUBSTITUTE(SUBSTITUTE(SUBSTITUTE(SUBSTITUTE(C537," ",""),"-",""),"(",""),")",""),".",""),"+",""),"/",""),CHAR(160),"")</f>
        <v/>
      </c>
      <c r="E537" s="32">
        <f>IF(LEN(D537)&gt;=10,RIGHT(D537,10),D537)</f>
        <v/>
      </c>
      <c r="F537" s="32">
        <f>IF(B537="","",TRIM(INDEX('Form Responses'!$D:$D,ROW())&amp;""))</f>
        <v/>
      </c>
      <c r="G537" s="32">
        <f>IF(B537="","",IF(LEFT(TRIM(INDEX('Form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7" s="32">
        <f>IF(B537="","",MAX(0,IFERROR(INT(--(INDEX('Form Responses'!$F:$F,ROW())&amp;"")),1)))</f>
        <v/>
      </c>
      <c r="I537" s="32">
        <f>IF(B537="","",MAX(0,IFERROR(INT(--(INDEX('Form Responses'!$G:$G,ROW())&amp;"")),0)))</f>
        <v/>
      </c>
      <c r="J537" s="32">
        <f>IF(B537="","",TRIM(INDEX('Form Responses'!$H:$H,ROW())&amp;""))</f>
        <v/>
      </c>
      <c r="K537" s="32">
        <f>IF(B537="","",TRIM(INDEX('Form Responses'!$I:$I,ROW())&amp;""))</f>
        <v/>
      </c>
      <c r="L537" s="32">
        <f>IF(B537="","",TRIM(INDEX('Form Responses'!$J:$J,ROW())&amp;""))</f>
        <v/>
      </c>
      <c r="M537" s="32">
        <f>IF(B537="","",TRIM(INDEX('Form Responses'!$K:$K,ROW())&amp;""))</f>
        <v/>
      </c>
      <c r="N537" s="32">
        <f>IF(B537="","",IF(E537&lt;&gt;"","P"&amp;E537,"N"&amp;B537))</f>
        <v/>
      </c>
      <c r="O537" s="32">
        <f>IF(N537="",0,IF(COUNTIF(N538:N$602,N537)=0,1,0))</f>
        <v/>
      </c>
      <c r="P537" s="32">
        <f>IF(AND(O537=1,E537&lt;&gt;""),E537,"")</f>
        <v/>
      </c>
      <c r="Q537" s="32">
        <f>IF(O537=1,B537,"")</f>
        <v/>
      </c>
      <c r="R537" s="32">
        <f>IF(O537&lt;&gt;1,"",IF(E537&lt;&gt;"",IFERROR(MATCH(E537,Guests!$S$6:$S$505,0)+5,IFERROR(MATCH(B537,Guests!$A$6:$A$505,0)+5,"")),IFERROR(MATCH(B537,Guests!$A$6:$A$505,0)+5,"")))</f>
        <v/>
      </c>
      <c r="S537" s="32">
        <f>IF(R537="","",TRIM(INDEX(Guests!$E$1:$E$505,R537)&amp;""))</f>
        <v/>
      </c>
      <c r="T537" s="32">
        <f>IF(R537="","",IF(S537="",1,COUNTIF(Guests!$E$6:$E$505,S537)))</f>
        <v/>
      </c>
      <c r="U537" s="32">
        <f>IF(R537="","",IF(S537="",1,IF(COUNTIF(S$1:S536,S537)=0,1,0)))</f>
        <v/>
      </c>
      <c r="V537" s="32">
        <f>IF(AND(R537&lt;&gt;"",G537="Attending",U537=1),MAX(0,H537+I537-T537),0)</f>
        <v/>
      </c>
      <c r="W537" s="32">
        <f>IF(AND(O537=1,R537=""),1,0)</f>
        <v/>
      </c>
      <c r="X537" s="32">
        <f>IF(B537="",0,H537+I537)</f>
        <v/>
      </c>
      <c r="Y537" s="32">
        <f>N(Y536)+O537</f>
        <v/>
      </c>
      <c r="Z537" s="32">
        <f>IF(O537=1,Y537,"")</f>
        <v/>
      </c>
      <c r="AA537" s="32">
        <f>IF(AND(W537=1,G537="Not sure yet"),1,0)</f>
        <v/>
      </c>
      <c r="AB537" s="32">
        <f>N(AB536)+AA537</f>
        <v/>
      </c>
      <c r="AC537" s="32">
        <f>IF(AA537=1,AB537,"")</f>
        <v/>
      </c>
      <c r="AD537" s="32">
        <f>IF(D537="","",IF(LEN(D537)=10,"+1"&amp;D537,IF(AND(LEN(D537)=11,LEFT(D537,1)="1"),"+"&amp;D537,IF(LEFT(C537,1)="+","+"&amp;D537,D537))))</f>
        <v/>
      </c>
      <c r="AE537" s="32">
        <f>IF(B537="","",PROPER(IFERROR(LEFT(B537,FIND(" ",B537)-1),B537)))</f>
        <v/>
      </c>
      <c r="AF537" s="32">
        <f>SUBSTITUTE(SUBSTITUTE(SUBSTITUTE(SUBSTITUTE(SUBSTITUTE(SUBSTITUTE(SUBSTITUTE(SUBSTITUTE(SUBSTITUTE(SUBSTITUTE(AE537,"%","%25"),"&amp;","%26"),"#","%23"),"+","%2B"),"=","%3D"),"?","%3F"),CHAR(34),"%22"),CHAR(10),"%0A"),CHAR(13),"")," ","+")</f>
        <v/>
      </c>
      <c r="AG537" s="32">
        <f>IF(OR(AD537="",AE537=""),"",'Start Here'!$B$20&amp;"#p="&amp;SUBSTITUTE(AD537,"+","%2B")&amp;"&amp;n="&amp;AF537&amp;"&amp;m="&amp;SUBSTITUTE('Start Here'!$B$24,"{name}",AF537))</f>
        <v/>
      </c>
      <c r="AH537" s="32">
        <f>N(AH536)+W537</f>
        <v/>
      </c>
      <c r="AI537" s="32">
        <f>IF(W537=1,AH537,"")</f>
        <v/>
      </c>
    </row>
    <row r="538">
      <c r="A538" s="32">
        <f>IF(INDEX('Form Responses'!$A:$A,ROW())="","",INDEX('Form Responses'!$A:$A,ROW()))</f>
        <v/>
      </c>
      <c r="B538" s="32">
        <f>TRIM(INDEX('Form Responses'!$B:$B,ROW())&amp;"")</f>
        <v/>
      </c>
      <c r="C538" s="32">
        <f>IF(B538="","",TRIM(INDEX('Form Responses'!$C:$C,ROW())&amp;""))</f>
        <v/>
      </c>
      <c r="D538" s="32">
        <f>SUBSTITUTE(SUBSTITUTE(SUBSTITUTE(SUBSTITUTE(SUBSTITUTE(SUBSTITUTE(SUBSTITUTE(SUBSTITUTE(C538," ",""),"-",""),"(",""),")",""),".",""),"+",""),"/",""),CHAR(160),"")</f>
        <v/>
      </c>
      <c r="E538" s="32">
        <f>IF(LEN(D538)&gt;=10,RIGHT(D538,10),D538)</f>
        <v/>
      </c>
      <c r="F538" s="32">
        <f>IF(B538="","",TRIM(INDEX('Form Responses'!$D:$D,ROW())&amp;""))</f>
        <v/>
      </c>
      <c r="G538" s="32">
        <f>IF(B538="","",IF(LEFT(TRIM(INDEX('Form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8" s="32">
        <f>IF(B538="","",MAX(0,IFERROR(INT(--(INDEX('Form Responses'!$F:$F,ROW())&amp;"")),1)))</f>
        <v/>
      </c>
      <c r="I538" s="32">
        <f>IF(B538="","",MAX(0,IFERROR(INT(--(INDEX('Form Responses'!$G:$G,ROW())&amp;"")),0)))</f>
        <v/>
      </c>
      <c r="J538" s="32">
        <f>IF(B538="","",TRIM(INDEX('Form Responses'!$H:$H,ROW())&amp;""))</f>
        <v/>
      </c>
      <c r="K538" s="32">
        <f>IF(B538="","",TRIM(INDEX('Form Responses'!$I:$I,ROW())&amp;""))</f>
        <v/>
      </c>
      <c r="L538" s="32">
        <f>IF(B538="","",TRIM(INDEX('Form Responses'!$J:$J,ROW())&amp;""))</f>
        <v/>
      </c>
      <c r="M538" s="32">
        <f>IF(B538="","",TRIM(INDEX('Form Responses'!$K:$K,ROW())&amp;""))</f>
        <v/>
      </c>
      <c r="N538" s="32">
        <f>IF(B538="","",IF(E538&lt;&gt;"","P"&amp;E538,"N"&amp;B538))</f>
        <v/>
      </c>
      <c r="O538" s="32">
        <f>IF(N538="",0,IF(COUNTIF(N539:N$602,N538)=0,1,0))</f>
        <v/>
      </c>
      <c r="P538" s="32">
        <f>IF(AND(O538=1,E538&lt;&gt;""),E538,"")</f>
        <v/>
      </c>
      <c r="Q538" s="32">
        <f>IF(O538=1,B538,"")</f>
        <v/>
      </c>
      <c r="R538" s="32">
        <f>IF(O538&lt;&gt;1,"",IF(E538&lt;&gt;"",IFERROR(MATCH(E538,Guests!$S$6:$S$505,0)+5,IFERROR(MATCH(B538,Guests!$A$6:$A$505,0)+5,"")),IFERROR(MATCH(B538,Guests!$A$6:$A$505,0)+5,"")))</f>
        <v/>
      </c>
      <c r="S538" s="32">
        <f>IF(R538="","",TRIM(INDEX(Guests!$E$1:$E$505,R538)&amp;""))</f>
        <v/>
      </c>
      <c r="T538" s="32">
        <f>IF(R538="","",IF(S538="",1,COUNTIF(Guests!$E$6:$E$505,S538)))</f>
        <v/>
      </c>
      <c r="U538" s="32">
        <f>IF(R538="","",IF(S538="",1,IF(COUNTIF(S$1:S537,S538)=0,1,0)))</f>
        <v/>
      </c>
      <c r="V538" s="32">
        <f>IF(AND(R538&lt;&gt;"",G538="Attending",U538=1),MAX(0,H538+I538-T538),0)</f>
        <v/>
      </c>
      <c r="W538" s="32">
        <f>IF(AND(O538=1,R538=""),1,0)</f>
        <v/>
      </c>
      <c r="X538" s="32">
        <f>IF(B538="",0,H538+I538)</f>
        <v/>
      </c>
      <c r="Y538" s="32">
        <f>N(Y537)+O538</f>
        <v/>
      </c>
      <c r="Z538" s="32">
        <f>IF(O538=1,Y538,"")</f>
        <v/>
      </c>
      <c r="AA538" s="32">
        <f>IF(AND(W538=1,G538="Not sure yet"),1,0)</f>
        <v/>
      </c>
      <c r="AB538" s="32">
        <f>N(AB537)+AA538</f>
        <v/>
      </c>
      <c r="AC538" s="32">
        <f>IF(AA538=1,AB538,"")</f>
        <v/>
      </c>
      <c r="AD538" s="32">
        <f>IF(D538="","",IF(LEN(D538)=10,"+1"&amp;D538,IF(AND(LEN(D538)=11,LEFT(D538,1)="1"),"+"&amp;D538,IF(LEFT(C538,1)="+","+"&amp;D538,D538))))</f>
        <v/>
      </c>
      <c r="AE538" s="32">
        <f>IF(B538="","",PROPER(IFERROR(LEFT(B538,FIND(" ",B538)-1),B538)))</f>
        <v/>
      </c>
      <c r="AF538" s="32">
        <f>SUBSTITUTE(SUBSTITUTE(SUBSTITUTE(SUBSTITUTE(SUBSTITUTE(SUBSTITUTE(SUBSTITUTE(SUBSTITUTE(SUBSTITUTE(SUBSTITUTE(AE538,"%","%25"),"&amp;","%26"),"#","%23"),"+","%2B"),"=","%3D"),"?","%3F"),CHAR(34),"%22"),CHAR(10),"%0A"),CHAR(13),"")," ","+")</f>
        <v/>
      </c>
      <c r="AG538" s="32">
        <f>IF(OR(AD538="",AE538=""),"",'Start Here'!$B$20&amp;"#p="&amp;SUBSTITUTE(AD538,"+","%2B")&amp;"&amp;n="&amp;AF538&amp;"&amp;m="&amp;SUBSTITUTE('Start Here'!$B$24,"{name}",AF538))</f>
        <v/>
      </c>
      <c r="AH538" s="32">
        <f>N(AH537)+W538</f>
        <v/>
      </c>
      <c r="AI538" s="32">
        <f>IF(W538=1,AH538,"")</f>
        <v/>
      </c>
    </row>
    <row r="539">
      <c r="A539" s="32">
        <f>IF(INDEX('Form Responses'!$A:$A,ROW())="","",INDEX('Form Responses'!$A:$A,ROW()))</f>
        <v/>
      </c>
      <c r="B539" s="32">
        <f>TRIM(INDEX('Form Responses'!$B:$B,ROW())&amp;"")</f>
        <v/>
      </c>
      <c r="C539" s="32">
        <f>IF(B539="","",TRIM(INDEX('Form Responses'!$C:$C,ROW())&amp;""))</f>
        <v/>
      </c>
      <c r="D539" s="32">
        <f>SUBSTITUTE(SUBSTITUTE(SUBSTITUTE(SUBSTITUTE(SUBSTITUTE(SUBSTITUTE(SUBSTITUTE(SUBSTITUTE(C539," ",""),"-",""),"(",""),")",""),".",""),"+",""),"/",""),CHAR(160),"")</f>
        <v/>
      </c>
      <c r="E539" s="32">
        <f>IF(LEN(D539)&gt;=10,RIGHT(D539,10),D539)</f>
        <v/>
      </c>
      <c r="F539" s="32">
        <f>IF(B539="","",TRIM(INDEX('Form Responses'!$D:$D,ROW())&amp;""))</f>
        <v/>
      </c>
      <c r="G539" s="32">
        <f>IF(B539="","",IF(LEFT(TRIM(INDEX('Form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39" s="32">
        <f>IF(B539="","",MAX(0,IFERROR(INT(--(INDEX('Form Responses'!$F:$F,ROW())&amp;"")),1)))</f>
        <v/>
      </c>
      <c r="I539" s="32">
        <f>IF(B539="","",MAX(0,IFERROR(INT(--(INDEX('Form Responses'!$G:$G,ROW())&amp;"")),0)))</f>
        <v/>
      </c>
      <c r="J539" s="32">
        <f>IF(B539="","",TRIM(INDEX('Form Responses'!$H:$H,ROW())&amp;""))</f>
        <v/>
      </c>
      <c r="K539" s="32">
        <f>IF(B539="","",TRIM(INDEX('Form Responses'!$I:$I,ROW())&amp;""))</f>
        <v/>
      </c>
      <c r="L539" s="32">
        <f>IF(B539="","",TRIM(INDEX('Form Responses'!$J:$J,ROW())&amp;""))</f>
        <v/>
      </c>
      <c r="M539" s="32">
        <f>IF(B539="","",TRIM(INDEX('Form Responses'!$K:$K,ROW())&amp;""))</f>
        <v/>
      </c>
      <c r="N539" s="32">
        <f>IF(B539="","",IF(E539&lt;&gt;"","P"&amp;E539,"N"&amp;B539))</f>
        <v/>
      </c>
      <c r="O539" s="32">
        <f>IF(N539="",0,IF(COUNTIF(N540:N$602,N539)=0,1,0))</f>
        <v/>
      </c>
      <c r="P539" s="32">
        <f>IF(AND(O539=1,E539&lt;&gt;""),E539,"")</f>
        <v/>
      </c>
      <c r="Q539" s="32">
        <f>IF(O539=1,B539,"")</f>
        <v/>
      </c>
      <c r="R539" s="32">
        <f>IF(O539&lt;&gt;1,"",IF(E539&lt;&gt;"",IFERROR(MATCH(E539,Guests!$S$6:$S$505,0)+5,IFERROR(MATCH(B539,Guests!$A$6:$A$505,0)+5,"")),IFERROR(MATCH(B539,Guests!$A$6:$A$505,0)+5,"")))</f>
        <v/>
      </c>
      <c r="S539" s="32">
        <f>IF(R539="","",TRIM(INDEX(Guests!$E$1:$E$505,R539)&amp;""))</f>
        <v/>
      </c>
      <c r="T539" s="32">
        <f>IF(R539="","",IF(S539="",1,COUNTIF(Guests!$E$6:$E$505,S539)))</f>
        <v/>
      </c>
      <c r="U539" s="32">
        <f>IF(R539="","",IF(S539="",1,IF(COUNTIF(S$1:S538,S539)=0,1,0)))</f>
        <v/>
      </c>
      <c r="V539" s="32">
        <f>IF(AND(R539&lt;&gt;"",G539="Attending",U539=1),MAX(0,H539+I539-T539),0)</f>
        <v/>
      </c>
      <c r="W539" s="32">
        <f>IF(AND(O539=1,R539=""),1,0)</f>
        <v/>
      </c>
      <c r="X539" s="32">
        <f>IF(B539="",0,H539+I539)</f>
        <v/>
      </c>
      <c r="Y539" s="32">
        <f>N(Y538)+O539</f>
        <v/>
      </c>
      <c r="Z539" s="32">
        <f>IF(O539=1,Y539,"")</f>
        <v/>
      </c>
      <c r="AA539" s="32">
        <f>IF(AND(W539=1,G539="Not sure yet"),1,0)</f>
        <v/>
      </c>
      <c r="AB539" s="32">
        <f>N(AB538)+AA539</f>
        <v/>
      </c>
      <c r="AC539" s="32">
        <f>IF(AA539=1,AB539,"")</f>
        <v/>
      </c>
      <c r="AD539" s="32">
        <f>IF(D539="","",IF(LEN(D539)=10,"+1"&amp;D539,IF(AND(LEN(D539)=11,LEFT(D539,1)="1"),"+"&amp;D539,IF(LEFT(C539,1)="+","+"&amp;D539,D539))))</f>
        <v/>
      </c>
      <c r="AE539" s="32">
        <f>IF(B539="","",PROPER(IFERROR(LEFT(B539,FIND(" ",B539)-1),B539)))</f>
        <v/>
      </c>
      <c r="AF539" s="32">
        <f>SUBSTITUTE(SUBSTITUTE(SUBSTITUTE(SUBSTITUTE(SUBSTITUTE(SUBSTITUTE(SUBSTITUTE(SUBSTITUTE(SUBSTITUTE(SUBSTITUTE(AE539,"%","%25"),"&amp;","%26"),"#","%23"),"+","%2B"),"=","%3D"),"?","%3F"),CHAR(34),"%22"),CHAR(10),"%0A"),CHAR(13),"")," ","+")</f>
        <v/>
      </c>
      <c r="AG539" s="32">
        <f>IF(OR(AD539="",AE539=""),"",'Start Here'!$B$20&amp;"#p="&amp;SUBSTITUTE(AD539,"+","%2B")&amp;"&amp;n="&amp;AF539&amp;"&amp;m="&amp;SUBSTITUTE('Start Here'!$B$24,"{name}",AF539))</f>
        <v/>
      </c>
      <c r="AH539" s="32">
        <f>N(AH538)+W539</f>
        <v/>
      </c>
      <c r="AI539" s="32">
        <f>IF(W539=1,AH539,"")</f>
        <v/>
      </c>
    </row>
    <row r="540">
      <c r="A540" s="32">
        <f>IF(INDEX('Form Responses'!$A:$A,ROW())="","",INDEX('Form Responses'!$A:$A,ROW()))</f>
        <v/>
      </c>
      <c r="B540" s="32">
        <f>TRIM(INDEX('Form Responses'!$B:$B,ROW())&amp;"")</f>
        <v/>
      </c>
      <c r="C540" s="32">
        <f>IF(B540="","",TRIM(INDEX('Form Responses'!$C:$C,ROW())&amp;""))</f>
        <v/>
      </c>
      <c r="D540" s="32">
        <f>SUBSTITUTE(SUBSTITUTE(SUBSTITUTE(SUBSTITUTE(SUBSTITUTE(SUBSTITUTE(SUBSTITUTE(SUBSTITUTE(C540," ",""),"-",""),"(",""),")",""),".",""),"+",""),"/",""),CHAR(160),"")</f>
        <v/>
      </c>
      <c r="E540" s="32">
        <f>IF(LEN(D540)&gt;=10,RIGHT(D540,10),D540)</f>
        <v/>
      </c>
      <c r="F540" s="32">
        <f>IF(B540="","",TRIM(INDEX('Form Responses'!$D:$D,ROW())&amp;""))</f>
        <v/>
      </c>
      <c r="G540" s="32">
        <f>IF(B540="","",IF(LEFT(TRIM(INDEX('Form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0" s="32">
        <f>IF(B540="","",MAX(0,IFERROR(INT(--(INDEX('Form Responses'!$F:$F,ROW())&amp;"")),1)))</f>
        <v/>
      </c>
      <c r="I540" s="32">
        <f>IF(B540="","",MAX(0,IFERROR(INT(--(INDEX('Form Responses'!$G:$G,ROW())&amp;"")),0)))</f>
        <v/>
      </c>
      <c r="J540" s="32">
        <f>IF(B540="","",TRIM(INDEX('Form Responses'!$H:$H,ROW())&amp;""))</f>
        <v/>
      </c>
      <c r="K540" s="32">
        <f>IF(B540="","",TRIM(INDEX('Form Responses'!$I:$I,ROW())&amp;""))</f>
        <v/>
      </c>
      <c r="L540" s="32">
        <f>IF(B540="","",TRIM(INDEX('Form Responses'!$J:$J,ROW())&amp;""))</f>
        <v/>
      </c>
      <c r="M540" s="32">
        <f>IF(B540="","",TRIM(INDEX('Form Responses'!$K:$K,ROW())&amp;""))</f>
        <v/>
      </c>
      <c r="N540" s="32">
        <f>IF(B540="","",IF(E540&lt;&gt;"","P"&amp;E540,"N"&amp;B540))</f>
        <v/>
      </c>
      <c r="O540" s="32">
        <f>IF(N540="",0,IF(COUNTIF(N541:N$602,N540)=0,1,0))</f>
        <v/>
      </c>
      <c r="P540" s="32">
        <f>IF(AND(O540=1,E540&lt;&gt;""),E540,"")</f>
        <v/>
      </c>
      <c r="Q540" s="32">
        <f>IF(O540=1,B540,"")</f>
        <v/>
      </c>
      <c r="R540" s="32">
        <f>IF(O540&lt;&gt;1,"",IF(E540&lt;&gt;"",IFERROR(MATCH(E540,Guests!$S$6:$S$505,0)+5,IFERROR(MATCH(B540,Guests!$A$6:$A$505,0)+5,"")),IFERROR(MATCH(B540,Guests!$A$6:$A$505,0)+5,"")))</f>
        <v/>
      </c>
      <c r="S540" s="32">
        <f>IF(R540="","",TRIM(INDEX(Guests!$E$1:$E$505,R540)&amp;""))</f>
        <v/>
      </c>
      <c r="T540" s="32">
        <f>IF(R540="","",IF(S540="",1,COUNTIF(Guests!$E$6:$E$505,S540)))</f>
        <v/>
      </c>
      <c r="U540" s="32">
        <f>IF(R540="","",IF(S540="",1,IF(COUNTIF(S$1:S539,S540)=0,1,0)))</f>
        <v/>
      </c>
      <c r="V540" s="32">
        <f>IF(AND(R540&lt;&gt;"",G540="Attending",U540=1),MAX(0,H540+I540-T540),0)</f>
        <v/>
      </c>
      <c r="W540" s="32">
        <f>IF(AND(O540=1,R540=""),1,0)</f>
        <v/>
      </c>
      <c r="X540" s="32">
        <f>IF(B540="",0,H540+I540)</f>
        <v/>
      </c>
      <c r="Y540" s="32">
        <f>N(Y539)+O540</f>
        <v/>
      </c>
      <c r="Z540" s="32">
        <f>IF(O540=1,Y540,"")</f>
        <v/>
      </c>
      <c r="AA540" s="32">
        <f>IF(AND(W540=1,G540="Not sure yet"),1,0)</f>
        <v/>
      </c>
      <c r="AB540" s="32">
        <f>N(AB539)+AA540</f>
        <v/>
      </c>
      <c r="AC540" s="32">
        <f>IF(AA540=1,AB540,"")</f>
        <v/>
      </c>
      <c r="AD540" s="32">
        <f>IF(D540="","",IF(LEN(D540)=10,"+1"&amp;D540,IF(AND(LEN(D540)=11,LEFT(D540,1)="1"),"+"&amp;D540,IF(LEFT(C540,1)="+","+"&amp;D540,D540))))</f>
        <v/>
      </c>
      <c r="AE540" s="32">
        <f>IF(B540="","",PROPER(IFERROR(LEFT(B540,FIND(" ",B540)-1),B540)))</f>
        <v/>
      </c>
      <c r="AF540" s="32">
        <f>SUBSTITUTE(SUBSTITUTE(SUBSTITUTE(SUBSTITUTE(SUBSTITUTE(SUBSTITUTE(SUBSTITUTE(SUBSTITUTE(SUBSTITUTE(SUBSTITUTE(AE540,"%","%25"),"&amp;","%26"),"#","%23"),"+","%2B"),"=","%3D"),"?","%3F"),CHAR(34),"%22"),CHAR(10),"%0A"),CHAR(13),"")," ","+")</f>
        <v/>
      </c>
      <c r="AG540" s="32">
        <f>IF(OR(AD540="",AE540=""),"",'Start Here'!$B$20&amp;"#p="&amp;SUBSTITUTE(AD540,"+","%2B")&amp;"&amp;n="&amp;AF540&amp;"&amp;m="&amp;SUBSTITUTE('Start Here'!$B$24,"{name}",AF540))</f>
        <v/>
      </c>
      <c r="AH540" s="32">
        <f>N(AH539)+W540</f>
        <v/>
      </c>
      <c r="AI540" s="32">
        <f>IF(W540=1,AH540,"")</f>
        <v/>
      </c>
    </row>
    <row r="541">
      <c r="A541" s="32">
        <f>IF(INDEX('Form Responses'!$A:$A,ROW())="","",INDEX('Form Responses'!$A:$A,ROW()))</f>
        <v/>
      </c>
      <c r="B541" s="32">
        <f>TRIM(INDEX('Form Responses'!$B:$B,ROW())&amp;"")</f>
        <v/>
      </c>
      <c r="C541" s="32">
        <f>IF(B541="","",TRIM(INDEX('Form Responses'!$C:$C,ROW())&amp;""))</f>
        <v/>
      </c>
      <c r="D541" s="32">
        <f>SUBSTITUTE(SUBSTITUTE(SUBSTITUTE(SUBSTITUTE(SUBSTITUTE(SUBSTITUTE(SUBSTITUTE(SUBSTITUTE(C541," ",""),"-",""),"(",""),")",""),".",""),"+",""),"/",""),CHAR(160),"")</f>
        <v/>
      </c>
      <c r="E541" s="32">
        <f>IF(LEN(D541)&gt;=10,RIGHT(D541,10),D541)</f>
        <v/>
      </c>
      <c r="F541" s="32">
        <f>IF(B541="","",TRIM(INDEX('Form Responses'!$D:$D,ROW())&amp;""))</f>
        <v/>
      </c>
      <c r="G541" s="32">
        <f>IF(B541="","",IF(LEFT(TRIM(INDEX('Form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1" s="32">
        <f>IF(B541="","",MAX(0,IFERROR(INT(--(INDEX('Form Responses'!$F:$F,ROW())&amp;"")),1)))</f>
        <v/>
      </c>
      <c r="I541" s="32">
        <f>IF(B541="","",MAX(0,IFERROR(INT(--(INDEX('Form Responses'!$G:$G,ROW())&amp;"")),0)))</f>
        <v/>
      </c>
      <c r="J541" s="32">
        <f>IF(B541="","",TRIM(INDEX('Form Responses'!$H:$H,ROW())&amp;""))</f>
        <v/>
      </c>
      <c r="K541" s="32">
        <f>IF(B541="","",TRIM(INDEX('Form Responses'!$I:$I,ROW())&amp;""))</f>
        <v/>
      </c>
      <c r="L541" s="32">
        <f>IF(B541="","",TRIM(INDEX('Form Responses'!$J:$J,ROW())&amp;""))</f>
        <v/>
      </c>
      <c r="M541" s="32">
        <f>IF(B541="","",TRIM(INDEX('Form Responses'!$K:$K,ROW())&amp;""))</f>
        <v/>
      </c>
      <c r="N541" s="32">
        <f>IF(B541="","",IF(E541&lt;&gt;"","P"&amp;E541,"N"&amp;B541))</f>
        <v/>
      </c>
      <c r="O541" s="32">
        <f>IF(N541="",0,IF(COUNTIF(N542:N$602,N541)=0,1,0))</f>
        <v/>
      </c>
      <c r="P541" s="32">
        <f>IF(AND(O541=1,E541&lt;&gt;""),E541,"")</f>
        <v/>
      </c>
      <c r="Q541" s="32">
        <f>IF(O541=1,B541,"")</f>
        <v/>
      </c>
      <c r="R541" s="32">
        <f>IF(O541&lt;&gt;1,"",IF(E541&lt;&gt;"",IFERROR(MATCH(E541,Guests!$S$6:$S$505,0)+5,IFERROR(MATCH(B541,Guests!$A$6:$A$505,0)+5,"")),IFERROR(MATCH(B541,Guests!$A$6:$A$505,0)+5,"")))</f>
        <v/>
      </c>
      <c r="S541" s="32">
        <f>IF(R541="","",TRIM(INDEX(Guests!$E$1:$E$505,R541)&amp;""))</f>
        <v/>
      </c>
      <c r="T541" s="32">
        <f>IF(R541="","",IF(S541="",1,COUNTIF(Guests!$E$6:$E$505,S541)))</f>
        <v/>
      </c>
      <c r="U541" s="32">
        <f>IF(R541="","",IF(S541="",1,IF(COUNTIF(S$1:S540,S541)=0,1,0)))</f>
        <v/>
      </c>
      <c r="V541" s="32">
        <f>IF(AND(R541&lt;&gt;"",G541="Attending",U541=1),MAX(0,H541+I541-T541),0)</f>
        <v/>
      </c>
      <c r="W541" s="32">
        <f>IF(AND(O541=1,R541=""),1,0)</f>
        <v/>
      </c>
      <c r="X541" s="32">
        <f>IF(B541="",0,H541+I541)</f>
        <v/>
      </c>
      <c r="Y541" s="32">
        <f>N(Y540)+O541</f>
        <v/>
      </c>
      <c r="Z541" s="32">
        <f>IF(O541=1,Y541,"")</f>
        <v/>
      </c>
      <c r="AA541" s="32">
        <f>IF(AND(W541=1,G541="Not sure yet"),1,0)</f>
        <v/>
      </c>
      <c r="AB541" s="32">
        <f>N(AB540)+AA541</f>
        <v/>
      </c>
      <c r="AC541" s="32">
        <f>IF(AA541=1,AB541,"")</f>
        <v/>
      </c>
      <c r="AD541" s="32">
        <f>IF(D541="","",IF(LEN(D541)=10,"+1"&amp;D541,IF(AND(LEN(D541)=11,LEFT(D541,1)="1"),"+"&amp;D541,IF(LEFT(C541,1)="+","+"&amp;D541,D541))))</f>
        <v/>
      </c>
      <c r="AE541" s="32">
        <f>IF(B541="","",PROPER(IFERROR(LEFT(B541,FIND(" ",B541)-1),B541)))</f>
        <v/>
      </c>
      <c r="AF541" s="32">
        <f>SUBSTITUTE(SUBSTITUTE(SUBSTITUTE(SUBSTITUTE(SUBSTITUTE(SUBSTITUTE(SUBSTITUTE(SUBSTITUTE(SUBSTITUTE(SUBSTITUTE(AE541,"%","%25"),"&amp;","%26"),"#","%23"),"+","%2B"),"=","%3D"),"?","%3F"),CHAR(34),"%22"),CHAR(10),"%0A"),CHAR(13),"")," ","+")</f>
        <v/>
      </c>
      <c r="AG541" s="32">
        <f>IF(OR(AD541="",AE541=""),"",'Start Here'!$B$20&amp;"#p="&amp;SUBSTITUTE(AD541,"+","%2B")&amp;"&amp;n="&amp;AF541&amp;"&amp;m="&amp;SUBSTITUTE('Start Here'!$B$24,"{name}",AF541))</f>
        <v/>
      </c>
      <c r="AH541" s="32">
        <f>N(AH540)+W541</f>
        <v/>
      </c>
      <c r="AI541" s="32">
        <f>IF(W541=1,AH541,"")</f>
        <v/>
      </c>
    </row>
    <row r="542">
      <c r="A542" s="32">
        <f>IF(INDEX('Form Responses'!$A:$A,ROW())="","",INDEX('Form Responses'!$A:$A,ROW()))</f>
        <v/>
      </c>
      <c r="B542" s="32">
        <f>TRIM(INDEX('Form Responses'!$B:$B,ROW())&amp;"")</f>
        <v/>
      </c>
      <c r="C542" s="32">
        <f>IF(B542="","",TRIM(INDEX('Form Responses'!$C:$C,ROW())&amp;""))</f>
        <v/>
      </c>
      <c r="D542" s="32">
        <f>SUBSTITUTE(SUBSTITUTE(SUBSTITUTE(SUBSTITUTE(SUBSTITUTE(SUBSTITUTE(SUBSTITUTE(SUBSTITUTE(C542," ",""),"-",""),"(",""),")",""),".",""),"+",""),"/",""),CHAR(160),"")</f>
        <v/>
      </c>
      <c r="E542" s="32">
        <f>IF(LEN(D542)&gt;=10,RIGHT(D542,10),D542)</f>
        <v/>
      </c>
      <c r="F542" s="32">
        <f>IF(B542="","",TRIM(INDEX('Form Responses'!$D:$D,ROW())&amp;""))</f>
        <v/>
      </c>
      <c r="G542" s="32">
        <f>IF(B542="","",IF(LEFT(TRIM(INDEX('Form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2" s="32">
        <f>IF(B542="","",MAX(0,IFERROR(INT(--(INDEX('Form Responses'!$F:$F,ROW())&amp;"")),1)))</f>
        <v/>
      </c>
      <c r="I542" s="32">
        <f>IF(B542="","",MAX(0,IFERROR(INT(--(INDEX('Form Responses'!$G:$G,ROW())&amp;"")),0)))</f>
        <v/>
      </c>
      <c r="J542" s="32">
        <f>IF(B542="","",TRIM(INDEX('Form Responses'!$H:$H,ROW())&amp;""))</f>
        <v/>
      </c>
      <c r="K542" s="32">
        <f>IF(B542="","",TRIM(INDEX('Form Responses'!$I:$I,ROW())&amp;""))</f>
        <v/>
      </c>
      <c r="L542" s="32">
        <f>IF(B542="","",TRIM(INDEX('Form Responses'!$J:$J,ROW())&amp;""))</f>
        <v/>
      </c>
      <c r="M542" s="32">
        <f>IF(B542="","",TRIM(INDEX('Form Responses'!$K:$K,ROW())&amp;""))</f>
        <v/>
      </c>
      <c r="N542" s="32">
        <f>IF(B542="","",IF(E542&lt;&gt;"","P"&amp;E542,"N"&amp;B542))</f>
        <v/>
      </c>
      <c r="O542" s="32">
        <f>IF(N542="",0,IF(COUNTIF(N543:N$602,N542)=0,1,0))</f>
        <v/>
      </c>
      <c r="P542" s="32">
        <f>IF(AND(O542=1,E542&lt;&gt;""),E542,"")</f>
        <v/>
      </c>
      <c r="Q542" s="32">
        <f>IF(O542=1,B542,"")</f>
        <v/>
      </c>
      <c r="R542" s="32">
        <f>IF(O542&lt;&gt;1,"",IF(E542&lt;&gt;"",IFERROR(MATCH(E542,Guests!$S$6:$S$505,0)+5,IFERROR(MATCH(B542,Guests!$A$6:$A$505,0)+5,"")),IFERROR(MATCH(B542,Guests!$A$6:$A$505,0)+5,"")))</f>
        <v/>
      </c>
      <c r="S542" s="32">
        <f>IF(R542="","",TRIM(INDEX(Guests!$E$1:$E$505,R542)&amp;""))</f>
        <v/>
      </c>
      <c r="T542" s="32">
        <f>IF(R542="","",IF(S542="",1,COUNTIF(Guests!$E$6:$E$505,S542)))</f>
        <v/>
      </c>
      <c r="U542" s="32">
        <f>IF(R542="","",IF(S542="",1,IF(COUNTIF(S$1:S541,S542)=0,1,0)))</f>
        <v/>
      </c>
      <c r="V542" s="32">
        <f>IF(AND(R542&lt;&gt;"",G542="Attending",U542=1),MAX(0,H542+I542-T542),0)</f>
        <v/>
      </c>
      <c r="W542" s="32">
        <f>IF(AND(O542=1,R542=""),1,0)</f>
        <v/>
      </c>
      <c r="X542" s="32">
        <f>IF(B542="",0,H542+I542)</f>
        <v/>
      </c>
      <c r="Y542" s="32">
        <f>N(Y541)+O542</f>
        <v/>
      </c>
      <c r="Z542" s="32">
        <f>IF(O542=1,Y542,"")</f>
        <v/>
      </c>
      <c r="AA542" s="32">
        <f>IF(AND(W542=1,G542="Not sure yet"),1,0)</f>
        <v/>
      </c>
      <c r="AB542" s="32">
        <f>N(AB541)+AA542</f>
        <v/>
      </c>
      <c r="AC542" s="32">
        <f>IF(AA542=1,AB542,"")</f>
        <v/>
      </c>
      <c r="AD542" s="32">
        <f>IF(D542="","",IF(LEN(D542)=10,"+1"&amp;D542,IF(AND(LEN(D542)=11,LEFT(D542,1)="1"),"+"&amp;D542,IF(LEFT(C542,1)="+","+"&amp;D542,D542))))</f>
        <v/>
      </c>
      <c r="AE542" s="32">
        <f>IF(B542="","",PROPER(IFERROR(LEFT(B542,FIND(" ",B542)-1),B542)))</f>
        <v/>
      </c>
      <c r="AF542" s="32">
        <f>SUBSTITUTE(SUBSTITUTE(SUBSTITUTE(SUBSTITUTE(SUBSTITUTE(SUBSTITUTE(SUBSTITUTE(SUBSTITUTE(SUBSTITUTE(SUBSTITUTE(AE542,"%","%25"),"&amp;","%26"),"#","%23"),"+","%2B"),"=","%3D"),"?","%3F"),CHAR(34),"%22"),CHAR(10),"%0A"),CHAR(13),"")," ","+")</f>
        <v/>
      </c>
      <c r="AG542" s="32">
        <f>IF(OR(AD542="",AE542=""),"",'Start Here'!$B$20&amp;"#p="&amp;SUBSTITUTE(AD542,"+","%2B")&amp;"&amp;n="&amp;AF542&amp;"&amp;m="&amp;SUBSTITUTE('Start Here'!$B$24,"{name}",AF542))</f>
        <v/>
      </c>
      <c r="AH542" s="32">
        <f>N(AH541)+W542</f>
        <v/>
      </c>
      <c r="AI542" s="32">
        <f>IF(W542=1,AH542,"")</f>
        <v/>
      </c>
    </row>
    <row r="543">
      <c r="A543" s="32">
        <f>IF(INDEX('Form Responses'!$A:$A,ROW())="","",INDEX('Form Responses'!$A:$A,ROW()))</f>
        <v/>
      </c>
      <c r="B543" s="32">
        <f>TRIM(INDEX('Form Responses'!$B:$B,ROW())&amp;"")</f>
        <v/>
      </c>
      <c r="C543" s="32">
        <f>IF(B543="","",TRIM(INDEX('Form Responses'!$C:$C,ROW())&amp;""))</f>
        <v/>
      </c>
      <c r="D543" s="32">
        <f>SUBSTITUTE(SUBSTITUTE(SUBSTITUTE(SUBSTITUTE(SUBSTITUTE(SUBSTITUTE(SUBSTITUTE(SUBSTITUTE(C543," ",""),"-",""),"(",""),")",""),".",""),"+",""),"/",""),CHAR(160),"")</f>
        <v/>
      </c>
      <c r="E543" s="32">
        <f>IF(LEN(D543)&gt;=10,RIGHT(D543,10),D543)</f>
        <v/>
      </c>
      <c r="F543" s="32">
        <f>IF(B543="","",TRIM(INDEX('Form Responses'!$D:$D,ROW())&amp;""))</f>
        <v/>
      </c>
      <c r="G543" s="32">
        <f>IF(B543="","",IF(LEFT(TRIM(INDEX('Form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3" s="32">
        <f>IF(B543="","",MAX(0,IFERROR(INT(--(INDEX('Form Responses'!$F:$F,ROW())&amp;"")),1)))</f>
        <v/>
      </c>
      <c r="I543" s="32">
        <f>IF(B543="","",MAX(0,IFERROR(INT(--(INDEX('Form Responses'!$G:$G,ROW())&amp;"")),0)))</f>
        <v/>
      </c>
      <c r="J543" s="32">
        <f>IF(B543="","",TRIM(INDEX('Form Responses'!$H:$H,ROW())&amp;""))</f>
        <v/>
      </c>
      <c r="K543" s="32">
        <f>IF(B543="","",TRIM(INDEX('Form Responses'!$I:$I,ROW())&amp;""))</f>
        <v/>
      </c>
      <c r="L543" s="32">
        <f>IF(B543="","",TRIM(INDEX('Form Responses'!$J:$J,ROW())&amp;""))</f>
        <v/>
      </c>
      <c r="M543" s="32">
        <f>IF(B543="","",TRIM(INDEX('Form Responses'!$K:$K,ROW())&amp;""))</f>
        <v/>
      </c>
      <c r="N543" s="32">
        <f>IF(B543="","",IF(E543&lt;&gt;"","P"&amp;E543,"N"&amp;B543))</f>
        <v/>
      </c>
      <c r="O543" s="32">
        <f>IF(N543="",0,IF(COUNTIF(N544:N$602,N543)=0,1,0))</f>
        <v/>
      </c>
      <c r="P543" s="32">
        <f>IF(AND(O543=1,E543&lt;&gt;""),E543,"")</f>
        <v/>
      </c>
      <c r="Q543" s="32">
        <f>IF(O543=1,B543,"")</f>
        <v/>
      </c>
      <c r="R543" s="32">
        <f>IF(O543&lt;&gt;1,"",IF(E543&lt;&gt;"",IFERROR(MATCH(E543,Guests!$S$6:$S$505,0)+5,IFERROR(MATCH(B543,Guests!$A$6:$A$505,0)+5,"")),IFERROR(MATCH(B543,Guests!$A$6:$A$505,0)+5,"")))</f>
        <v/>
      </c>
      <c r="S543" s="32">
        <f>IF(R543="","",TRIM(INDEX(Guests!$E$1:$E$505,R543)&amp;""))</f>
        <v/>
      </c>
      <c r="T543" s="32">
        <f>IF(R543="","",IF(S543="",1,COUNTIF(Guests!$E$6:$E$505,S543)))</f>
        <v/>
      </c>
      <c r="U543" s="32">
        <f>IF(R543="","",IF(S543="",1,IF(COUNTIF(S$1:S542,S543)=0,1,0)))</f>
        <v/>
      </c>
      <c r="V543" s="32">
        <f>IF(AND(R543&lt;&gt;"",G543="Attending",U543=1),MAX(0,H543+I543-T543),0)</f>
        <v/>
      </c>
      <c r="W543" s="32">
        <f>IF(AND(O543=1,R543=""),1,0)</f>
        <v/>
      </c>
      <c r="X543" s="32">
        <f>IF(B543="",0,H543+I543)</f>
        <v/>
      </c>
      <c r="Y543" s="32">
        <f>N(Y542)+O543</f>
        <v/>
      </c>
      <c r="Z543" s="32">
        <f>IF(O543=1,Y543,"")</f>
        <v/>
      </c>
      <c r="AA543" s="32">
        <f>IF(AND(W543=1,G543="Not sure yet"),1,0)</f>
        <v/>
      </c>
      <c r="AB543" s="32">
        <f>N(AB542)+AA543</f>
        <v/>
      </c>
      <c r="AC543" s="32">
        <f>IF(AA543=1,AB543,"")</f>
        <v/>
      </c>
      <c r="AD543" s="32">
        <f>IF(D543="","",IF(LEN(D543)=10,"+1"&amp;D543,IF(AND(LEN(D543)=11,LEFT(D543,1)="1"),"+"&amp;D543,IF(LEFT(C543,1)="+","+"&amp;D543,D543))))</f>
        <v/>
      </c>
      <c r="AE543" s="32">
        <f>IF(B543="","",PROPER(IFERROR(LEFT(B543,FIND(" ",B543)-1),B543)))</f>
        <v/>
      </c>
      <c r="AF543" s="32">
        <f>SUBSTITUTE(SUBSTITUTE(SUBSTITUTE(SUBSTITUTE(SUBSTITUTE(SUBSTITUTE(SUBSTITUTE(SUBSTITUTE(SUBSTITUTE(SUBSTITUTE(AE543,"%","%25"),"&amp;","%26"),"#","%23"),"+","%2B"),"=","%3D"),"?","%3F"),CHAR(34),"%22"),CHAR(10),"%0A"),CHAR(13),"")," ","+")</f>
        <v/>
      </c>
      <c r="AG543" s="32">
        <f>IF(OR(AD543="",AE543=""),"",'Start Here'!$B$20&amp;"#p="&amp;SUBSTITUTE(AD543,"+","%2B")&amp;"&amp;n="&amp;AF543&amp;"&amp;m="&amp;SUBSTITUTE('Start Here'!$B$24,"{name}",AF543))</f>
        <v/>
      </c>
      <c r="AH543" s="32">
        <f>N(AH542)+W543</f>
        <v/>
      </c>
      <c r="AI543" s="32">
        <f>IF(W543=1,AH543,"")</f>
        <v/>
      </c>
    </row>
    <row r="544">
      <c r="A544" s="32">
        <f>IF(INDEX('Form Responses'!$A:$A,ROW())="","",INDEX('Form Responses'!$A:$A,ROW()))</f>
        <v/>
      </c>
      <c r="B544" s="32">
        <f>TRIM(INDEX('Form Responses'!$B:$B,ROW())&amp;"")</f>
        <v/>
      </c>
      <c r="C544" s="32">
        <f>IF(B544="","",TRIM(INDEX('Form Responses'!$C:$C,ROW())&amp;""))</f>
        <v/>
      </c>
      <c r="D544" s="32">
        <f>SUBSTITUTE(SUBSTITUTE(SUBSTITUTE(SUBSTITUTE(SUBSTITUTE(SUBSTITUTE(SUBSTITUTE(SUBSTITUTE(C544," ",""),"-",""),"(",""),")",""),".",""),"+",""),"/",""),CHAR(160),"")</f>
        <v/>
      </c>
      <c r="E544" s="32">
        <f>IF(LEN(D544)&gt;=10,RIGHT(D544,10),D544)</f>
        <v/>
      </c>
      <c r="F544" s="32">
        <f>IF(B544="","",TRIM(INDEX('Form Responses'!$D:$D,ROW())&amp;""))</f>
        <v/>
      </c>
      <c r="G544" s="32">
        <f>IF(B544="","",IF(LEFT(TRIM(INDEX('Form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4" s="32">
        <f>IF(B544="","",MAX(0,IFERROR(INT(--(INDEX('Form Responses'!$F:$F,ROW())&amp;"")),1)))</f>
        <v/>
      </c>
      <c r="I544" s="32">
        <f>IF(B544="","",MAX(0,IFERROR(INT(--(INDEX('Form Responses'!$G:$G,ROW())&amp;"")),0)))</f>
        <v/>
      </c>
      <c r="J544" s="32">
        <f>IF(B544="","",TRIM(INDEX('Form Responses'!$H:$H,ROW())&amp;""))</f>
        <v/>
      </c>
      <c r="K544" s="32">
        <f>IF(B544="","",TRIM(INDEX('Form Responses'!$I:$I,ROW())&amp;""))</f>
        <v/>
      </c>
      <c r="L544" s="32">
        <f>IF(B544="","",TRIM(INDEX('Form Responses'!$J:$J,ROW())&amp;""))</f>
        <v/>
      </c>
      <c r="M544" s="32">
        <f>IF(B544="","",TRIM(INDEX('Form Responses'!$K:$K,ROW())&amp;""))</f>
        <v/>
      </c>
      <c r="N544" s="32">
        <f>IF(B544="","",IF(E544&lt;&gt;"","P"&amp;E544,"N"&amp;B544))</f>
        <v/>
      </c>
      <c r="O544" s="32">
        <f>IF(N544="",0,IF(COUNTIF(N545:N$602,N544)=0,1,0))</f>
        <v/>
      </c>
      <c r="P544" s="32">
        <f>IF(AND(O544=1,E544&lt;&gt;""),E544,"")</f>
        <v/>
      </c>
      <c r="Q544" s="32">
        <f>IF(O544=1,B544,"")</f>
        <v/>
      </c>
      <c r="R544" s="32">
        <f>IF(O544&lt;&gt;1,"",IF(E544&lt;&gt;"",IFERROR(MATCH(E544,Guests!$S$6:$S$505,0)+5,IFERROR(MATCH(B544,Guests!$A$6:$A$505,0)+5,"")),IFERROR(MATCH(B544,Guests!$A$6:$A$505,0)+5,"")))</f>
        <v/>
      </c>
      <c r="S544" s="32">
        <f>IF(R544="","",TRIM(INDEX(Guests!$E$1:$E$505,R544)&amp;""))</f>
        <v/>
      </c>
      <c r="T544" s="32">
        <f>IF(R544="","",IF(S544="",1,COUNTIF(Guests!$E$6:$E$505,S544)))</f>
        <v/>
      </c>
      <c r="U544" s="32">
        <f>IF(R544="","",IF(S544="",1,IF(COUNTIF(S$1:S543,S544)=0,1,0)))</f>
        <v/>
      </c>
      <c r="V544" s="32">
        <f>IF(AND(R544&lt;&gt;"",G544="Attending",U544=1),MAX(0,H544+I544-T544),0)</f>
        <v/>
      </c>
      <c r="W544" s="32">
        <f>IF(AND(O544=1,R544=""),1,0)</f>
        <v/>
      </c>
      <c r="X544" s="32">
        <f>IF(B544="",0,H544+I544)</f>
        <v/>
      </c>
      <c r="Y544" s="32">
        <f>N(Y543)+O544</f>
        <v/>
      </c>
      <c r="Z544" s="32">
        <f>IF(O544=1,Y544,"")</f>
        <v/>
      </c>
      <c r="AA544" s="32">
        <f>IF(AND(W544=1,G544="Not sure yet"),1,0)</f>
        <v/>
      </c>
      <c r="AB544" s="32">
        <f>N(AB543)+AA544</f>
        <v/>
      </c>
      <c r="AC544" s="32">
        <f>IF(AA544=1,AB544,"")</f>
        <v/>
      </c>
      <c r="AD544" s="32">
        <f>IF(D544="","",IF(LEN(D544)=10,"+1"&amp;D544,IF(AND(LEN(D544)=11,LEFT(D544,1)="1"),"+"&amp;D544,IF(LEFT(C544,1)="+","+"&amp;D544,D544))))</f>
        <v/>
      </c>
      <c r="AE544" s="32">
        <f>IF(B544="","",PROPER(IFERROR(LEFT(B544,FIND(" ",B544)-1),B544)))</f>
        <v/>
      </c>
      <c r="AF544" s="32">
        <f>SUBSTITUTE(SUBSTITUTE(SUBSTITUTE(SUBSTITUTE(SUBSTITUTE(SUBSTITUTE(SUBSTITUTE(SUBSTITUTE(SUBSTITUTE(SUBSTITUTE(AE544,"%","%25"),"&amp;","%26"),"#","%23"),"+","%2B"),"=","%3D"),"?","%3F"),CHAR(34),"%22"),CHAR(10),"%0A"),CHAR(13),"")," ","+")</f>
        <v/>
      </c>
      <c r="AG544" s="32">
        <f>IF(OR(AD544="",AE544=""),"",'Start Here'!$B$20&amp;"#p="&amp;SUBSTITUTE(AD544,"+","%2B")&amp;"&amp;n="&amp;AF544&amp;"&amp;m="&amp;SUBSTITUTE('Start Here'!$B$24,"{name}",AF544))</f>
        <v/>
      </c>
      <c r="AH544" s="32">
        <f>N(AH543)+W544</f>
        <v/>
      </c>
      <c r="AI544" s="32">
        <f>IF(W544=1,AH544,"")</f>
        <v/>
      </c>
    </row>
    <row r="545">
      <c r="A545" s="32">
        <f>IF(INDEX('Form Responses'!$A:$A,ROW())="","",INDEX('Form Responses'!$A:$A,ROW()))</f>
        <v/>
      </c>
      <c r="B545" s="32">
        <f>TRIM(INDEX('Form Responses'!$B:$B,ROW())&amp;"")</f>
        <v/>
      </c>
      <c r="C545" s="32">
        <f>IF(B545="","",TRIM(INDEX('Form Responses'!$C:$C,ROW())&amp;""))</f>
        <v/>
      </c>
      <c r="D545" s="32">
        <f>SUBSTITUTE(SUBSTITUTE(SUBSTITUTE(SUBSTITUTE(SUBSTITUTE(SUBSTITUTE(SUBSTITUTE(SUBSTITUTE(C545," ",""),"-",""),"(",""),")",""),".",""),"+",""),"/",""),CHAR(160),"")</f>
        <v/>
      </c>
      <c r="E545" s="32">
        <f>IF(LEN(D545)&gt;=10,RIGHT(D545,10),D545)</f>
        <v/>
      </c>
      <c r="F545" s="32">
        <f>IF(B545="","",TRIM(INDEX('Form Responses'!$D:$D,ROW())&amp;""))</f>
        <v/>
      </c>
      <c r="G545" s="32">
        <f>IF(B545="","",IF(LEFT(TRIM(INDEX('Form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5" s="32">
        <f>IF(B545="","",MAX(0,IFERROR(INT(--(INDEX('Form Responses'!$F:$F,ROW())&amp;"")),1)))</f>
        <v/>
      </c>
      <c r="I545" s="32">
        <f>IF(B545="","",MAX(0,IFERROR(INT(--(INDEX('Form Responses'!$G:$G,ROW())&amp;"")),0)))</f>
        <v/>
      </c>
      <c r="J545" s="32">
        <f>IF(B545="","",TRIM(INDEX('Form Responses'!$H:$H,ROW())&amp;""))</f>
        <v/>
      </c>
      <c r="K545" s="32">
        <f>IF(B545="","",TRIM(INDEX('Form Responses'!$I:$I,ROW())&amp;""))</f>
        <v/>
      </c>
      <c r="L545" s="32">
        <f>IF(B545="","",TRIM(INDEX('Form Responses'!$J:$J,ROW())&amp;""))</f>
        <v/>
      </c>
      <c r="M545" s="32">
        <f>IF(B545="","",TRIM(INDEX('Form Responses'!$K:$K,ROW())&amp;""))</f>
        <v/>
      </c>
      <c r="N545" s="32">
        <f>IF(B545="","",IF(E545&lt;&gt;"","P"&amp;E545,"N"&amp;B545))</f>
        <v/>
      </c>
      <c r="O545" s="32">
        <f>IF(N545="",0,IF(COUNTIF(N546:N$602,N545)=0,1,0))</f>
        <v/>
      </c>
      <c r="P545" s="32">
        <f>IF(AND(O545=1,E545&lt;&gt;""),E545,"")</f>
        <v/>
      </c>
      <c r="Q545" s="32">
        <f>IF(O545=1,B545,"")</f>
        <v/>
      </c>
      <c r="R545" s="32">
        <f>IF(O545&lt;&gt;1,"",IF(E545&lt;&gt;"",IFERROR(MATCH(E545,Guests!$S$6:$S$505,0)+5,IFERROR(MATCH(B545,Guests!$A$6:$A$505,0)+5,"")),IFERROR(MATCH(B545,Guests!$A$6:$A$505,0)+5,"")))</f>
        <v/>
      </c>
      <c r="S545" s="32">
        <f>IF(R545="","",TRIM(INDEX(Guests!$E$1:$E$505,R545)&amp;""))</f>
        <v/>
      </c>
      <c r="T545" s="32">
        <f>IF(R545="","",IF(S545="",1,COUNTIF(Guests!$E$6:$E$505,S545)))</f>
        <v/>
      </c>
      <c r="U545" s="32">
        <f>IF(R545="","",IF(S545="",1,IF(COUNTIF(S$1:S544,S545)=0,1,0)))</f>
        <v/>
      </c>
      <c r="V545" s="32">
        <f>IF(AND(R545&lt;&gt;"",G545="Attending",U545=1),MAX(0,H545+I545-T545),0)</f>
        <v/>
      </c>
      <c r="W545" s="32">
        <f>IF(AND(O545=1,R545=""),1,0)</f>
        <v/>
      </c>
      <c r="X545" s="32">
        <f>IF(B545="",0,H545+I545)</f>
        <v/>
      </c>
      <c r="Y545" s="32">
        <f>N(Y544)+O545</f>
        <v/>
      </c>
      <c r="Z545" s="32">
        <f>IF(O545=1,Y545,"")</f>
        <v/>
      </c>
      <c r="AA545" s="32">
        <f>IF(AND(W545=1,G545="Not sure yet"),1,0)</f>
        <v/>
      </c>
      <c r="AB545" s="32">
        <f>N(AB544)+AA545</f>
        <v/>
      </c>
      <c r="AC545" s="32">
        <f>IF(AA545=1,AB545,"")</f>
        <v/>
      </c>
      <c r="AD545" s="32">
        <f>IF(D545="","",IF(LEN(D545)=10,"+1"&amp;D545,IF(AND(LEN(D545)=11,LEFT(D545,1)="1"),"+"&amp;D545,IF(LEFT(C545,1)="+","+"&amp;D545,D545))))</f>
        <v/>
      </c>
      <c r="AE545" s="32">
        <f>IF(B545="","",PROPER(IFERROR(LEFT(B545,FIND(" ",B545)-1),B545)))</f>
        <v/>
      </c>
      <c r="AF545" s="32">
        <f>SUBSTITUTE(SUBSTITUTE(SUBSTITUTE(SUBSTITUTE(SUBSTITUTE(SUBSTITUTE(SUBSTITUTE(SUBSTITUTE(SUBSTITUTE(SUBSTITUTE(AE545,"%","%25"),"&amp;","%26"),"#","%23"),"+","%2B"),"=","%3D"),"?","%3F"),CHAR(34),"%22"),CHAR(10),"%0A"),CHAR(13),"")," ","+")</f>
        <v/>
      </c>
      <c r="AG545" s="32">
        <f>IF(OR(AD545="",AE545=""),"",'Start Here'!$B$20&amp;"#p="&amp;SUBSTITUTE(AD545,"+","%2B")&amp;"&amp;n="&amp;AF545&amp;"&amp;m="&amp;SUBSTITUTE('Start Here'!$B$24,"{name}",AF545))</f>
        <v/>
      </c>
      <c r="AH545" s="32">
        <f>N(AH544)+W545</f>
        <v/>
      </c>
      <c r="AI545" s="32">
        <f>IF(W545=1,AH545,"")</f>
        <v/>
      </c>
    </row>
    <row r="546">
      <c r="A546" s="32">
        <f>IF(INDEX('Form Responses'!$A:$A,ROW())="","",INDEX('Form Responses'!$A:$A,ROW()))</f>
        <v/>
      </c>
      <c r="B546" s="32">
        <f>TRIM(INDEX('Form Responses'!$B:$B,ROW())&amp;"")</f>
        <v/>
      </c>
      <c r="C546" s="32">
        <f>IF(B546="","",TRIM(INDEX('Form Responses'!$C:$C,ROW())&amp;""))</f>
        <v/>
      </c>
      <c r="D546" s="32">
        <f>SUBSTITUTE(SUBSTITUTE(SUBSTITUTE(SUBSTITUTE(SUBSTITUTE(SUBSTITUTE(SUBSTITUTE(SUBSTITUTE(C546," ",""),"-",""),"(",""),")",""),".",""),"+",""),"/",""),CHAR(160),"")</f>
        <v/>
      </c>
      <c r="E546" s="32">
        <f>IF(LEN(D546)&gt;=10,RIGHT(D546,10),D546)</f>
        <v/>
      </c>
      <c r="F546" s="32">
        <f>IF(B546="","",TRIM(INDEX('Form Responses'!$D:$D,ROW())&amp;""))</f>
        <v/>
      </c>
      <c r="G546" s="32">
        <f>IF(B546="","",IF(LEFT(TRIM(INDEX('Form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6" s="32">
        <f>IF(B546="","",MAX(0,IFERROR(INT(--(INDEX('Form Responses'!$F:$F,ROW())&amp;"")),1)))</f>
        <v/>
      </c>
      <c r="I546" s="32">
        <f>IF(B546="","",MAX(0,IFERROR(INT(--(INDEX('Form Responses'!$G:$G,ROW())&amp;"")),0)))</f>
        <v/>
      </c>
      <c r="J546" s="32">
        <f>IF(B546="","",TRIM(INDEX('Form Responses'!$H:$H,ROW())&amp;""))</f>
        <v/>
      </c>
      <c r="K546" s="32">
        <f>IF(B546="","",TRIM(INDEX('Form Responses'!$I:$I,ROW())&amp;""))</f>
        <v/>
      </c>
      <c r="L546" s="32">
        <f>IF(B546="","",TRIM(INDEX('Form Responses'!$J:$J,ROW())&amp;""))</f>
        <v/>
      </c>
      <c r="M546" s="32">
        <f>IF(B546="","",TRIM(INDEX('Form Responses'!$K:$K,ROW())&amp;""))</f>
        <v/>
      </c>
      <c r="N546" s="32">
        <f>IF(B546="","",IF(E546&lt;&gt;"","P"&amp;E546,"N"&amp;B546))</f>
        <v/>
      </c>
      <c r="O546" s="32">
        <f>IF(N546="",0,IF(COUNTIF(N547:N$602,N546)=0,1,0))</f>
        <v/>
      </c>
      <c r="P546" s="32">
        <f>IF(AND(O546=1,E546&lt;&gt;""),E546,"")</f>
        <v/>
      </c>
      <c r="Q546" s="32">
        <f>IF(O546=1,B546,"")</f>
        <v/>
      </c>
      <c r="R546" s="32">
        <f>IF(O546&lt;&gt;1,"",IF(E546&lt;&gt;"",IFERROR(MATCH(E546,Guests!$S$6:$S$505,0)+5,IFERROR(MATCH(B546,Guests!$A$6:$A$505,0)+5,"")),IFERROR(MATCH(B546,Guests!$A$6:$A$505,0)+5,"")))</f>
        <v/>
      </c>
      <c r="S546" s="32">
        <f>IF(R546="","",TRIM(INDEX(Guests!$E$1:$E$505,R546)&amp;""))</f>
        <v/>
      </c>
      <c r="T546" s="32">
        <f>IF(R546="","",IF(S546="",1,COUNTIF(Guests!$E$6:$E$505,S546)))</f>
        <v/>
      </c>
      <c r="U546" s="32">
        <f>IF(R546="","",IF(S546="",1,IF(COUNTIF(S$1:S545,S546)=0,1,0)))</f>
        <v/>
      </c>
      <c r="V546" s="32">
        <f>IF(AND(R546&lt;&gt;"",G546="Attending",U546=1),MAX(0,H546+I546-T546),0)</f>
        <v/>
      </c>
      <c r="W546" s="32">
        <f>IF(AND(O546=1,R546=""),1,0)</f>
        <v/>
      </c>
      <c r="X546" s="32">
        <f>IF(B546="",0,H546+I546)</f>
        <v/>
      </c>
      <c r="Y546" s="32">
        <f>N(Y545)+O546</f>
        <v/>
      </c>
      <c r="Z546" s="32">
        <f>IF(O546=1,Y546,"")</f>
        <v/>
      </c>
      <c r="AA546" s="32">
        <f>IF(AND(W546=1,G546="Not sure yet"),1,0)</f>
        <v/>
      </c>
      <c r="AB546" s="32">
        <f>N(AB545)+AA546</f>
        <v/>
      </c>
      <c r="AC546" s="32">
        <f>IF(AA546=1,AB546,"")</f>
        <v/>
      </c>
      <c r="AD546" s="32">
        <f>IF(D546="","",IF(LEN(D546)=10,"+1"&amp;D546,IF(AND(LEN(D546)=11,LEFT(D546,1)="1"),"+"&amp;D546,IF(LEFT(C546,1)="+","+"&amp;D546,D546))))</f>
        <v/>
      </c>
      <c r="AE546" s="32">
        <f>IF(B546="","",PROPER(IFERROR(LEFT(B546,FIND(" ",B546)-1),B546)))</f>
        <v/>
      </c>
      <c r="AF546" s="32">
        <f>SUBSTITUTE(SUBSTITUTE(SUBSTITUTE(SUBSTITUTE(SUBSTITUTE(SUBSTITUTE(SUBSTITUTE(SUBSTITUTE(SUBSTITUTE(SUBSTITUTE(AE546,"%","%25"),"&amp;","%26"),"#","%23"),"+","%2B"),"=","%3D"),"?","%3F"),CHAR(34),"%22"),CHAR(10),"%0A"),CHAR(13),"")," ","+")</f>
        <v/>
      </c>
      <c r="AG546" s="32">
        <f>IF(OR(AD546="",AE546=""),"",'Start Here'!$B$20&amp;"#p="&amp;SUBSTITUTE(AD546,"+","%2B")&amp;"&amp;n="&amp;AF546&amp;"&amp;m="&amp;SUBSTITUTE('Start Here'!$B$24,"{name}",AF546))</f>
        <v/>
      </c>
      <c r="AH546" s="32">
        <f>N(AH545)+W546</f>
        <v/>
      </c>
      <c r="AI546" s="32">
        <f>IF(W546=1,AH546,"")</f>
        <v/>
      </c>
    </row>
    <row r="547">
      <c r="A547" s="32">
        <f>IF(INDEX('Form Responses'!$A:$A,ROW())="","",INDEX('Form Responses'!$A:$A,ROW()))</f>
        <v/>
      </c>
      <c r="B547" s="32">
        <f>TRIM(INDEX('Form Responses'!$B:$B,ROW())&amp;"")</f>
        <v/>
      </c>
      <c r="C547" s="32">
        <f>IF(B547="","",TRIM(INDEX('Form Responses'!$C:$C,ROW())&amp;""))</f>
        <v/>
      </c>
      <c r="D547" s="32">
        <f>SUBSTITUTE(SUBSTITUTE(SUBSTITUTE(SUBSTITUTE(SUBSTITUTE(SUBSTITUTE(SUBSTITUTE(SUBSTITUTE(C547," ",""),"-",""),"(",""),")",""),".",""),"+",""),"/",""),CHAR(160),"")</f>
        <v/>
      </c>
      <c r="E547" s="32">
        <f>IF(LEN(D547)&gt;=10,RIGHT(D547,10),D547)</f>
        <v/>
      </c>
      <c r="F547" s="32">
        <f>IF(B547="","",TRIM(INDEX('Form Responses'!$D:$D,ROW())&amp;""))</f>
        <v/>
      </c>
      <c r="G547" s="32">
        <f>IF(B547="","",IF(LEFT(TRIM(INDEX('Form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7" s="32">
        <f>IF(B547="","",MAX(0,IFERROR(INT(--(INDEX('Form Responses'!$F:$F,ROW())&amp;"")),1)))</f>
        <v/>
      </c>
      <c r="I547" s="32">
        <f>IF(B547="","",MAX(0,IFERROR(INT(--(INDEX('Form Responses'!$G:$G,ROW())&amp;"")),0)))</f>
        <v/>
      </c>
      <c r="J547" s="32">
        <f>IF(B547="","",TRIM(INDEX('Form Responses'!$H:$H,ROW())&amp;""))</f>
        <v/>
      </c>
      <c r="K547" s="32">
        <f>IF(B547="","",TRIM(INDEX('Form Responses'!$I:$I,ROW())&amp;""))</f>
        <v/>
      </c>
      <c r="L547" s="32">
        <f>IF(B547="","",TRIM(INDEX('Form Responses'!$J:$J,ROW())&amp;""))</f>
        <v/>
      </c>
      <c r="M547" s="32">
        <f>IF(B547="","",TRIM(INDEX('Form Responses'!$K:$K,ROW())&amp;""))</f>
        <v/>
      </c>
      <c r="N547" s="32">
        <f>IF(B547="","",IF(E547&lt;&gt;"","P"&amp;E547,"N"&amp;B547))</f>
        <v/>
      </c>
      <c r="O547" s="32">
        <f>IF(N547="",0,IF(COUNTIF(N548:N$602,N547)=0,1,0))</f>
        <v/>
      </c>
      <c r="P547" s="32">
        <f>IF(AND(O547=1,E547&lt;&gt;""),E547,"")</f>
        <v/>
      </c>
      <c r="Q547" s="32">
        <f>IF(O547=1,B547,"")</f>
        <v/>
      </c>
      <c r="R547" s="32">
        <f>IF(O547&lt;&gt;1,"",IF(E547&lt;&gt;"",IFERROR(MATCH(E547,Guests!$S$6:$S$505,0)+5,IFERROR(MATCH(B547,Guests!$A$6:$A$505,0)+5,"")),IFERROR(MATCH(B547,Guests!$A$6:$A$505,0)+5,"")))</f>
        <v/>
      </c>
      <c r="S547" s="32">
        <f>IF(R547="","",TRIM(INDEX(Guests!$E$1:$E$505,R547)&amp;""))</f>
        <v/>
      </c>
      <c r="T547" s="32">
        <f>IF(R547="","",IF(S547="",1,COUNTIF(Guests!$E$6:$E$505,S547)))</f>
        <v/>
      </c>
      <c r="U547" s="32">
        <f>IF(R547="","",IF(S547="",1,IF(COUNTIF(S$1:S546,S547)=0,1,0)))</f>
        <v/>
      </c>
      <c r="V547" s="32">
        <f>IF(AND(R547&lt;&gt;"",G547="Attending",U547=1),MAX(0,H547+I547-T547),0)</f>
        <v/>
      </c>
      <c r="W547" s="32">
        <f>IF(AND(O547=1,R547=""),1,0)</f>
        <v/>
      </c>
      <c r="X547" s="32">
        <f>IF(B547="",0,H547+I547)</f>
        <v/>
      </c>
      <c r="Y547" s="32">
        <f>N(Y546)+O547</f>
        <v/>
      </c>
      <c r="Z547" s="32">
        <f>IF(O547=1,Y547,"")</f>
        <v/>
      </c>
      <c r="AA547" s="32">
        <f>IF(AND(W547=1,G547="Not sure yet"),1,0)</f>
        <v/>
      </c>
      <c r="AB547" s="32">
        <f>N(AB546)+AA547</f>
        <v/>
      </c>
      <c r="AC547" s="32">
        <f>IF(AA547=1,AB547,"")</f>
        <v/>
      </c>
      <c r="AD547" s="32">
        <f>IF(D547="","",IF(LEN(D547)=10,"+1"&amp;D547,IF(AND(LEN(D547)=11,LEFT(D547,1)="1"),"+"&amp;D547,IF(LEFT(C547,1)="+","+"&amp;D547,D547))))</f>
        <v/>
      </c>
      <c r="AE547" s="32">
        <f>IF(B547="","",PROPER(IFERROR(LEFT(B547,FIND(" ",B547)-1),B547)))</f>
        <v/>
      </c>
      <c r="AF547" s="32">
        <f>SUBSTITUTE(SUBSTITUTE(SUBSTITUTE(SUBSTITUTE(SUBSTITUTE(SUBSTITUTE(SUBSTITUTE(SUBSTITUTE(SUBSTITUTE(SUBSTITUTE(AE547,"%","%25"),"&amp;","%26"),"#","%23"),"+","%2B"),"=","%3D"),"?","%3F"),CHAR(34),"%22"),CHAR(10),"%0A"),CHAR(13),"")," ","+")</f>
        <v/>
      </c>
      <c r="AG547" s="32">
        <f>IF(OR(AD547="",AE547=""),"",'Start Here'!$B$20&amp;"#p="&amp;SUBSTITUTE(AD547,"+","%2B")&amp;"&amp;n="&amp;AF547&amp;"&amp;m="&amp;SUBSTITUTE('Start Here'!$B$24,"{name}",AF547))</f>
        <v/>
      </c>
      <c r="AH547" s="32">
        <f>N(AH546)+W547</f>
        <v/>
      </c>
      <c r="AI547" s="32">
        <f>IF(W547=1,AH547,"")</f>
        <v/>
      </c>
    </row>
    <row r="548">
      <c r="A548" s="32">
        <f>IF(INDEX('Form Responses'!$A:$A,ROW())="","",INDEX('Form Responses'!$A:$A,ROW()))</f>
        <v/>
      </c>
      <c r="B548" s="32">
        <f>TRIM(INDEX('Form Responses'!$B:$B,ROW())&amp;"")</f>
        <v/>
      </c>
      <c r="C548" s="32">
        <f>IF(B548="","",TRIM(INDEX('Form Responses'!$C:$C,ROW())&amp;""))</f>
        <v/>
      </c>
      <c r="D548" s="32">
        <f>SUBSTITUTE(SUBSTITUTE(SUBSTITUTE(SUBSTITUTE(SUBSTITUTE(SUBSTITUTE(SUBSTITUTE(SUBSTITUTE(C548," ",""),"-",""),"(",""),")",""),".",""),"+",""),"/",""),CHAR(160),"")</f>
        <v/>
      </c>
      <c r="E548" s="32">
        <f>IF(LEN(D548)&gt;=10,RIGHT(D548,10),D548)</f>
        <v/>
      </c>
      <c r="F548" s="32">
        <f>IF(B548="","",TRIM(INDEX('Form Responses'!$D:$D,ROW())&amp;""))</f>
        <v/>
      </c>
      <c r="G548" s="32">
        <f>IF(B548="","",IF(LEFT(TRIM(INDEX('Form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8" s="32">
        <f>IF(B548="","",MAX(0,IFERROR(INT(--(INDEX('Form Responses'!$F:$F,ROW())&amp;"")),1)))</f>
        <v/>
      </c>
      <c r="I548" s="32">
        <f>IF(B548="","",MAX(0,IFERROR(INT(--(INDEX('Form Responses'!$G:$G,ROW())&amp;"")),0)))</f>
        <v/>
      </c>
      <c r="J548" s="32">
        <f>IF(B548="","",TRIM(INDEX('Form Responses'!$H:$H,ROW())&amp;""))</f>
        <v/>
      </c>
      <c r="K548" s="32">
        <f>IF(B548="","",TRIM(INDEX('Form Responses'!$I:$I,ROW())&amp;""))</f>
        <v/>
      </c>
      <c r="L548" s="32">
        <f>IF(B548="","",TRIM(INDEX('Form Responses'!$J:$J,ROW())&amp;""))</f>
        <v/>
      </c>
      <c r="M548" s="32">
        <f>IF(B548="","",TRIM(INDEX('Form Responses'!$K:$K,ROW())&amp;""))</f>
        <v/>
      </c>
      <c r="N548" s="32">
        <f>IF(B548="","",IF(E548&lt;&gt;"","P"&amp;E548,"N"&amp;B548))</f>
        <v/>
      </c>
      <c r="O548" s="32">
        <f>IF(N548="",0,IF(COUNTIF(N549:N$602,N548)=0,1,0))</f>
        <v/>
      </c>
      <c r="P548" s="32">
        <f>IF(AND(O548=1,E548&lt;&gt;""),E548,"")</f>
        <v/>
      </c>
      <c r="Q548" s="32">
        <f>IF(O548=1,B548,"")</f>
        <v/>
      </c>
      <c r="R548" s="32">
        <f>IF(O548&lt;&gt;1,"",IF(E548&lt;&gt;"",IFERROR(MATCH(E548,Guests!$S$6:$S$505,0)+5,IFERROR(MATCH(B548,Guests!$A$6:$A$505,0)+5,"")),IFERROR(MATCH(B548,Guests!$A$6:$A$505,0)+5,"")))</f>
        <v/>
      </c>
      <c r="S548" s="32">
        <f>IF(R548="","",TRIM(INDEX(Guests!$E$1:$E$505,R548)&amp;""))</f>
        <v/>
      </c>
      <c r="T548" s="32">
        <f>IF(R548="","",IF(S548="",1,COUNTIF(Guests!$E$6:$E$505,S548)))</f>
        <v/>
      </c>
      <c r="U548" s="32">
        <f>IF(R548="","",IF(S548="",1,IF(COUNTIF(S$1:S547,S548)=0,1,0)))</f>
        <v/>
      </c>
      <c r="V548" s="32">
        <f>IF(AND(R548&lt;&gt;"",G548="Attending",U548=1),MAX(0,H548+I548-T548),0)</f>
        <v/>
      </c>
      <c r="W548" s="32">
        <f>IF(AND(O548=1,R548=""),1,0)</f>
        <v/>
      </c>
      <c r="X548" s="32">
        <f>IF(B548="",0,H548+I548)</f>
        <v/>
      </c>
      <c r="Y548" s="32">
        <f>N(Y547)+O548</f>
        <v/>
      </c>
      <c r="Z548" s="32">
        <f>IF(O548=1,Y548,"")</f>
        <v/>
      </c>
      <c r="AA548" s="32">
        <f>IF(AND(W548=1,G548="Not sure yet"),1,0)</f>
        <v/>
      </c>
      <c r="AB548" s="32">
        <f>N(AB547)+AA548</f>
        <v/>
      </c>
      <c r="AC548" s="32">
        <f>IF(AA548=1,AB548,"")</f>
        <v/>
      </c>
      <c r="AD548" s="32">
        <f>IF(D548="","",IF(LEN(D548)=10,"+1"&amp;D548,IF(AND(LEN(D548)=11,LEFT(D548,1)="1"),"+"&amp;D548,IF(LEFT(C548,1)="+","+"&amp;D548,D548))))</f>
        <v/>
      </c>
      <c r="AE548" s="32">
        <f>IF(B548="","",PROPER(IFERROR(LEFT(B548,FIND(" ",B548)-1),B548)))</f>
        <v/>
      </c>
      <c r="AF548" s="32">
        <f>SUBSTITUTE(SUBSTITUTE(SUBSTITUTE(SUBSTITUTE(SUBSTITUTE(SUBSTITUTE(SUBSTITUTE(SUBSTITUTE(SUBSTITUTE(SUBSTITUTE(AE548,"%","%25"),"&amp;","%26"),"#","%23"),"+","%2B"),"=","%3D"),"?","%3F"),CHAR(34),"%22"),CHAR(10),"%0A"),CHAR(13),"")," ","+")</f>
        <v/>
      </c>
      <c r="AG548" s="32">
        <f>IF(OR(AD548="",AE548=""),"",'Start Here'!$B$20&amp;"#p="&amp;SUBSTITUTE(AD548,"+","%2B")&amp;"&amp;n="&amp;AF548&amp;"&amp;m="&amp;SUBSTITUTE('Start Here'!$B$24,"{name}",AF548))</f>
        <v/>
      </c>
      <c r="AH548" s="32">
        <f>N(AH547)+W548</f>
        <v/>
      </c>
      <c r="AI548" s="32">
        <f>IF(W548=1,AH548,"")</f>
        <v/>
      </c>
    </row>
    <row r="549">
      <c r="A549" s="32">
        <f>IF(INDEX('Form Responses'!$A:$A,ROW())="","",INDEX('Form Responses'!$A:$A,ROW()))</f>
        <v/>
      </c>
      <c r="B549" s="32">
        <f>TRIM(INDEX('Form Responses'!$B:$B,ROW())&amp;"")</f>
        <v/>
      </c>
      <c r="C549" s="32">
        <f>IF(B549="","",TRIM(INDEX('Form Responses'!$C:$C,ROW())&amp;""))</f>
        <v/>
      </c>
      <c r="D549" s="32">
        <f>SUBSTITUTE(SUBSTITUTE(SUBSTITUTE(SUBSTITUTE(SUBSTITUTE(SUBSTITUTE(SUBSTITUTE(SUBSTITUTE(C549," ",""),"-",""),"(",""),")",""),".",""),"+",""),"/",""),CHAR(160),"")</f>
        <v/>
      </c>
      <c r="E549" s="32">
        <f>IF(LEN(D549)&gt;=10,RIGHT(D549,10),D549)</f>
        <v/>
      </c>
      <c r="F549" s="32">
        <f>IF(B549="","",TRIM(INDEX('Form Responses'!$D:$D,ROW())&amp;""))</f>
        <v/>
      </c>
      <c r="G549" s="32">
        <f>IF(B549="","",IF(LEFT(TRIM(INDEX('Form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49" s="32">
        <f>IF(B549="","",MAX(0,IFERROR(INT(--(INDEX('Form Responses'!$F:$F,ROW())&amp;"")),1)))</f>
        <v/>
      </c>
      <c r="I549" s="32">
        <f>IF(B549="","",MAX(0,IFERROR(INT(--(INDEX('Form Responses'!$G:$G,ROW())&amp;"")),0)))</f>
        <v/>
      </c>
      <c r="J549" s="32">
        <f>IF(B549="","",TRIM(INDEX('Form Responses'!$H:$H,ROW())&amp;""))</f>
        <v/>
      </c>
      <c r="K549" s="32">
        <f>IF(B549="","",TRIM(INDEX('Form Responses'!$I:$I,ROW())&amp;""))</f>
        <v/>
      </c>
      <c r="L549" s="32">
        <f>IF(B549="","",TRIM(INDEX('Form Responses'!$J:$J,ROW())&amp;""))</f>
        <v/>
      </c>
      <c r="M549" s="32">
        <f>IF(B549="","",TRIM(INDEX('Form Responses'!$K:$K,ROW())&amp;""))</f>
        <v/>
      </c>
      <c r="N549" s="32">
        <f>IF(B549="","",IF(E549&lt;&gt;"","P"&amp;E549,"N"&amp;B549))</f>
        <v/>
      </c>
      <c r="O549" s="32">
        <f>IF(N549="",0,IF(COUNTIF(N550:N$602,N549)=0,1,0))</f>
        <v/>
      </c>
      <c r="P549" s="32">
        <f>IF(AND(O549=1,E549&lt;&gt;""),E549,"")</f>
        <v/>
      </c>
      <c r="Q549" s="32">
        <f>IF(O549=1,B549,"")</f>
        <v/>
      </c>
      <c r="R549" s="32">
        <f>IF(O549&lt;&gt;1,"",IF(E549&lt;&gt;"",IFERROR(MATCH(E549,Guests!$S$6:$S$505,0)+5,IFERROR(MATCH(B549,Guests!$A$6:$A$505,0)+5,"")),IFERROR(MATCH(B549,Guests!$A$6:$A$505,0)+5,"")))</f>
        <v/>
      </c>
      <c r="S549" s="32">
        <f>IF(R549="","",TRIM(INDEX(Guests!$E$1:$E$505,R549)&amp;""))</f>
        <v/>
      </c>
      <c r="T549" s="32">
        <f>IF(R549="","",IF(S549="",1,COUNTIF(Guests!$E$6:$E$505,S549)))</f>
        <v/>
      </c>
      <c r="U549" s="32">
        <f>IF(R549="","",IF(S549="",1,IF(COUNTIF(S$1:S548,S549)=0,1,0)))</f>
        <v/>
      </c>
      <c r="V549" s="32">
        <f>IF(AND(R549&lt;&gt;"",G549="Attending",U549=1),MAX(0,H549+I549-T549),0)</f>
        <v/>
      </c>
      <c r="W549" s="32">
        <f>IF(AND(O549=1,R549=""),1,0)</f>
        <v/>
      </c>
      <c r="X549" s="32">
        <f>IF(B549="",0,H549+I549)</f>
        <v/>
      </c>
      <c r="Y549" s="32">
        <f>N(Y548)+O549</f>
        <v/>
      </c>
      <c r="Z549" s="32">
        <f>IF(O549=1,Y549,"")</f>
        <v/>
      </c>
      <c r="AA549" s="32">
        <f>IF(AND(W549=1,G549="Not sure yet"),1,0)</f>
        <v/>
      </c>
      <c r="AB549" s="32">
        <f>N(AB548)+AA549</f>
        <v/>
      </c>
      <c r="AC549" s="32">
        <f>IF(AA549=1,AB549,"")</f>
        <v/>
      </c>
      <c r="AD549" s="32">
        <f>IF(D549="","",IF(LEN(D549)=10,"+1"&amp;D549,IF(AND(LEN(D549)=11,LEFT(D549,1)="1"),"+"&amp;D549,IF(LEFT(C549,1)="+","+"&amp;D549,D549))))</f>
        <v/>
      </c>
      <c r="AE549" s="32">
        <f>IF(B549="","",PROPER(IFERROR(LEFT(B549,FIND(" ",B549)-1),B549)))</f>
        <v/>
      </c>
      <c r="AF549" s="32">
        <f>SUBSTITUTE(SUBSTITUTE(SUBSTITUTE(SUBSTITUTE(SUBSTITUTE(SUBSTITUTE(SUBSTITUTE(SUBSTITUTE(SUBSTITUTE(SUBSTITUTE(AE549,"%","%25"),"&amp;","%26"),"#","%23"),"+","%2B"),"=","%3D"),"?","%3F"),CHAR(34),"%22"),CHAR(10),"%0A"),CHAR(13),"")," ","+")</f>
        <v/>
      </c>
      <c r="AG549" s="32">
        <f>IF(OR(AD549="",AE549=""),"",'Start Here'!$B$20&amp;"#p="&amp;SUBSTITUTE(AD549,"+","%2B")&amp;"&amp;n="&amp;AF549&amp;"&amp;m="&amp;SUBSTITUTE('Start Here'!$B$24,"{name}",AF549))</f>
        <v/>
      </c>
      <c r="AH549" s="32">
        <f>N(AH548)+W549</f>
        <v/>
      </c>
      <c r="AI549" s="32">
        <f>IF(W549=1,AH549,"")</f>
        <v/>
      </c>
    </row>
    <row r="550">
      <c r="A550" s="32">
        <f>IF(INDEX('Form Responses'!$A:$A,ROW())="","",INDEX('Form Responses'!$A:$A,ROW()))</f>
        <v/>
      </c>
      <c r="B550" s="32">
        <f>TRIM(INDEX('Form Responses'!$B:$B,ROW())&amp;"")</f>
        <v/>
      </c>
      <c r="C550" s="32">
        <f>IF(B550="","",TRIM(INDEX('Form Responses'!$C:$C,ROW())&amp;""))</f>
        <v/>
      </c>
      <c r="D550" s="32">
        <f>SUBSTITUTE(SUBSTITUTE(SUBSTITUTE(SUBSTITUTE(SUBSTITUTE(SUBSTITUTE(SUBSTITUTE(SUBSTITUTE(C550," ",""),"-",""),"(",""),")",""),".",""),"+",""),"/",""),CHAR(160),"")</f>
        <v/>
      </c>
      <c r="E550" s="32">
        <f>IF(LEN(D550)&gt;=10,RIGHT(D550,10),D550)</f>
        <v/>
      </c>
      <c r="F550" s="32">
        <f>IF(B550="","",TRIM(INDEX('Form Responses'!$D:$D,ROW())&amp;""))</f>
        <v/>
      </c>
      <c r="G550" s="32">
        <f>IF(B550="","",IF(LEFT(TRIM(INDEX('Form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0" s="32">
        <f>IF(B550="","",MAX(0,IFERROR(INT(--(INDEX('Form Responses'!$F:$F,ROW())&amp;"")),1)))</f>
        <v/>
      </c>
      <c r="I550" s="32">
        <f>IF(B550="","",MAX(0,IFERROR(INT(--(INDEX('Form Responses'!$G:$G,ROW())&amp;"")),0)))</f>
        <v/>
      </c>
      <c r="J550" s="32">
        <f>IF(B550="","",TRIM(INDEX('Form Responses'!$H:$H,ROW())&amp;""))</f>
        <v/>
      </c>
      <c r="K550" s="32">
        <f>IF(B550="","",TRIM(INDEX('Form Responses'!$I:$I,ROW())&amp;""))</f>
        <v/>
      </c>
      <c r="L550" s="32">
        <f>IF(B550="","",TRIM(INDEX('Form Responses'!$J:$J,ROW())&amp;""))</f>
        <v/>
      </c>
      <c r="M550" s="32">
        <f>IF(B550="","",TRIM(INDEX('Form Responses'!$K:$K,ROW())&amp;""))</f>
        <v/>
      </c>
      <c r="N550" s="32">
        <f>IF(B550="","",IF(E550&lt;&gt;"","P"&amp;E550,"N"&amp;B550))</f>
        <v/>
      </c>
      <c r="O550" s="32">
        <f>IF(N550="",0,IF(COUNTIF(N551:N$602,N550)=0,1,0))</f>
        <v/>
      </c>
      <c r="P550" s="32">
        <f>IF(AND(O550=1,E550&lt;&gt;""),E550,"")</f>
        <v/>
      </c>
      <c r="Q550" s="32">
        <f>IF(O550=1,B550,"")</f>
        <v/>
      </c>
      <c r="R550" s="32">
        <f>IF(O550&lt;&gt;1,"",IF(E550&lt;&gt;"",IFERROR(MATCH(E550,Guests!$S$6:$S$505,0)+5,IFERROR(MATCH(B550,Guests!$A$6:$A$505,0)+5,"")),IFERROR(MATCH(B550,Guests!$A$6:$A$505,0)+5,"")))</f>
        <v/>
      </c>
      <c r="S550" s="32">
        <f>IF(R550="","",TRIM(INDEX(Guests!$E$1:$E$505,R550)&amp;""))</f>
        <v/>
      </c>
      <c r="T550" s="32">
        <f>IF(R550="","",IF(S550="",1,COUNTIF(Guests!$E$6:$E$505,S550)))</f>
        <v/>
      </c>
      <c r="U550" s="32">
        <f>IF(R550="","",IF(S550="",1,IF(COUNTIF(S$1:S549,S550)=0,1,0)))</f>
        <v/>
      </c>
      <c r="V550" s="32">
        <f>IF(AND(R550&lt;&gt;"",G550="Attending",U550=1),MAX(0,H550+I550-T550),0)</f>
        <v/>
      </c>
      <c r="W550" s="32">
        <f>IF(AND(O550=1,R550=""),1,0)</f>
        <v/>
      </c>
      <c r="X550" s="32">
        <f>IF(B550="",0,H550+I550)</f>
        <v/>
      </c>
      <c r="Y550" s="32">
        <f>N(Y549)+O550</f>
        <v/>
      </c>
      <c r="Z550" s="32">
        <f>IF(O550=1,Y550,"")</f>
        <v/>
      </c>
      <c r="AA550" s="32">
        <f>IF(AND(W550=1,G550="Not sure yet"),1,0)</f>
        <v/>
      </c>
      <c r="AB550" s="32">
        <f>N(AB549)+AA550</f>
        <v/>
      </c>
      <c r="AC550" s="32">
        <f>IF(AA550=1,AB550,"")</f>
        <v/>
      </c>
      <c r="AD550" s="32">
        <f>IF(D550="","",IF(LEN(D550)=10,"+1"&amp;D550,IF(AND(LEN(D550)=11,LEFT(D550,1)="1"),"+"&amp;D550,IF(LEFT(C550,1)="+","+"&amp;D550,D550))))</f>
        <v/>
      </c>
      <c r="AE550" s="32">
        <f>IF(B550="","",PROPER(IFERROR(LEFT(B550,FIND(" ",B550)-1),B550)))</f>
        <v/>
      </c>
      <c r="AF550" s="32">
        <f>SUBSTITUTE(SUBSTITUTE(SUBSTITUTE(SUBSTITUTE(SUBSTITUTE(SUBSTITUTE(SUBSTITUTE(SUBSTITUTE(SUBSTITUTE(SUBSTITUTE(AE550,"%","%25"),"&amp;","%26"),"#","%23"),"+","%2B"),"=","%3D"),"?","%3F"),CHAR(34),"%22"),CHAR(10),"%0A"),CHAR(13),"")," ","+")</f>
        <v/>
      </c>
      <c r="AG550" s="32">
        <f>IF(OR(AD550="",AE550=""),"",'Start Here'!$B$20&amp;"#p="&amp;SUBSTITUTE(AD550,"+","%2B")&amp;"&amp;n="&amp;AF550&amp;"&amp;m="&amp;SUBSTITUTE('Start Here'!$B$24,"{name}",AF550))</f>
        <v/>
      </c>
      <c r="AH550" s="32">
        <f>N(AH549)+W550</f>
        <v/>
      </c>
      <c r="AI550" s="32">
        <f>IF(W550=1,AH550,"")</f>
        <v/>
      </c>
    </row>
    <row r="551">
      <c r="A551" s="32">
        <f>IF(INDEX('Form Responses'!$A:$A,ROW())="","",INDEX('Form Responses'!$A:$A,ROW()))</f>
        <v/>
      </c>
      <c r="B551" s="32">
        <f>TRIM(INDEX('Form Responses'!$B:$B,ROW())&amp;"")</f>
        <v/>
      </c>
      <c r="C551" s="32">
        <f>IF(B551="","",TRIM(INDEX('Form Responses'!$C:$C,ROW())&amp;""))</f>
        <v/>
      </c>
      <c r="D551" s="32">
        <f>SUBSTITUTE(SUBSTITUTE(SUBSTITUTE(SUBSTITUTE(SUBSTITUTE(SUBSTITUTE(SUBSTITUTE(SUBSTITUTE(C551," ",""),"-",""),"(",""),")",""),".",""),"+",""),"/",""),CHAR(160),"")</f>
        <v/>
      </c>
      <c r="E551" s="32">
        <f>IF(LEN(D551)&gt;=10,RIGHT(D551,10),D551)</f>
        <v/>
      </c>
      <c r="F551" s="32">
        <f>IF(B551="","",TRIM(INDEX('Form Responses'!$D:$D,ROW())&amp;""))</f>
        <v/>
      </c>
      <c r="G551" s="32">
        <f>IF(B551="","",IF(LEFT(TRIM(INDEX('Form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1" s="32">
        <f>IF(B551="","",MAX(0,IFERROR(INT(--(INDEX('Form Responses'!$F:$F,ROW())&amp;"")),1)))</f>
        <v/>
      </c>
      <c r="I551" s="32">
        <f>IF(B551="","",MAX(0,IFERROR(INT(--(INDEX('Form Responses'!$G:$G,ROW())&amp;"")),0)))</f>
        <v/>
      </c>
      <c r="J551" s="32">
        <f>IF(B551="","",TRIM(INDEX('Form Responses'!$H:$H,ROW())&amp;""))</f>
        <v/>
      </c>
      <c r="K551" s="32">
        <f>IF(B551="","",TRIM(INDEX('Form Responses'!$I:$I,ROW())&amp;""))</f>
        <v/>
      </c>
      <c r="L551" s="32">
        <f>IF(B551="","",TRIM(INDEX('Form Responses'!$J:$J,ROW())&amp;""))</f>
        <v/>
      </c>
      <c r="M551" s="32">
        <f>IF(B551="","",TRIM(INDEX('Form Responses'!$K:$K,ROW())&amp;""))</f>
        <v/>
      </c>
      <c r="N551" s="32">
        <f>IF(B551="","",IF(E551&lt;&gt;"","P"&amp;E551,"N"&amp;B551))</f>
        <v/>
      </c>
      <c r="O551" s="32">
        <f>IF(N551="",0,IF(COUNTIF(N552:N$602,N551)=0,1,0))</f>
        <v/>
      </c>
      <c r="P551" s="32">
        <f>IF(AND(O551=1,E551&lt;&gt;""),E551,"")</f>
        <v/>
      </c>
      <c r="Q551" s="32">
        <f>IF(O551=1,B551,"")</f>
        <v/>
      </c>
      <c r="R551" s="32">
        <f>IF(O551&lt;&gt;1,"",IF(E551&lt;&gt;"",IFERROR(MATCH(E551,Guests!$S$6:$S$505,0)+5,IFERROR(MATCH(B551,Guests!$A$6:$A$505,0)+5,"")),IFERROR(MATCH(B551,Guests!$A$6:$A$505,0)+5,"")))</f>
        <v/>
      </c>
      <c r="S551" s="32">
        <f>IF(R551="","",TRIM(INDEX(Guests!$E$1:$E$505,R551)&amp;""))</f>
        <v/>
      </c>
      <c r="T551" s="32">
        <f>IF(R551="","",IF(S551="",1,COUNTIF(Guests!$E$6:$E$505,S551)))</f>
        <v/>
      </c>
      <c r="U551" s="32">
        <f>IF(R551="","",IF(S551="",1,IF(COUNTIF(S$1:S550,S551)=0,1,0)))</f>
        <v/>
      </c>
      <c r="V551" s="32">
        <f>IF(AND(R551&lt;&gt;"",G551="Attending",U551=1),MAX(0,H551+I551-T551),0)</f>
        <v/>
      </c>
      <c r="W551" s="32">
        <f>IF(AND(O551=1,R551=""),1,0)</f>
        <v/>
      </c>
      <c r="X551" s="32">
        <f>IF(B551="",0,H551+I551)</f>
        <v/>
      </c>
      <c r="Y551" s="32">
        <f>N(Y550)+O551</f>
        <v/>
      </c>
      <c r="Z551" s="32">
        <f>IF(O551=1,Y551,"")</f>
        <v/>
      </c>
      <c r="AA551" s="32">
        <f>IF(AND(W551=1,G551="Not sure yet"),1,0)</f>
        <v/>
      </c>
      <c r="AB551" s="32">
        <f>N(AB550)+AA551</f>
        <v/>
      </c>
      <c r="AC551" s="32">
        <f>IF(AA551=1,AB551,"")</f>
        <v/>
      </c>
      <c r="AD551" s="32">
        <f>IF(D551="","",IF(LEN(D551)=10,"+1"&amp;D551,IF(AND(LEN(D551)=11,LEFT(D551,1)="1"),"+"&amp;D551,IF(LEFT(C551,1)="+","+"&amp;D551,D551))))</f>
        <v/>
      </c>
      <c r="AE551" s="32">
        <f>IF(B551="","",PROPER(IFERROR(LEFT(B551,FIND(" ",B551)-1),B551)))</f>
        <v/>
      </c>
      <c r="AF551" s="32">
        <f>SUBSTITUTE(SUBSTITUTE(SUBSTITUTE(SUBSTITUTE(SUBSTITUTE(SUBSTITUTE(SUBSTITUTE(SUBSTITUTE(SUBSTITUTE(SUBSTITUTE(AE551,"%","%25"),"&amp;","%26"),"#","%23"),"+","%2B"),"=","%3D"),"?","%3F"),CHAR(34),"%22"),CHAR(10),"%0A"),CHAR(13),"")," ","+")</f>
        <v/>
      </c>
      <c r="AG551" s="32">
        <f>IF(OR(AD551="",AE551=""),"",'Start Here'!$B$20&amp;"#p="&amp;SUBSTITUTE(AD551,"+","%2B")&amp;"&amp;n="&amp;AF551&amp;"&amp;m="&amp;SUBSTITUTE('Start Here'!$B$24,"{name}",AF551))</f>
        <v/>
      </c>
      <c r="AH551" s="32">
        <f>N(AH550)+W551</f>
        <v/>
      </c>
      <c r="AI551" s="32">
        <f>IF(W551=1,AH551,"")</f>
        <v/>
      </c>
    </row>
    <row r="552">
      <c r="A552" s="32">
        <f>IF(INDEX('Form Responses'!$A:$A,ROW())="","",INDEX('Form Responses'!$A:$A,ROW()))</f>
        <v/>
      </c>
      <c r="B552" s="32">
        <f>TRIM(INDEX('Form Responses'!$B:$B,ROW())&amp;"")</f>
        <v/>
      </c>
      <c r="C552" s="32">
        <f>IF(B552="","",TRIM(INDEX('Form Responses'!$C:$C,ROW())&amp;""))</f>
        <v/>
      </c>
      <c r="D552" s="32">
        <f>SUBSTITUTE(SUBSTITUTE(SUBSTITUTE(SUBSTITUTE(SUBSTITUTE(SUBSTITUTE(SUBSTITUTE(SUBSTITUTE(C552," ",""),"-",""),"(",""),")",""),".",""),"+",""),"/",""),CHAR(160),"")</f>
        <v/>
      </c>
      <c r="E552" s="32">
        <f>IF(LEN(D552)&gt;=10,RIGHT(D552,10),D552)</f>
        <v/>
      </c>
      <c r="F552" s="32">
        <f>IF(B552="","",TRIM(INDEX('Form Responses'!$D:$D,ROW())&amp;""))</f>
        <v/>
      </c>
      <c r="G552" s="32">
        <f>IF(B552="","",IF(LEFT(TRIM(INDEX('Form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2" s="32">
        <f>IF(B552="","",MAX(0,IFERROR(INT(--(INDEX('Form Responses'!$F:$F,ROW())&amp;"")),1)))</f>
        <v/>
      </c>
      <c r="I552" s="32">
        <f>IF(B552="","",MAX(0,IFERROR(INT(--(INDEX('Form Responses'!$G:$G,ROW())&amp;"")),0)))</f>
        <v/>
      </c>
      <c r="J552" s="32">
        <f>IF(B552="","",TRIM(INDEX('Form Responses'!$H:$H,ROW())&amp;""))</f>
        <v/>
      </c>
      <c r="K552" s="32">
        <f>IF(B552="","",TRIM(INDEX('Form Responses'!$I:$I,ROW())&amp;""))</f>
        <v/>
      </c>
      <c r="L552" s="32">
        <f>IF(B552="","",TRIM(INDEX('Form Responses'!$J:$J,ROW())&amp;""))</f>
        <v/>
      </c>
      <c r="M552" s="32">
        <f>IF(B552="","",TRIM(INDEX('Form Responses'!$K:$K,ROW())&amp;""))</f>
        <v/>
      </c>
      <c r="N552" s="32">
        <f>IF(B552="","",IF(E552&lt;&gt;"","P"&amp;E552,"N"&amp;B552))</f>
        <v/>
      </c>
      <c r="O552" s="32">
        <f>IF(N552="",0,IF(COUNTIF(N553:N$602,N552)=0,1,0))</f>
        <v/>
      </c>
      <c r="P552" s="32">
        <f>IF(AND(O552=1,E552&lt;&gt;""),E552,"")</f>
        <v/>
      </c>
      <c r="Q552" s="32">
        <f>IF(O552=1,B552,"")</f>
        <v/>
      </c>
      <c r="R552" s="32">
        <f>IF(O552&lt;&gt;1,"",IF(E552&lt;&gt;"",IFERROR(MATCH(E552,Guests!$S$6:$S$505,0)+5,IFERROR(MATCH(B552,Guests!$A$6:$A$505,0)+5,"")),IFERROR(MATCH(B552,Guests!$A$6:$A$505,0)+5,"")))</f>
        <v/>
      </c>
      <c r="S552" s="32">
        <f>IF(R552="","",TRIM(INDEX(Guests!$E$1:$E$505,R552)&amp;""))</f>
        <v/>
      </c>
      <c r="T552" s="32">
        <f>IF(R552="","",IF(S552="",1,COUNTIF(Guests!$E$6:$E$505,S552)))</f>
        <v/>
      </c>
      <c r="U552" s="32">
        <f>IF(R552="","",IF(S552="",1,IF(COUNTIF(S$1:S551,S552)=0,1,0)))</f>
        <v/>
      </c>
      <c r="V552" s="32">
        <f>IF(AND(R552&lt;&gt;"",G552="Attending",U552=1),MAX(0,H552+I552-T552),0)</f>
        <v/>
      </c>
      <c r="W552" s="32">
        <f>IF(AND(O552=1,R552=""),1,0)</f>
        <v/>
      </c>
      <c r="X552" s="32">
        <f>IF(B552="",0,H552+I552)</f>
        <v/>
      </c>
      <c r="Y552" s="32">
        <f>N(Y551)+O552</f>
        <v/>
      </c>
      <c r="Z552" s="32">
        <f>IF(O552=1,Y552,"")</f>
        <v/>
      </c>
      <c r="AA552" s="32">
        <f>IF(AND(W552=1,G552="Not sure yet"),1,0)</f>
        <v/>
      </c>
      <c r="AB552" s="32">
        <f>N(AB551)+AA552</f>
        <v/>
      </c>
      <c r="AC552" s="32">
        <f>IF(AA552=1,AB552,"")</f>
        <v/>
      </c>
      <c r="AD552" s="32">
        <f>IF(D552="","",IF(LEN(D552)=10,"+1"&amp;D552,IF(AND(LEN(D552)=11,LEFT(D552,1)="1"),"+"&amp;D552,IF(LEFT(C552,1)="+","+"&amp;D552,D552))))</f>
        <v/>
      </c>
      <c r="AE552" s="32">
        <f>IF(B552="","",PROPER(IFERROR(LEFT(B552,FIND(" ",B552)-1),B552)))</f>
        <v/>
      </c>
      <c r="AF552" s="32">
        <f>SUBSTITUTE(SUBSTITUTE(SUBSTITUTE(SUBSTITUTE(SUBSTITUTE(SUBSTITUTE(SUBSTITUTE(SUBSTITUTE(SUBSTITUTE(SUBSTITUTE(AE552,"%","%25"),"&amp;","%26"),"#","%23"),"+","%2B"),"=","%3D"),"?","%3F"),CHAR(34),"%22"),CHAR(10),"%0A"),CHAR(13),"")," ","+")</f>
        <v/>
      </c>
      <c r="AG552" s="32">
        <f>IF(OR(AD552="",AE552=""),"",'Start Here'!$B$20&amp;"#p="&amp;SUBSTITUTE(AD552,"+","%2B")&amp;"&amp;n="&amp;AF552&amp;"&amp;m="&amp;SUBSTITUTE('Start Here'!$B$24,"{name}",AF552))</f>
        <v/>
      </c>
      <c r="AH552" s="32">
        <f>N(AH551)+W552</f>
        <v/>
      </c>
      <c r="AI552" s="32">
        <f>IF(W552=1,AH552,"")</f>
        <v/>
      </c>
    </row>
    <row r="553">
      <c r="A553" s="32">
        <f>IF(INDEX('Form Responses'!$A:$A,ROW())="","",INDEX('Form Responses'!$A:$A,ROW()))</f>
        <v/>
      </c>
      <c r="B553" s="32">
        <f>TRIM(INDEX('Form Responses'!$B:$B,ROW())&amp;"")</f>
        <v/>
      </c>
      <c r="C553" s="32">
        <f>IF(B553="","",TRIM(INDEX('Form Responses'!$C:$C,ROW())&amp;""))</f>
        <v/>
      </c>
      <c r="D553" s="32">
        <f>SUBSTITUTE(SUBSTITUTE(SUBSTITUTE(SUBSTITUTE(SUBSTITUTE(SUBSTITUTE(SUBSTITUTE(SUBSTITUTE(C553," ",""),"-",""),"(",""),")",""),".",""),"+",""),"/",""),CHAR(160),"")</f>
        <v/>
      </c>
      <c r="E553" s="32">
        <f>IF(LEN(D553)&gt;=10,RIGHT(D553,10),D553)</f>
        <v/>
      </c>
      <c r="F553" s="32">
        <f>IF(B553="","",TRIM(INDEX('Form Responses'!$D:$D,ROW())&amp;""))</f>
        <v/>
      </c>
      <c r="G553" s="32">
        <f>IF(B553="","",IF(LEFT(TRIM(INDEX('Form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3" s="32">
        <f>IF(B553="","",MAX(0,IFERROR(INT(--(INDEX('Form Responses'!$F:$F,ROW())&amp;"")),1)))</f>
        <v/>
      </c>
      <c r="I553" s="32">
        <f>IF(B553="","",MAX(0,IFERROR(INT(--(INDEX('Form Responses'!$G:$G,ROW())&amp;"")),0)))</f>
        <v/>
      </c>
      <c r="J553" s="32">
        <f>IF(B553="","",TRIM(INDEX('Form Responses'!$H:$H,ROW())&amp;""))</f>
        <v/>
      </c>
      <c r="K553" s="32">
        <f>IF(B553="","",TRIM(INDEX('Form Responses'!$I:$I,ROW())&amp;""))</f>
        <v/>
      </c>
      <c r="L553" s="32">
        <f>IF(B553="","",TRIM(INDEX('Form Responses'!$J:$J,ROW())&amp;""))</f>
        <v/>
      </c>
      <c r="M553" s="32">
        <f>IF(B553="","",TRIM(INDEX('Form Responses'!$K:$K,ROW())&amp;""))</f>
        <v/>
      </c>
      <c r="N553" s="32">
        <f>IF(B553="","",IF(E553&lt;&gt;"","P"&amp;E553,"N"&amp;B553))</f>
        <v/>
      </c>
      <c r="O553" s="32">
        <f>IF(N553="",0,IF(COUNTIF(N554:N$602,N553)=0,1,0))</f>
        <v/>
      </c>
      <c r="P553" s="32">
        <f>IF(AND(O553=1,E553&lt;&gt;""),E553,"")</f>
        <v/>
      </c>
      <c r="Q553" s="32">
        <f>IF(O553=1,B553,"")</f>
        <v/>
      </c>
      <c r="R553" s="32">
        <f>IF(O553&lt;&gt;1,"",IF(E553&lt;&gt;"",IFERROR(MATCH(E553,Guests!$S$6:$S$505,0)+5,IFERROR(MATCH(B553,Guests!$A$6:$A$505,0)+5,"")),IFERROR(MATCH(B553,Guests!$A$6:$A$505,0)+5,"")))</f>
        <v/>
      </c>
      <c r="S553" s="32">
        <f>IF(R553="","",TRIM(INDEX(Guests!$E$1:$E$505,R553)&amp;""))</f>
        <v/>
      </c>
      <c r="T553" s="32">
        <f>IF(R553="","",IF(S553="",1,COUNTIF(Guests!$E$6:$E$505,S553)))</f>
        <v/>
      </c>
      <c r="U553" s="32">
        <f>IF(R553="","",IF(S553="",1,IF(COUNTIF(S$1:S552,S553)=0,1,0)))</f>
        <v/>
      </c>
      <c r="V553" s="32">
        <f>IF(AND(R553&lt;&gt;"",G553="Attending",U553=1),MAX(0,H553+I553-T553),0)</f>
        <v/>
      </c>
      <c r="W553" s="32">
        <f>IF(AND(O553=1,R553=""),1,0)</f>
        <v/>
      </c>
      <c r="X553" s="32">
        <f>IF(B553="",0,H553+I553)</f>
        <v/>
      </c>
      <c r="Y553" s="32">
        <f>N(Y552)+O553</f>
        <v/>
      </c>
      <c r="Z553" s="32">
        <f>IF(O553=1,Y553,"")</f>
        <v/>
      </c>
      <c r="AA553" s="32">
        <f>IF(AND(W553=1,G553="Not sure yet"),1,0)</f>
        <v/>
      </c>
      <c r="AB553" s="32">
        <f>N(AB552)+AA553</f>
        <v/>
      </c>
      <c r="AC553" s="32">
        <f>IF(AA553=1,AB553,"")</f>
        <v/>
      </c>
      <c r="AD553" s="32">
        <f>IF(D553="","",IF(LEN(D553)=10,"+1"&amp;D553,IF(AND(LEN(D553)=11,LEFT(D553,1)="1"),"+"&amp;D553,IF(LEFT(C553,1)="+","+"&amp;D553,D553))))</f>
        <v/>
      </c>
      <c r="AE553" s="32">
        <f>IF(B553="","",PROPER(IFERROR(LEFT(B553,FIND(" ",B553)-1),B553)))</f>
        <v/>
      </c>
      <c r="AF553" s="32">
        <f>SUBSTITUTE(SUBSTITUTE(SUBSTITUTE(SUBSTITUTE(SUBSTITUTE(SUBSTITUTE(SUBSTITUTE(SUBSTITUTE(SUBSTITUTE(SUBSTITUTE(AE553,"%","%25"),"&amp;","%26"),"#","%23"),"+","%2B"),"=","%3D"),"?","%3F"),CHAR(34),"%22"),CHAR(10),"%0A"),CHAR(13),"")," ","+")</f>
        <v/>
      </c>
      <c r="AG553" s="32">
        <f>IF(OR(AD553="",AE553=""),"",'Start Here'!$B$20&amp;"#p="&amp;SUBSTITUTE(AD553,"+","%2B")&amp;"&amp;n="&amp;AF553&amp;"&amp;m="&amp;SUBSTITUTE('Start Here'!$B$24,"{name}",AF553))</f>
        <v/>
      </c>
      <c r="AH553" s="32">
        <f>N(AH552)+W553</f>
        <v/>
      </c>
      <c r="AI553" s="32">
        <f>IF(W553=1,AH553,"")</f>
        <v/>
      </c>
    </row>
    <row r="554">
      <c r="A554" s="32">
        <f>IF(INDEX('Form Responses'!$A:$A,ROW())="","",INDEX('Form Responses'!$A:$A,ROW()))</f>
        <v/>
      </c>
      <c r="B554" s="32">
        <f>TRIM(INDEX('Form Responses'!$B:$B,ROW())&amp;"")</f>
        <v/>
      </c>
      <c r="C554" s="32">
        <f>IF(B554="","",TRIM(INDEX('Form Responses'!$C:$C,ROW())&amp;""))</f>
        <v/>
      </c>
      <c r="D554" s="32">
        <f>SUBSTITUTE(SUBSTITUTE(SUBSTITUTE(SUBSTITUTE(SUBSTITUTE(SUBSTITUTE(SUBSTITUTE(SUBSTITUTE(C554," ",""),"-",""),"(",""),")",""),".",""),"+",""),"/",""),CHAR(160),"")</f>
        <v/>
      </c>
      <c r="E554" s="32">
        <f>IF(LEN(D554)&gt;=10,RIGHT(D554,10),D554)</f>
        <v/>
      </c>
      <c r="F554" s="32">
        <f>IF(B554="","",TRIM(INDEX('Form Responses'!$D:$D,ROW())&amp;""))</f>
        <v/>
      </c>
      <c r="G554" s="32">
        <f>IF(B554="","",IF(LEFT(TRIM(INDEX('Form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4" s="32">
        <f>IF(B554="","",MAX(0,IFERROR(INT(--(INDEX('Form Responses'!$F:$F,ROW())&amp;"")),1)))</f>
        <v/>
      </c>
      <c r="I554" s="32">
        <f>IF(B554="","",MAX(0,IFERROR(INT(--(INDEX('Form Responses'!$G:$G,ROW())&amp;"")),0)))</f>
        <v/>
      </c>
      <c r="J554" s="32">
        <f>IF(B554="","",TRIM(INDEX('Form Responses'!$H:$H,ROW())&amp;""))</f>
        <v/>
      </c>
      <c r="K554" s="32">
        <f>IF(B554="","",TRIM(INDEX('Form Responses'!$I:$I,ROW())&amp;""))</f>
        <v/>
      </c>
      <c r="L554" s="32">
        <f>IF(B554="","",TRIM(INDEX('Form Responses'!$J:$J,ROW())&amp;""))</f>
        <v/>
      </c>
      <c r="M554" s="32">
        <f>IF(B554="","",TRIM(INDEX('Form Responses'!$K:$K,ROW())&amp;""))</f>
        <v/>
      </c>
      <c r="N554" s="32">
        <f>IF(B554="","",IF(E554&lt;&gt;"","P"&amp;E554,"N"&amp;B554))</f>
        <v/>
      </c>
      <c r="O554" s="32">
        <f>IF(N554="",0,IF(COUNTIF(N555:N$602,N554)=0,1,0))</f>
        <v/>
      </c>
      <c r="P554" s="32">
        <f>IF(AND(O554=1,E554&lt;&gt;""),E554,"")</f>
        <v/>
      </c>
      <c r="Q554" s="32">
        <f>IF(O554=1,B554,"")</f>
        <v/>
      </c>
      <c r="R554" s="32">
        <f>IF(O554&lt;&gt;1,"",IF(E554&lt;&gt;"",IFERROR(MATCH(E554,Guests!$S$6:$S$505,0)+5,IFERROR(MATCH(B554,Guests!$A$6:$A$505,0)+5,"")),IFERROR(MATCH(B554,Guests!$A$6:$A$505,0)+5,"")))</f>
        <v/>
      </c>
      <c r="S554" s="32">
        <f>IF(R554="","",TRIM(INDEX(Guests!$E$1:$E$505,R554)&amp;""))</f>
        <v/>
      </c>
      <c r="T554" s="32">
        <f>IF(R554="","",IF(S554="",1,COUNTIF(Guests!$E$6:$E$505,S554)))</f>
        <v/>
      </c>
      <c r="U554" s="32">
        <f>IF(R554="","",IF(S554="",1,IF(COUNTIF(S$1:S553,S554)=0,1,0)))</f>
        <v/>
      </c>
      <c r="V554" s="32">
        <f>IF(AND(R554&lt;&gt;"",G554="Attending",U554=1),MAX(0,H554+I554-T554),0)</f>
        <v/>
      </c>
      <c r="W554" s="32">
        <f>IF(AND(O554=1,R554=""),1,0)</f>
        <v/>
      </c>
      <c r="X554" s="32">
        <f>IF(B554="",0,H554+I554)</f>
        <v/>
      </c>
      <c r="Y554" s="32">
        <f>N(Y553)+O554</f>
        <v/>
      </c>
      <c r="Z554" s="32">
        <f>IF(O554=1,Y554,"")</f>
        <v/>
      </c>
      <c r="AA554" s="32">
        <f>IF(AND(W554=1,G554="Not sure yet"),1,0)</f>
        <v/>
      </c>
      <c r="AB554" s="32">
        <f>N(AB553)+AA554</f>
        <v/>
      </c>
      <c r="AC554" s="32">
        <f>IF(AA554=1,AB554,"")</f>
        <v/>
      </c>
      <c r="AD554" s="32">
        <f>IF(D554="","",IF(LEN(D554)=10,"+1"&amp;D554,IF(AND(LEN(D554)=11,LEFT(D554,1)="1"),"+"&amp;D554,IF(LEFT(C554,1)="+","+"&amp;D554,D554))))</f>
        <v/>
      </c>
      <c r="AE554" s="32">
        <f>IF(B554="","",PROPER(IFERROR(LEFT(B554,FIND(" ",B554)-1),B554)))</f>
        <v/>
      </c>
      <c r="AF554" s="32">
        <f>SUBSTITUTE(SUBSTITUTE(SUBSTITUTE(SUBSTITUTE(SUBSTITUTE(SUBSTITUTE(SUBSTITUTE(SUBSTITUTE(SUBSTITUTE(SUBSTITUTE(AE554,"%","%25"),"&amp;","%26"),"#","%23"),"+","%2B"),"=","%3D"),"?","%3F"),CHAR(34),"%22"),CHAR(10),"%0A"),CHAR(13),"")," ","+")</f>
        <v/>
      </c>
      <c r="AG554" s="32">
        <f>IF(OR(AD554="",AE554=""),"",'Start Here'!$B$20&amp;"#p="&amp;SUBSTITUTE(AD554,"+","%2B")&amp;"&amp;n="&amp;AF554&amp;"&amp;m="&amp;SUBSTITUTE('Start Here'!$B$24,"{name}",AF554))</f>
        <v/>
      </c>
      <c r="AH554" s="32">
        <f>N(AH553)+W554</f>
        <v/>
      </c>
      <c r="AI554" s="32">
        <f>IF(W554=1,AH554,"")</f>
        <v/>
      </c>
    </row>
    <row r="555">
      <c r="A555" s="32">
        <f>IF(INDEX('Form Responses'!$A:$A,ROW())="","",INDEX('Form Responses'!$A:$A,ROW()))</f>
        <v/>
      </c>
      <c r="B555" s="32">
        <f>TRIM(INDEX('Form Responses'!$B:$B,ROW())&amp;"")</f>
        <v/>
      </c>
      <c r="C555" s="32">
        <f>IF(B555="","",TRIM(INDEX('Form Responses'!$C:$C,ROW())&amp;""))</f>
        <v/>
      </c>
      <c r="D555" s="32">
        <f>SUBSTITUTE(SUBSTITUTE(SUBSTITUTE(SUBSTITUTE(SUBSTITUTE(SUBSTITUTE(SUBSTITUTE(SUBSTITUTE(C555," ",""),"-",""),"(",""),")",""),".",""),"+",""),"/",""),CHAR(160),"")</f>
        <v/>
      </c>
      <c r="E555" s="32">
        <f>IF(LEN(D555)&gt;=10,RIGHT(D555,10),D555)</f>
        <v/>
      </c>
      <c r="F555" s="32">
        <f>IF(B555="","",TRIM(INDEX('Form Responses'!$D:$D,ROW())&amp;""))</f>
        <v/>
      </c>
      <c r="G555" s="32">
        <f>IF(B555="","",IF(LEFT(TRIM(INDEX('Form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5" s="32">
        <f>IF(B555="","",MAX(0,IFERROR(INT(--(INDEX('Form Responses'!$F:$F,ROW())&amp;"")),1)))</f>
        <v/>
      </c>
      <c r="I555" s="32">
        <f>IF(B555="","",MAX(0,IFERROR(INT(--(INDEX('Form Responses'!$G:$G,ROW())&amp;"")),0)))</f>
        <v/>
      </c>
      <c r="J555" s="32">
        <f>IF(B555="","",TRIM(INDEX('Form Responses'!$H:$H,ROW())&amp;""))</f>
        <v/>
      </c>
      <c r="K555" s="32">
        <f>IF(B555="","",TRIM(INDEX('Form Responses'!$I:$I,ROW())&amp;""))</f>
        <v/>
      </c>
      <c r="L555" s="32">
        <f>IF(B555="","",TRIM(INDEX('Form Responses'!$J:$J,ROW())&amp;""))</f>
        <v/>
      </c>
      <c r="M555" s="32">
        <f>IF(B555="","",TRIM(INDEX('Form Responses'!$K:$K,ROW())&amp;""))</f>
        <v/>
      </c>
      <c r="N555" s="32">
        <f>IF(B555="","",IF(E555&lt;&gt;"","P"&amp;E555,"N"&amp;B555))</f>
        <v/>
      </c>
      <c r="O555" s="32">
        <f>IF(N555="",0,IF(COUNTIF(N556:N$602,N555)=0,1,0))</f>
        <v/>
      </c>
      <c r="P555" s="32">
        <f>IF(AND(O555=1,E555&lt;&gt;""),E555,"")</f>
        <v/>
      </c>
      <c r="Q555" s="32">
        <f>IF(O555=1,B555,"")</f>
        <v/>
      </c>
      <c r="R555" s="32">
        <f>IF(O555&lt;&gt;1,"",IF(E555&lt;&gt;"",IFERROR(MATCH(E555,Guests!$S$6:$S$505,0)+5,IFERROR(MATCH(B555,Guests!$A$6:$A$505,0)+5,"")),IFERROR(MATCH(B555,Guests!$A$6:$A$505,0)+5,"")))</f>
        <v/>
      </c>
      <c r="S555" s="32">
        <f>IF(R555="","",TRIM(INDEX(Guests!$E$1:$E$505,R555)&amp;""))</f>
        <v/>
      </c>
      <c r="T555" s="32">
        <f>IF(R555="","",IF(S555="",1,COUNTIF(Guests!$E$6:$E$505,S555)))</f>
        <v/>
      </c>
      <c r="U555" s="32">
        <f>IF(R555="","",IF(S555="",1,IF(COUNTIF(S$1:S554,S555)=0,1,0)))</f>
        <v/>
      </c>
      <c r="V555" s="32">
        <f>IF(AND(R555&lt;&gt;"",G555="Attending",U555=1),MAX(0,H555+I555-T555),0)</f>
        <v/>
      </c>
      <c r="W555" s="32">
        <f>IF(AND(O555=1,R555=""),1,0)</f>
        <v/>
      </c>
      <c r="X555" s="32">
        <f>IF(B555="",0,H555+I555)</f>
        <v/>
      </c>
      <c r="Y555" s="32">
        <f>N(Y554)+O555</f>
        <v/>
      </c>
      <c r="Z555" s="32">
        <f>IF(O555=1,Y555,"")</f>
        <v/>
      </c>
      <c r="AA555" s="32">
        <f>IF(AND(W555=1,G555="Not sure yet"),1,0)</f>
        <v/>
      </c>
      <c r="AB555" s="32">
        <f>N(AB554)+AA555</f>
        <v/>
      </c>
      <c r="AC555" s="32">
        <f>IF(AA555=1,AB555,"")</f>
        <v/>
      </c>
      <c r="AD555" s="32">
        <f>IF(D555="","",IF(LEN(D555)=10,"+1"&amp;D555,IF(AND(LEN(D555)=11,LEFT(D555,1)="1"),"+"&amp;D555,IF(LEFT(C555,1)="+","+"&amp;D555,D555))))</f>
        <v/>
      </c>
      <c r="AE555" s="32">
        <f>IF(B555="","",PROPER(IFERROR(LEFT(B555,FIND(" ",B555)-1),B555)))</f>
        <v/>
      </c>
      <c r="AF555" s="32">
        <f>SUBSTITUTE(SUBSTITUTE(SUBSTITUTE(SUBSTITUTE(SUBSTITUTE(SUBSTITUTE(SUBSTITUTE(SUBSTITUTE(SUBSTITUTE(SUBSTITUTE(AE555,"%","%25"),"&amp;","%26"),"#","%23"),"+","%2B"),"=","%3D"),"?","%3F"),CHAR(34),"%22"),CHAR(10),"%0A"),CHAR(13),"")," ","+")</f>
        <v/>
      </c>
      <c r="AG555" s="32">
        <f>IF(OR(AD555="",AE555=""),"",'Start Here'!$B$20&amp;"#p="&amp;SUBSTITUTE(AD555,"+","%2B")&amp;"&amp;n="&amp;AF555&amp;"&amp;m="&amp;SUBSTITUTE('Start Here'!$B$24,"{name}",AF555))</f>
        <v/>
      </c>
      <c r="AH555" s="32">
        <f>N(AH554)+W555</f>
        <v/>
      </c>
      <c r="AI555" s="32">
        <f>IF(W555=1,AH555,"")</f>
        <v/>
      </c>
    </row>
    <row r="556">
      <c r="A556" s="32">
        <f>IF(INDEX('Form Responses'!$A:$A,ROW())="","",INDEX('Form Responses'!$A:$A,ROW()))</f>
        <v/>
      </c>
      <c r="B556" s="32">
        <f>TRIM(INDEX('Form Responses'!$B:$B,ROW())&amp;"")</f>
        <v/>
      </c>
      <c r="C556" s="32">
        <f>IF(B556="","",TRIM(INDEX('Form Responses'!$C:$C,ROW())&amp;""))</f>
        <v/>
      </c>
      <c r="D556" s="32">
        <f>SUBSTITUTE(SUBSTITUTE(SUBSTITUTE(SUBSTITUTE(SUBSTITUTE(SUBSTITUTE(SUBSTITUTE(SUBSTITUTE(C556," ",""),"-",""),"(",""),")",""),".",""),"+",""),"/",""),CHAR(160),"")</f>
        <v/>
      </c>
      <c r="E556" s="32">
        <f>IF(LEN(D556)&gt;=10,RIGHT(D556,10),D556)</f>
        <v/>
      </c>
      <c r="F556" s="32">
        <f>IF(B556="","",TRIM(INDEX('Form Responses'!$D:$D,ROW())&amp;""))</f>
        <v/>
      </c>
      <c r="G556" s="32">
        <f>IF(B556="","",IF(LEFT(TRIM(INDEX('Form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6" s="32">
        <f>IF(B556="","",MAX(0,IFERROR(INT(--(INDEX('Form Responses'!$F:$F,ROW())&amp;"")),1)))</f>
        <v/>
      </c>
      <c r="I556" s="32">
        <f>IF(B556="","",MAX(0,IFERROR(INT(--(INDEX('Form Responses'!$G:$G,ROW())&amp;"")),0)))</f>
        <v/>
      </c>
      <c r="J556" s="32">
        <f>IF(B556="","",TRIM(INDEX('Form Responses'!$H:$H,ROW())&amp;""))</f>
        <v/>
      </c>
      <c r="K556" s="32">
        <f>IF(B556="","",TRIM(INDEX('Form Responses'!$I:$I,ROW())&amp;""))</f>
        <v/>
      </c>
      <c r="L556" s="32">
        <f>IF(B556="","",TRIM(INDEX('Form Responses'!$J:$J,ROW())&amp;""))</f>
        <v/>
      </c>
      <c r="M556" s="32">
        <f>IF(B556="","",TRIM(INDEX('Form Responses'!$K:$K,ROW())&amp;""))</f>
        <v/>
      </c>
      <c r="N556" s="32">
        <f>IF(B556="","",IF(E556&lt;&gt;"","P"&amp;E556,"N"&amp;B556))</f>
        <v/>
      </c>
      <c r="O556" s="32">
        <f>IF(N556="",0,IF(COUNTIF(N557:N$602,N556)=0,1,0))</f>
        <v/>
      </c>
      <c r="P556" s="32">
        <f>IF(AND(O556=1,E556&lt;&gt;""),E556,"")</f>
        <v/>
      </c>
      <c r="Q556" s="32">
        <f>IF(O556=1,B556,"")</f>
        <v/>
      </c>
      <c r="R556" s="32">
        <f>IF(O556&lt;&gt;1,"",IF(E556&lt;&gt;"",IFERROR(MATCH(E556,Guests!$S$6:$S$505,0)+5,IFERROR(MATCH(B556,Guests!$A$6:$A$505,0)+5,"")),IFERROR(MATCH(B556,Guests!$A$6:$A$505,0)+5,"")))</f>
        <v/>
      </c>
      <c r="S556" s="32">
        <f>IF(R556="","",TRIM(INDEX(Guests!$E$1:$E$505,R556)&amp;""))</f>
        <v/>
      </c>
      <c r="T556" s="32">
        <f>IF(R556="","",IF(S556="",1,COUNTIF(Guests!$E$6:$E$505,S556)))</f>
        <v/>
      </c>
      <c r="U556" s="32">
        <f>IF(R556="","",IF(S556="",1,IF(COUNTIF(S$1:S555,S556)=0,1,0)))</f>
        <v/>
      </c>
      <c r="V556" s="32">
        <f>IF(AND(R556&lt;&gt;"",G556="Attending",U556=1),MAX(0,H556+I556-T556),0)</f>
        <v/>
      </c>
      <c r="W556" s="32">
        <f>IF(AND(O556=1,R556=""),1,0)</f>
        <v/>
      </c>
      <c r="X556" s="32">
        <f>IF(B556="",0,H556+I556)</f>
        <v/>
      </c>
      <c r="Y556" s="32">
        <f>N(Y555)+O556</f>
        <v/>
      </c>
      <c r="Z556" s="32">
        <f>IF(O556=1,Y556,"")</f>
        <v/>
      </c>
      <c r="AA556" s="32">
        <f>IF(AND(W556=1,G556="Not sure yet"),1,0)</f>
        <v/>
      </c>
      <c r="AB556" s="32">
        <f>N(AB555)+AA556</f>
        <v/>
      </c>
      <c r="AC556" s="32">
        <f>IF(AA556=1,AB556,"")</f>
        <v/>
      </c>
      <c r="AD556" s="32">
        <f>IF(D556="","",IF(LEN(D556)=10,"+1"&amp;D556,IF(AND(LEN(D556)=11,LEFT(D556,1)="1"),"+"&amp;D556,IF(LEFT(C556,1)="+","+"&amp;D556,D556))))</f>
        <v/>
      </c>
      <c r="AE556" s="32">
        <f>IF(B556="","",PROPER(IFERROR(LEFT(B556,FIND(" ",B556)-1),B556)))</f>
        <v/>
      </c>
      <c r="AF556" s="32">
        <f>SUBSTITUTE(SUBSTITUTE(SUBSTITUTE(SUBSTITUTE(SUBSTITUTE(SUBSTITUTE(SUBSTITUTE(SUBSTITUTE(SUBSTITUTE(SUBSTITUTE(AE556,"%","%25"),"&amp;","%26"),"#","%23"),"+","%2B"),"=","%3D"),"?","%3F"),CHAR(34),"%22"),CHAR(10),"%0A"),CHAR(13),"")," ","+")</f>
        <v/>
      </c>
      <c r="AG556" s="32">
        <f>IF(OR(AD556="",AE556=""),"",'Start Here'!$B$20&amp;"#p="&amp;SUBSTITUTE(AD556,"+","%2B")&amp;"&amp;n="&amp;AF556&amp;"&amp;m="&amp;SUBSTITUTE('Start Here'!$B$24,"{name}",AF556))</f>
        <v/>
      </c>
      <c r="AH556" s="32">
        <f>N(AH555)+W556</f>
        <v/>
      </c>
      <c r="AI556" s="32">
        <f>IF(W556=1,AH556,"")</f>
        <v/>
      </c>
    </row>
    <row r="557">
      <c r="A557" s="32">
        <f>IF(INDEX('Form Responses'!$A:$A,ROW())="","",INDEX('Form Responses'!$A:$A,ROW()))</f>
        <v/>
      </c>
      <c r="B557" s="32">
        <f>TRIM(INDEX('Form Responses'!$B:$B,ROW())&amp;"")</f>
        <v/>
      </c>
      <c r="C557" s="32">
        <f>IF(B557="","",TRIM(INDEX('Form Responses'!$C:$C,ROW())&amp;""))</f>
        <v/>
      </c>
      <c r="D557" s="32">
        <f>SUBSTITUTE(SUBSTITUTE(SUBSTITUTE(SUBSTITUTE(SUBSTITUTE(SUBSTITUTE(SUBSTITUTE(SUBSTITUTE(C557," ",""),"-",""),"(",""),")",""),".",""),"+",""),"/",""),CHAR(160),"")</f>
        <v/>
      </c>
      <c r="E557" s="32">
        <f>IF(LEN(D557)&gt;=10,RIGHT(D557,10),D557)</f>
        <v/>
      </c>
      <c r="F557" s="32">
        <f>IF(B557="","",TRIM(INDEX('Form Responses'!$D:$D,ROW())&amp;""))</f>
        <v/>
      </c>
      <c r="G557" s="32">
        <f>IF(B557="","",IF(LEFT(TRIM(INDEX('Form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7" s="32">
        <f>IF(B557="","",MAX(0,IFERROR(INT(--(INDEX('Form Responses'!$F:$F,ROW())&amp;"")),1)))</f>
        <v/>
      </c>
      <c r="I557" s="32">
        <f>IF(B557="","",MAX(0,IFERROR(INT(--(INDEX('Form Responses'!$G:$G,ROW())&amp;"")),0)))</f>
        <v/>
      </c>
      <c r="J557" s="32">
        <f>IF(B557="","",TRIM(INDEX('Form Responses'!$H:$H,ROW())&amp;""))</f>
        <v/>
      </c>
      <c r="K557" s="32">
        <f>IF(B557="","",TRIM(INDEX('Form Responses'!$I:$I,ROW())&amp;""))</f>
        <v/>
      </c>
      <c r="L557" s="32">
        <f>IF(B557="","",TRIM(INDEX('Form Responses'!$J:$J,ROW())&amp;""))</f>
        <v/>
      </c>
      <c r="M557" s="32">
        <f>IF(B557="","",TRIM(INDEX('Form Responses'!$K:$K,ROW())&amp;""))</f>
        <v/>
      </c>
      <c r="N557" s="32">
        <f>IF(B557="","",IF(E557&lt;&gt;"","P"&amp;E557,"N"&amp;B557))</f>
        <v/>
      </c>
      <c r="O557" s="32">
        <f>IF(N557="",0,IF(COUNTIF(N558:N$602,N557)=0,1,0))</f>
        <v/>
      </c>
      <c r="P557" s="32">
        <f>IF(AND(O557=1,E557&lt;&gt;""),E557,"")</f>
        <v/>
      </c>
      <c r="Q557" s="32">
        <f>IF(O557=1,B557,"")</f>
        <v/>
      </c>
      <c r="R557" s="32">
        <f>IF(O557&lt;&gt;1,"",IF(E557&lt;&gt;"",IFERROR(MATCH(E557,Guests!$S$6:$S$505,0)+5,IFERROR(MATCH(B557,Guests!$A$6:$A$505,0)+5,"")),IFERROR(MATCH(B557,Guests!$A$6:$A$505,0)+5,"")))</f>
        <v/>
      </c>
      <c r="S557" s="32">
        <f>IF(R557="","",TRIM(INDEX(Guests!$E$1:$E$505,R557)&amp;""))</f>
        <v/>
      </c>
      <c r="T557" s="32">
        <f>IF(R557="","",IF(S557="",1,COUNTIF(Guests!$E$6:$E$505,S557)))</f>
        <v/>
      </c>
      <c r="U557" s="32">
        <f>IF(R557="","",IF(S557="",1,IF(COUNTIF(S$1:S556,S557)=0,1,0)))</f>
        <v/>
      </c>
      <c r="V557" s="32">
        <f>IF(AND(R557&lt;&gt;"",G557="Attending",U557=1),MAX(0,H557+I557-T557),0)</f>
        <v/>
      </c>
      <c r="W557" s="32">
        <f>IF(AND(O557=1,R557=""),1,0)</f>
        <v/>
      </c>
      <c r="X557" s="32">
        <f>IF(B557="",0,H557+I557)</f>
        <v/>
      </c>
      <c r="Y557" s="32">
        <f>N(Y556)+O557</f>
        <v/>
      </c>
      <c r="Z557" s="32">
        <f>IF(O557=1,Y557,"")</f>
        <v/>
      </c>
      <c r="AA557" s="32">
        <f>IF(AND(W557=1,G557="Not sure yet"),1,0)</f>
        <v/>
      </c>
      <c r="AB557" s="32">
        <f>N(AB556)+AA557</f>
        <v/>
      </c>
      <c r="AC557" s="32">
        <f>IF(AA557=1,AB557,"")</f>
        <v/>
      </c>
      <c r="AD557" s="32">
        <f>IF(D557="","",IF(LEN(D557)=10,"+1"&amp;D557,IF(AND(LEN(D557)=11,LEFT(D557,1)="1"),"+"&amp;D557,IF(LEFT(C557,1)="+","+"&amp;D557,D557))))</f>
        <v/>
      </c>
      <c r="AE557" s="32">
        <f>IF(B557="","",PROPER(IFERROR(LEFT(B557,FIND(" ",B557)-1),B557)))</f>
        <v/>
      </c>
      <c r="AF557" s="32">
        <f>SUBSTITUTE(SUBSTITUTE(SUBSTITUTE(SUBSTITUTE(SUBSTITUTE(SUBSTITUTE(SUBSTITUTE(SUBSTITUTE(SUBSTITUTE(SUBSTITUTE(AE557,"%","%25"),"&amp;","%26"),"#","%23"),"+","%2B"),"=","%3D"),"?","%3F"),CHAR(34),"%22"),CHAR(10),"%0A"),CHAR(13),"")," ","+")</f>
        <v/>
      </c>
      <c r="AG557" s="32">
        <f>IF(OR(AD557="",AE557=""),"",'Start Here'!$B$20&amp;"#p="&amp;SUBSTITUTE(AD557,"+","%2B")&amp;"&amp;n="&amp;AF557&amp;"&amp;m="&amp;SUBSTITUTE('Start Here'!$B$24,"{name}",AF557))</f>
        <v/>
      </c>
      <c r="AH557" s="32">
        <f>N(AH556)+W557</f>
        <v/>
      </c>
      <c r="AI557" s="32">
        <f>IF(W557=1,AH557,"")</f>
        <v/>
      </c>
    </row>
    <row r="558">
      <c r="A558" s="32">
        <f>IF(INDEX('Form Responses'!$A:$A,ROW())="","",INDEX('Form Responses'!$A:$A,ROW()))</f>
        <v/>
      </c>
      <c r="B558" s="32">
        <f>TRIM(INDEX('Form Responses'!$B:$B,ROW())&amp;"")</f>
        <v/>
      </c>
      <c r="C558" s="32">
        <f>IF(B558="","",TRIM(INDEX('Form Responses'!$C:$C,ROW())&amp;""))</f>
        <v/>
      </c>
      <c r="D558" s="32">
        <f>SUBSTITUTE(SUBSTITUTE(SUBSTITUTE(SUBSTITUTE(SUBSTITUTE(SUBSTITUTE(SUBSTITUTE(SUBSTITUTE(C558," ",""),"-",""),"(",""),")",""),".",""),"+",""),"/",""),CHAR(160),"")</f>
        <v/>
      </c>
      <c r="E558" s="32">
        <f>IF(LEN(D558)&gt;=10,RIGHT(D558,10),D558)</f>
        <v/>
      </c>
      <c r="F558" s="32">
        <f>IF(B558="","",TRIM(INDEX('Form Responses'!$D:$D,ROW())&amp;""))</f>
        <v/>
      </c>
      <c r="G558" s="32">
        <f>IF(B558="","",IF(LEFT(TRIM(INDEX('Form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8" s="32">
        <f>IF(B558="","",MAX(0,IFERROR(INT(--(INDEX('Form Responses'!$F:$F,ROW())&amp;"")),1)))</f>
        <v/>
      </c>
      <c r="I558" s="32">
        <f>IF(B558="","",MAX(0,IFERROR(INT(--(INDEX('Form Responses'!$G:$G,ROW())&amp;"")),0)))</f>
        <v/>
      </c>
      <c r="J558" s="32">
        <f>IF(B558="","",TRIM(INDEX('Form Responses'!$H:$H,ROW())&amp;""))</f>
        <v/>
      </c>
      <c r="K558" s="32">
        <f>IF(B558="","",TRIM(INDEX('Form Responses'!$I:$I,ROW())&amp;""))</f>
        <v/>
      </c>
      <c r="L558" s="32">
        <f>IF(B558="","",TRIM(INDEX('Form Responses'!$J:$J,ROW())&amp;""))</f>
        <v/>
      </c>
      <c r="M558" s="32">
        <f>IF(B558="","",TRIM(INDEX('Form Responses'!$K:$K,ROW())&amp;""))</f>
        <v/>
      </c>
      <c r="N558" s="32">
        <f>IF(B558="","",IF(E558&lt;&gt;"","P"&amp;E558,"N"&amp;B558))</f>
        <v/>
      </c>
      <c r="O558" s="32">
        <f>IF(N558="",0,IF(COUNTIF(N559:N$602,N558)=0,1,0))</f>
        <v/>
      </c>
      <c r="P558" s="32">
        <f>IF(AND(O558=1,E558&lt;&gt;""),E558,"")</f>
        <v/>
      </c>
      <c r="Q558" s="32">
        <f>IF(O558=1,B558,"")</f>
        <v/>
      </c>
      <c r="R558" s="32">
        <f>IF(O558&lt;&gt;1,"",IF(E558&lt;&gt;"",IFERROR(MATCH(E558,Guests!$S$6:$S$505,0)+5,IFERROR(MATCH(B558,Guests!$A$6:$A$505,0)+5,"")),IFERROR(MATCH(B558,Guests!$A$6:$A$505,0)+5,"")))</f>
        <v/>
      </c>
      <c r="S558" s="32">
        <f>IF(R558="","",TRIM(INDEX(Guests!$E$1:$E$505,R558)&amp;""))</f>
        <v/>
      </c>
      <c r="T558" s="32">
        <f>IF(R558="","",IF(S558="",1,COUNTIF(Guests!$E$6:$E$505,S558)))</f>
        <v/>
      </c>
      <c r="U558" s="32">
        <f>IF(R558="","",IF(S558="",1,IF(COUNTIF(S$1:S557,S558)=0,1,0)))</f>
        <v/>
      </c>
      <c r="V558" s="32">
        <f>IF(AND(R558&lt;&gt;"",G558="Attending",U558=1),MAX(0,H558+I558-T558),0)</f>
        <v/>
      </c>
      <c r="W558" s="32">
        <f>IF(AND(O558=1,R558=""),1,0)</f>
        <v/>
      </c>
      <c r="X558" s="32">
        <f>IF(B558="",0,H558+I558)</f>
        <v/>
      </c>
      <c r="Y558" s="32">
        <f>N(Y557)+O558</f>
        <v/>
      </c>
      <c r="Z558" s="32">
        <f>IF(O558=1,Y558,"")</f>
        <v/>
      </c>
      <c r="AA558" s="32">
        <f>IF(AND(W558=1,G558="Not sure yet"),1,0)</f>
        <v/>
      </c>
      <c r="AB558" s="32">
        <f>N(AB557)+AA558</f>
        <v/>
      </c>
      <c r="AC558" s="32">
        <f>IF(AA558=1,AB558,"")</f>
        <v/>
      </c>
      <c r="AD558" s="32">
        <f>IF(D558="","",IF(LEN(D558)=10,"+1"&amp;D558,IF(AND(LEN(D558)=11,LEFT(D558,1)="1"),"+"&amp;D558,IF(LEFT(C558,1)="+","+"&amp;D558,D558))))</f>
        <v/>
      </c>
      <c r="AE558" s="32">
        <f>IF(B558="","",PROPER(IFERROR(LEFT(B558,FIND(" ",B558)-1),B558)))</f>
        <v/>
      </c>
      <c r="AF558" s="32">
        <f>SUBSTITUTE(SUBSTITUTE(SUBSTITUTE(SUBSTITUTE(SUBSTITUTE(SUBSTITUTE(SUBSTITUTE(SUBSTITUTE(SUBSTITUTE(SUBSTITUTE(AE558,"%","%25"),"&amp;","%26"),"#","%23"),"+","%2B"),"=","%3D"),"?","%3F"),CHAR(34),"%22"),CHAR(10),"%0A"),CHAR(13),"")," ","+")</f>
        <v/>
      </c>
      <c r="AG558" s="32">
        <f>IF(OR(AD558="",AE558=""),"",'Start Here'!$B$20&amp;"#p="&amp;SUBSTITUTE(AD558,"+","%2B")&amp;"&amp;n="&amp;AF558&amp;"&amp;m="&amp;SUBSTITUTE('Start Here'!$B$24,"{name}",AF558))</f>
        <v/>
      </c>
      <c r="AH558" s="32">
        <f>N(AH557)+W558</f>
        <v/>
      </c>
      <c r="AI558" s="32">
        <f>IF(W558=1,AH558,"")</f>
        <v/>
      </c>
    </row>
    <row r="559">
      <c r="A559" s="32">
        <f>IF(INDEX('Form Responses'!$A:$A,ROW())="","",INDEX('Form Responses'!$A:$A,ROW()))</f>
        <v/>
      </c>
      <c r="B559" s="32">
        <f>TRIM(INDEX('Form Responses'!$B:$B,ROW())&amp;"")</f>
        <v/>
      </c>
      <c r="C559" s="32">
        <f>IF(B559="","",TRIM(INDEX('Form Responses'!$C:$C,ROW())&amp;""))</f>
        <v/>
      </c>
      <c r="D559" s="32">
        <f>SUBSTITUTE(SUBSTITUTE(SUBSTITUTE(SUBSTITUTE(SUBSTITUTE(SUBSTITUTE(SUBSTITUTE(SUBSTITUTE(C559," ",""),"-",""),"(",""),")",""),".",""),"+",""),"/",""),CHAR(160),"")</f>
        <v/>
      </c>
      <c r="E559" s="32">
        <f>IF(LEN(D559)&gt;=10,RIGHT(D559,10),D559)</f>
        <v/>
      </c>
      <c r="F559" s="32">
        <f>IF(B559="","",TRIM(INDEX('Form Responses'!$D:$D,ROW())&amp;""))</f>
        <v/>
      </c>
      <c r="G559" s="32">
        <f>IF(B559="","",IF(LEFT(TRIM(INDEX('Form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59" s="32">
        <f>IF(B559="","",MAX(0,IFERROR(INT(--(INDEX('Form Responses'!$F:$F,ROW())&amp;"")),1)))</f>
        <v/>
      </c>
      <c r="I559" s="32">
        <f>IF(B559="","",MAX(0,IFERROR(INT(--(INDEX('Form Responses'!$G:$G,ROW())&amp;"")),0)))</f>
        <v/>
      </c>
      <c r="J559" s="32">
        <f>IF(B559="","",TRIM(INDEX('Form Responses'!$H:$H,ROW())&amp;""))</f>
        <v/>
      </c>
      <c r="K559" s="32">
        <f>IF(B559="","",TRIM(INDEX('Form Responses'!$I:$I,ROW())&amp;""))</f>
        <v/>
      </c>
      <c r="L559" s="32">
        <f>IF(B559="","",TRIM(INDEX('Form Responses'!$J:$J,ROW())&amp;""))</f>
        <v/>
      </c>
      <c r="M559" s="32">
        <f>IF(B559="","",TRIM(INDEX('Form Responses'!$K:$K,ROW())&amp;""))</f>
        <v/>
      </c>
      <c r="N559" s="32">
        <f>IF(B559="","",IF(E559&lt;&gt;"","P"&amp;E559,"N"&amp;B559))</f>
        <v/>
      </c>
      <c r="O559" s="32">
        <f>IF(N559="",0,IF(COUNTIF(N560:N$602,N559)=0,1,0))</f>
        <v/>
      </c>
      <c r="P559" s="32">
        <f>IF(AND(O559=1,E559&lt;&gt;""),E559,"")</f>
        <v/>
      </c>
      <c r="Q559" s="32">
        <f>IF(O559=1,B559,"")</f>
        <v/>
      </c>
      <c r="R559" s="32">
        <f>IF(O559&lt;&gt;1,"",IF(E559&lt;&gt;"",IFERROR(MATCH(E559,Guests!$S$6:$S$505,0)+5,IFERROR(MATCH(B559,Guests!$A$6:$A$505,0)+5,"")),IFERROR(MATCH(B559,Guests!$A$6:$A$505,0)+5,"")))</f>
        <v/>
      </c>
      <c r="S559" s="32">
        <f>IF(R559="","",TRIM(INDEX(Guests!$E$1:$E$505,R559)&amp;""))</f>
        <v/>
      </c>
      <c r="T559" s="32">
        <f>IF(R559="","",IF(S559="",1,COUNTIF(Guests!$E$6:$E$505,S559)))</f>
        <v/>
      </c>
      <c r="U559" s="32">
        <f>IF(R559="","",IF(S559="",1,IF(COUNTIF(S$1:S558,S559)=0,1,0)))</f>
        <v/>
      </c>
      <c r="V559" s="32">
        <f>IF(AND(R559&lt;&gt;"",G559="Attending",U559=1),MAX(0,H559+I559-T559),0)</f>
        <v/>
      </c>
      <c r="W559" s="32">
        <f>IF(AND(O559=1,R559=""),1,0)</f>
        <v/>
      </c>
      <c r="X559" s="32">
        <f>IF(B559="",0,H559+I559)</f>
        <v/>
      </c>
      <c r="Y559" s="32">
        <f>N(Y558)+O559</f>
        <v/>
      </c>
      <c r="Z559" s="32">
        <f>IF(O559=1,Y559,"")</f>
        <v/>
      </c>
      <c r="AA559" s="32">
        <f>IF(AND(W559=1,G559="Not sure yet"),1,0)</f>
        <v/>
      </c>
      <c r="AB559" s="32">
        <f>N(AB558)+AA559</f>
        <v/>
      </c>
      <c r="AC559" s="32">
        <f>IF(AA559=1,AB559,"")</f>
        <v/>
      </c>
      <c r="AD559" s="32">
        <f>IF(D559="","",IF(LEN(D559)=10,"+1"&amp;D559,IF(AND(LEN(D559)=11,LEFT(D559,1)="1"),"+"&amp;D559,IF(LEFT(C559,1)="+","+"&amp;D559,D559))))</f>
        <v/>
      </c>
      <c r="AE559" s="32">
        <f>IF(B559="","",PROPER(IFERROR(LEFT(B559,FIND(" ",B559)-1),B559)))</f>
        <v/>
      </c>
      <c r="AF559" s="32">
        <f>SUBSTITUTE(SUBSTITUTE(SUBSTITUTE(SUBSTITUTE(SUBSTITUTE(SUBSTITUTE(SUBSTITUTE(SUBSTITUTE(SUBSTITUTE(SUBSTITUTE(AE559,"%","%25"),"&amp;","%26"),"#","%23"),"+","%2B"),"=","%3D"),"?","%3F"),CHAR(34),"%22"),CHAR(10),"%0A"),CHAR(13),"")," ","+")</f>
        <v/>
      </c>
      <c r="AG559" s="32">
        <f>IF(OR(AD559="",AE559=""),"",'Start Here'!$B$20&amp;"#p="&amp;SUBSTITUTE(AD559,"+","%2B")&amp;"&amp;n="&amp;AF559&amp;"&amp;m="&amp;SUBSTITUTE('Start Here'!$B$24,"{name}",AF559))</f>
        <v/>
      </c>
      <c r="AH559" s="32">
        <f>N(AH558)+W559</f>
        <v/>
      </c>
      <c r="AI559" s="32">
        <f>IF(W559=1,AH559,"")</f>
        <v/>
      </c>
    </row>
    <row r="560">
      <c r="A560" s="32">
        <f>IF(INDEX('Form Responses'!$A:$A,ROW())="","",INDEX('Form Responses'!$A:$A,ROW()))</f>
        <v/>
      </c>
      <c r="B560" s="32">
        <f>TRIM(INDEX('Form Responses'!$B:$B,ROW())&amp;"")</f>
        <v/>
      </c>
      <c r="C560" s="32">
        <f>IF(B560="","",TRIM(INDEX('Form Responses'!$C:$C,ROW())&amp;""))</f>
        <v/>
      </c>
      <c r="D560" s="32">
        <f>SUBSTITUTE(SUBSTITUTE(SUBSTITUTE(SUBSTITUTE(SUBSTITUTE(SUBSTITUTE(SUBSTITUTE(SUBSTITUTE(C560," ",""),"-",""),"(",""),")",""),".",""),"+",""),"/",""),CHAR(160),"")</f>
        <v/>
      </c>
      <c r="E560" s="32">
        <f>IF(LEN(D560)&gt;=10,RIGHT(D560,10),D560)</f>
        <v/>
      </c>
      <c r="F560" s="32">
        <f>IF(B560="","",TRIM(INDEX('Form Responses'!$D:$D,ROW())&amp;""))</f>
        <v/>
      </c>
      <c r="G560" s="32">
        <f>IF(B560="","",IF(LEFT(TRIM(INDEX('Form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0" s="32">
        <f>IF(B560="","",MAX(0,IFERROR(INT(--(INDEX('Form Responses'!$F:$F,ROW())&amp;"")),1)))</f>
        <v/>
      </c>
      <c r="I560" s="32">
        <f>IF(B560="","",MAX(0,IFERROR(INT(--(INDEX('Form Responses'!$G:$G,ROW())&amp;"")),0)))</f>
        <v/>
      </c>
      <c r="J560" s="32">
        <f>IF(B560="","",TRIM(INDEX('Form Responses'!$H:$H,ROW())&amp;""))</f>
        <v/>
      </c>
      <c r="K560" s="32">
        <f>IF(B560="","",TRIM(INDEX('Form Responses'!$I:$I,ROW())&amp;""))</f>
        <v/>
      </c>
      <c r="L560" s="32">
        <f>IF(B560="","",TRIM(INDEX('Form Responses'!$J:$J,ROW())&amp;""))</f>
        <v/>
      </c>
      <c r="M560" s="32">
        <f>IF(B560="","",TRIM(INDEX('Form Responses'!$K:$K,ROW())&amp;""))</f>
        <v/>
      </c>
      <c r="N560" s="32">
        <f>IF(B560="","",IF(E560&lt;&gt;"","P"&amp;E560,"N"&amp;B560))</f>
        <v/>
      </c>
      <c r="O560" s="32">
        <f>IF(N560="",0,IF(COUNTIF(N561:N$602,N560)=0,1,0))</f>
        <v/>
      </c>
      <c r="P560" s="32">
        <f>IF(AND(O560=1,E560&lt;&gt;""),E560,"")</f>
        <v/>
      </c>
      <c r="Q560" s="32">
        <f>IF(O560=1,B560,"")</f>
        <v/>
      </c>
      <c r="R560" s="32">
        <f>IF(O560&lt;&gt;1,"",IF(E560&lt;&gt;"",IFERROR(MATCH(E560,Guests!$S$6:$S$505,0)+5,IFERROR(MATCH(B560,Guests!$A$6:$A$505,0)+5,"")),IFERROR(MATCH(B560,Guests!$A$6:$A$505,0)+5,"")))</f>
        <v/>
      </c>
      <c r="S560" s="32">
        <f>IF(R560="","",TRIM(INDEX(Guests!$E$1:$E$505,R560)&amp;""))</f>
        <v/>
      </c>
      <c r="T560" s="32">
        <f>IF(R560="","",IF(S560="",1,COUNTIF(Guests!$E$6:$E$505,S560)))</f>
        <v/>
      </c>
      <c r="U560" s="32">
        <f>IF(R560="","",IF(S560="",1,IF(COUNTIF(S$1:S559,S560)=0,1,0)))</f>
        <v/>
      </c>
      <c r="V560" s="32">
        <f>IF(AND(R560&lt;&gt;"",G560="Attending",U560=1),MAX(0,H560+I560-T560),0)</f>
        <v/>
      </c>
      <c r="W560" s="32">
        <f>IF(AND(O560=1,R560=""),1,0)</f>
        <v/>
      </c>
      <c r="X560" s="32">
        <f>IF(B560="",0,H560+I560)</f>
        <v/>
      </c>
      <c r="Y560" s="32">
        <f>N(Y559)+O560</f>
        <v/>
      </c>
      <c r="Z560" s="32">
        <f>IF(O560=1,Y560,"")</f>
        <v/>
      </c>
      <c r="AA560" s="32">
        <f>IF(AND(W560=1,G560="Not sure yet"),1,0)</f>
        <v/>
      </c>
      <c r="AB560" s="32">
        <f>N(AB559)+AA560</f>
        <v/>
      </c>
      <c r="AC560" s="32">
        <f>IF(AA560=1,AB560,"")</f>
        <v/>
      </c>
      <c r="AD560" s="32">
        <f>IF(D560="","",IF(LEN(D560)=10,"+1"&amp;D560,IF(AND(LEN(D560)=11,LEFT(D560,1)="1"),"+"&amp;D560,IF(LEFT(C560,1)="+","+"&amp;D560,D560))))</f>
        <v/>
      </c>
      <c r="AE560" s="32">
        <f>IF(B560="","",PROPER(IFERROR(LEFT(B560,FIND(" ",B560)-1),B560)))</f>
        <v/>
      </c>
      <c r="AF560" s="32">
        <f>SUBSTITUTE(SUBSTITUTE(SUBSTITUTE(SUBSTITUTE(SUBSTITUTE(SUBSTITUTE(SUBSTITUTE(SUBSTITUTE(SUBSTITUTE(SUBSTITUTE(AE560,"%","%25"),"&amp;","%26"),"#","%23"),"+","%2B"),"=","%3D"),"?","%3F"),CHAR(34),"%22"),CHAR(10),"%0A"),CHAR(13),"")," ","+")</f>
        <v/>
      </c>
      <c r="AG560" s="32">
        <f>IF(OR(AD560="",AE560=""),"",'Start Here'!$B$20&amp;"#p="&amp;SUBSTITUTE(AD560,"+","%2B")&amp;"&amp;n="&amp;AF560&amp;"&amp;m="&amp;SUBSTITUTE('Start Here'!$B$24,"{name}",AF560))</f>
        <v/>
      </c>
      <c r="AH560" s="32">
        <f>N(AH559)+W560</f>
        <v/>
      </c>
      <c r="AI560" s="32">
        <f>IF(W560=1,AH560,"")</f>
        <v/>
      </c>
    </row>
    <row r="561">
      <c r="A561" s="32">
        <f>IF(INDEX('Form Responses'!$A:$A,ROW())="","",INDEX('Form Responses'!$A:$A,ROW()))</f>
        <v/>
      </c>
      <c r="B561" s="32">
        <f>TRIM(INDEX('Form Responses'!$B:$B,ROW())&amp;"")</f>
        <v/>
      </c>
      <c r="C561" s="32">
        <f>IF(B561="","",TRIM(INDEX('Form Responses'!$C:$C,ROW())&amp;""))</f>
        <v/>
      </c>
      <c r="D561" s="32">
        <f>SUBSTITUTE(SUBSTITUTE(SUBSTITUTE(SUBSTITUTE(SUBSTITUTE(SUBSTITUTE(SUBSTITUTE(SUBSTITUTE(C561," ",""),"-",""),"(",""),")",""),".",""),"+",""),"/",""),CHAR(160),"")</f>
        <v/>
      </c>
      <c r="E561" s="32">
        <f>IF(LEN(D561)&gt;=10,RIGHT(D561,10),D561)</f>
        <v/>
      </c>
      <c r="F561" s="32">
        <f>IF(B561="","",TRIM(INDEX('Form Responses'!$D:$D,ROW())&amp;""))</f>
        <v/>
      </c>
      <c r="G561" s="32">
        <f>IF(B561="","",IF(LEFT(TRIM(INDEX('Form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1" s="32">
        <f>IF(B561="","",MAX(0,IFERROR(INT(--(INDEX('Form Responses'!$F:$F,ROW())&amp;"")),1)))</f>
        <v/>
      </c>
      <c r="I561" s="32">
        <f>IF(B561="","",MAX(0,IFERROR(INT(--(INDEX('Form Responses'!$G:$G,ROW())&amp;"")),0)))</f>
        <v/>
      </c>
      <c r="J561" s="32">
        <f>IF(B561="","",TRIM(INDEX('Form Responses'!$H:$H,ROW())&amp;""))</f>
        <v/>
      </c>
      <c r="K561" s="32">
        <f>IF(B561="","",TRIM(INDEX('Form Responses'!$I:$I,ROW())&amp;""))</f>
        <v/>
      </c>
      <c r="L561" s="32">
        <f>IF(B561="","",TRIM(INDEX('Form Responses'!$J:$J,ROW())&amp;""))</f>
        <v/>
      </c>
      <c r="M561" s="32">
        <f>IF(B561="","",TRIM(INDEX('Form Responses'!$K:$K,ROW())&amp;""))</f>
        <v/>
      </c>
      <c r="N561" s="32">
        <f>IF(B561="","",IF(E561&lt;&gt;"","P"&amp;E561,"N"&amp;B561))</f>
        <v/>
      </c>
      <c r="O561" s="32">
        <f>IF(N561="",0,IF(COUNTIF(N562:N$602,N561)=0,1,0))</f>
        <v/>
      </c>
      <c r="P561" s="32">
        <f>IF(AND(O561=1,E561&lt;&gt;""),E561,"")</f>
        <v/>
      </c>
      <c r="Q561" s="32">
        <f>IF(O561=1,B561,"")</f>
        <v/>
      </c>
      <c r="R561" s="32">
        <f>IF(O561&lt;&gt;1,"",IF(E561&lt;&gt;"",IFERROR(MATCH(E561,Guests!$S$6:$S$505,0)+5,IFERROR(MATCH(B561,Guests!$A$6:$A$505,0)+5,"")),IFERROR(MATCH(B561,Guests!$A$6:$A$505,0)+5,"")))</f>
        <v/>
      </c>
      <c r="S561" s="32">
        <f>IF(R561="","",TRIM(INDEX(Guests!$E$1:$E$505,R561)&amp;""))</f>
        <v/>
      </c>
      <c r="T561" s="32">
        <f>IF(R561="","",IF(S561="",1,COUNTIF(Guests!$E$6:$E$505,S561)))</f>
        <v/>
      </c>
      <c r="U561" s="32">
        <f>IF(R561="","",IF(S561="",1,IF(COUNTIF(S$1:S560,S561)=0,1,0)))</f>
        <v/>
      </c>
      <c r="V561" s="32">
        <f>IF(AND(R561&lt;&gt;"",G561="Attending",U561=1),MAX(0,H561+I561-T561),0)</f>
        <v/>
      </c>
      <c r="W561" s="32">
        <f>IF(AND(O561=1,R561=""),1,0)</f>
        <v/>
      </c>
      <c r="X561" s="32">
        <f>IF(B561="",0,H561+I561)</f>
        <v/>
      </c>
      <c r="Y561" s="32">
        <f>N(Y560)+O561</f>
        <v/>
      </c>
      <c r="Z561" s="32">
        <f>IF(O561=1,Y561,"")</f>
        <v/>
      </c>
      <c r="AA561" s="32">
        <f>IF(AND(W561=1,G561="Not sure yet"),1,0)</f>
        <v/>
      </c>
      <c r="AB561" s="32">
        <f>N(AB560)+AA561</f>
        <v/>
      </c>
      <c r="AC561" s="32">
        <f>IF(AA561=1,AB561,"")</f>
        <v/>
      </c>
      <c r="AD561" s="32">
        <f>IF(D561="","",IF(LEN(D561)=10,"+1"&amp;D561,IF(AND(LEN(D561)=11,LEFT(D561,1)="1"),"+"&amp;D561,IF(LEFT(C561,1)="+","+"&amp;D561,D561))))</f>
        <v/>
      </c>
      <c r="AE561" s="32">
        <f>IF(B561="","",PROPER(IFERROR(LEFT(B561,FIND(" ",B561)-1),B561)))</f>
        <v/>
      </c>
      <c r="AF561" s="32">
        <f>SUBSTITUTE(SUBSTITUTE(SUBSTITUTE(SUBSTITUTE(SUBSTITUTE(SUBSTITUTE(SUBSTITUTE(SUBSTITUTE(SUBSTITUTE(SUBSTITUTE(AE561,"%","%25"),"&amp;","%26"),"#","%23"),"+","%2B"),"=","%3D"),"?","%3F"),CHAR(34),"%22"),CHAR(10),"%0A"),CHAR(13),"")," ","+")</f>
        <v/>
      </c>
      <c r="AG561" s="32">
        <f>IF(OR(AD561="",AE561=""),"",'Start Here'!$B$20&amp;"#p="&amp;SUBSTITUTE(AD561,"+","%2B")&amp;"&amp;n="&amp;AF561&amp;"&amp;m="&amp;SUBSTITUTE('Start Here'!$B$24,"{name}",AF561))</f>
        <v/>
      </c>
      <c r="AH561" s="32">
        <f>N(AH560)+W561</f>
        <v/>
      </c>
      <c r="AI561" s="32">
        <f>IF(W561=1,AH561,"")</f>
        <v/>
      </c>
    </row>
    <row r="562">
      <c r="A562" s="32">
        <f>IF(INDEX('Form Responses'!$A:$A,ROW())="","",INDEX('Form Responses'!$A:$A,ROW()))</f>
        <v/>
      </c>
      <c r="B562" s="32">
        <f>TRIM(INDEX('Form Responses'!$B:$B,ROW())&amp;"")</f>
        <v/>
      </c>
      <c r="C562" s="32">
        <f>IF(B562="","",TRIM(INDEX('Form Responses'!$C:$C,ROW())&amp;""))</f>
        <v/>
      </c>
      <c r="D562" s="32">
        <f>SUBSTITUTE(SUBSTITUTE(SUBSTITUTE(SUBSTITUTE(SUBSTITUTE(SUBSTITUTE(SUBSTITUTE(SUBSTITUTE(C562," ",""),"-",""),"(",""),")",""),".",""),"+",""),"/",""),CHAR(160),"")</f>
        <v/>
      </c>
      <c r="E562" s="32">
        <f>IF(LEN(D562)&gt;=10,RIGHT(D562,10),D562)</f>
        <v/>
      </c>
      <c r="F562" s="32">
        <f>IF(B562="","",TRIM(INDEX('Form Responses'!$D:$D,ROW())&amp;""))</f>
        <v/>
      </c>
      <c r="G562" s="32">
        <f>IF(B562="","",IF(LEFT(TRIM(INDEX('Form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2" s="32">
        <f>IF(B562="","",MAX(0,IFERROR(INT(--(INDEX('Form Responses'!$F:$F,ROW())&amp;"")),1)))</f>
        <v/>
      </c>
      <c r="I562" s="32">
        <f>IF(B562="","",MAX(0,IFERROR(INT(--(INDEX('Form Responses'!$G:$G,ROW())&amp;"")),0)))</f>
        <v/>
      </c>
      <c r="J562" s="32">
        <f>IF(B562="","",TRIM(INDEX('Form Responses'!$H:$H,ROW())&amp;""))</f>
        <v/>
      </c>
      <c r="K562" s="32">
        <f>IF(B562="","",TRIM(INDEX('Form Responses'!$I:$I,ROW())&amp;""))</f>
        <v/>
      </c>
      <c r="L562" s="32">
        <f>IF(B562="","",TRIM(INDEX('Form Responses'!$J:$J,ROW())&amp;""))</f>
        <v/>
      </c>
      <c r="M562" s="32">
        <f>IF(B562="","",TRIM(INDEX('Form Responses'!$K:$K,ROW())&amp;""))</f>
        <v/>
      </c>
      <c r="N562" s="32">
        <f>IF(B562="","",IF(E562&lt;&gt;"","P"&amp;E562,"N"&amp;B562))</f>
        <v/>
      </c>
      <c r="O562" s="32">
        <f>IF(N562="",0,IF(COUNTIF(N563:N$602,N562)=0,1,0))</f>
        <v/>
      </c>
      <c r="P562" s="32">
        <f>IF(AND(O562=1,E562&lt;&gt;""),E562,"")</f>
        <v/>
      </c>
      <c r="Q562" s="32">
        <f>IF(O562=1,B562,"")</f>
        <v/>
      </c>
      <c r="R562" s="32">
        <f>IF(O562&lt;&gt;1,"",IF(E562&lt;&gt;"",IFERROR(MATCH(E562,Guests!$S$6:$S$505,0)+5,IFERROR(MATCH(B562,Guests!$A$6:$A$505,0)+5,"")),IFERROR(MATCH(B562,Guests!$A$6:$A$505,0)+5,"")))</f>
        <v/>
      </c>
      <c r="S562" s="32">
        <f>IF(R562="","",TRIM(INDEX(Guests!$E$1:$E$505,R562)&amp;""))</f>
        <v/>
      </c>
      <c r="T562" s="32">
        <f>IF(R562="","",IF(S562="",1,COUNTIF(Guests!$E$6:$E$505,S562)))</f>
        <v/>
      </c>
      <c r="U562" s="32">
        <f>IF(R562="","",IF(S562="",1,IF(COUNTIF(S$1:S561,S562)=0,1,0)))</f>
        <v/>
      </c>
      <c r="V562" s="32">
        <f>IF(AND(R562&lt;&gt;"",G562="Attending",U562=1),MAX(0,H562+I562-T562),0)</f>
        <v/>
      </c>
      <c r="W562" s="32">
        <f>IF(AND(O562=1,R562=""),1,0)</f>
        <v/>
      </c>
      <c r="X562" s="32">
        <f>IF(B562="",0,H562+I562)</f>
        <v/>
      </c>
      <c r="Y562" s="32">
        <f>N(Y561)+O562</f>
        <v/>
      </c>
      <c r="Z562" s="32">
        <f>IF(O562=1,Y562,"")</f>
        <v/>
      </c>
      <c r="AA562" s="32">
        <f>IF(AND(W562=1,G562="Not sure yet"),1,0)</f>
        <v/>
      </c>
      <c r="AB562" s="32">
        <f>N(AB561)+AA562</f>
        <v/>
      </c>
      <c r="AC562" s="32">
        <f>IF(AA562=1,AB562,"")</f>
        <v/>
      </c>
      <c r="AD562" s="32">
        <f>IF(D562="","",IF(LEN(D562)=10,"+1"&amp;D562,IF(AND(LEN(D562)=11,LEFT(D562,1)="1"),"+"&amp;D562,IF(LEFT(C562,1)="+","+"&amp;D562,D562))))</f>
        <v/>
      </c>
      <c r="AE562" s="32">
        <f>IF(B562="","",PROPER(IFERROR(LEFT(B562,FIND(" ",B562)-1),B562)))</f>
        <v/>
      </c>
      <c r="AF562" s="32">
        <f>SUBSTITUTE(SUBSTITUTE(SUBSTITUTE(SUBSTITUTE(SUBSTITUTE(SUBSTITUTE(SUBSTITUTE(SUBSTITUTE(SUBSTITUTE(SUBSTITUTE(AE562,"%","%25"),"&amp;","%26"),"#","%23"),"+","%2B"),"=","%3D"),"?","%3F"),CHAR(34),"%22"),CHAR(10),"%0A"),CHAR(13),"")," ","+")</f>
        <v/>
      </c>
      <c r="AG562" s="32">
        <f>IF(OR(AD562="",AE562=""),"",'Start Here'!$B$20&amp;"#p="&amp;SUBSTITUTE(AD562,"+","%2B")&amp;"&amp;n="&amp;AF562&amp;"&amp;m="&amp;SUBSTITUTE('Start Here'!$B$24,"{name}",AF562))</f>
        <v/>
      </c>
      <c r="AH562" s="32">
        <f>N(AH561)+W562</f>
        <v/>
      </c>
      <c r="AI562" s="32">
        <f>IF(W562=1,AH562,"")</f>
        <v/>
      </c>
    </row>
    <row r="563">
      <c r="A563" s="32">
        <f>IF(INDEX('Form Responses'!$A:$A,ROW())="","",INDEX('Form Responses'!$A:$A,ROW()))</f>
        <v/>
      </c>
      <c r="B563" s="32">
        <f>TRIM(INDEX('Form Responses'!$B:$B,ROW())&amp;"")</f>
        <v/>
      </c>
      <c r="C563" s="32">
        <f>IF(B563="","",TRIM(INDEX('Form Responses'!$C:$C,ROW())&amp;""))</f>
        <v/>
      </c>
      <c r="D563" s="32">
        <f>SUBSTITUTE(SUBSTITUTE(SUBSTITUTE(SUBSTITUTE(SUBSTITUTE(SUBSTITUTE(SUBSTITUTE(SUBSTITUTE(C563," ",""),"-",""),"(",""),")",""),".",""),"+",""),"/",""),CHAR(160),"")</f>
        <v/>
      </c>
      <c r="E563" s="32">
        <f>IF(LEN(D563)&gt;=10,RIGHT(D563,10),D563)</f>
        <v/>
      </c>
      <c r="F563" s="32">
        <f>IF(B563="","",TRIM(INDEX('Form Responses'!$D:$D,ROW())&amp;""))</f>
        <v/>
      </c>
      <c r="G563" s="32">
        <f>IF(B563="","",IF(LEFT(TRIM(INDEX('Form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3" s="32">
        <f>IF(B563="","",MAX(0,IFERROR(INT(--(INDEX('Form Responses'!$F:$F,ROW())&amp;"")),1)))</f>
        <v/>
      </c>
      <c r="I563" s="32">
        <f>IF(B563="","",MAX(0,IFERROR(INT(--(INDEX('Form Responses'!$G:$G,ROW())&amp;"")),0)))</f>
        <v/>
      </c>
      <c r="J563" s="32">
        <f>IF(B563="","",TRIM(INDEX('Form Responses'!$H:$H,ROW())&amp;""))</f>
        <v/>
      </c>
      <c r="K563" s="32">
        <f>IF(B563="","",TRIM(INDEX('Form Responses'!$I:$I,ROW())&amp;""))</f>
        <v/>
      </c>
      <c r="L563" s="32">
        <f>IF(B563="","",TRIM(INDEX('Form Responses'!$J:$J,ROW())&amp;""))</f>
        <v/>
      </c>
      <c r="M563" s="32">
        <f>IF(B563="","",TRIM(INDEX('Form Responses'!$K:$K,ROW())&amp;""))</f>
        <v/>
      </c>
      <c r="N563" s="32">
        <f>IF(B563="","",IF(E563&lt;&gt;"","P"&amp;E563,"N"&amp;B563))</f>
        <v/>
      </c>
      <c r="O563" s="32">
        <f>IF(N563="",0,IF(COUNTIF(N564:N$602,N563)=0,1,0))</f>
        <v/>
      </c>
      <c r="P563" s="32">
        <f>IF(AND(O563=1,E563&lt;&gt;""),E563,"")</f>
        <v/>
      </c>
      <c r="Q563" s="32">
        <f>IF(O563=1,B563,"")</f>
        <v/>
      </c>
      <c r="R563" s="32">
        <f>IF(O563&lt;&gt;1,"",IF(E563&lt;&gt;"",IFERROR(MATCH(E563,Guests!$S$6:$S$505,0)+5,IFERROR(MATCH(B563,Guests!$A$6:$A$505,0)+5,"")),IFERROR(MATCH(B563,Guests!$A$6:$A$505,0)+5,"")))</f>
        <v/>
      </c>
      <c r="S563" s="32">
        <f>IF(R563="","",TRIM(INDEX(Guests!$E$1:$E$505,R563)&amp;""))</f>
        <v/>
      </c>
      <c r="T563" s="32">
        <f>IF(R563="","",IF(S563="",1,COUNTIF(Guests!$E$6:$E$505,S563)))</f>
        <v/>
      </c>
      <c r="U563" s="32">
        <f>IF(R563="","",IF(S563="",1,IF(COUNTIF(S$1:S562,S563)=0,1,0)))</f>
        <v/>
      </c>
      <c r="V563" s="32">
        <f>IF(AND(R563&lt;&gt;"",G563="Attending",U563=1),MAX(0,H563+I563-T563),0)</f>
        <v/>
      </c>
      <c r="W563" s="32">
        <f>IF(AND(O563=1,R563=""),1,0)</f>
        <v/>
      </c>
      <c r="X563" s="32">
        <f>IF(B563="",0,H563+I563)</f>
        <v/>
      </c>
      <c r="Y563" s="32">
        <f>N(Y562)+O563</f>
        <v/>
      </c>
      <c r="Z563" s="32">
        <f>IF(O563=1,Y563,"")</f>
        <v/>
      </c>
      <c r="AA563" s="32">
        <f>IF(AND(W563=1,G563="Not sure yet"),1,0)</f>
        <v/>
      </c>
      <c r="AB563" s="32">
        <f>N(AB562)+AA563</f>
        <v/>
      </c>
      <c r="AC563" s="32">
        <f>IF(AA563=1,AB563,"")</f>
        <v/>
      </c>
      <c r="AD563" s="32">
        <f>IF(D563="","",IF(LEN(D563)=10,"+1"&amp;D563,IF(AND(LEN(D563)=11,LEFT(D563,1)="1"),"+"&amp;D563,IF(LEFT(C563,1)="+","+"&amp;D563,D563))))</f>
        <v/>
      </c>
      <c r="AE563" s="32">
        <f>IF(B563="","",PROPER(IFERROR(LEFT(B563,FIND(" ",B563)-1),B563)))</f>
        <v/>
      </c>
      <c r="AF563" s="32">
        <f>SUBSTITUTE(SUBSTITUTE(SUBSTITUTE(SUBSTITUTE(SUBSTITUTE(SUBSTITUTE(SUBSTITUTE(SUBSTITUTE(SUBSTITUTE(SUBSTITUTE(AE563,"%","%25"),"&amp;","%26"),"#","%23"),"+","%2B"),"=","%3D"),"?","%3F"),CHAR(34),"%22"),CHAR(10),"%0A"),CHAR(13),"")," ","+")</f>
        <v/>
      </c>
      <c r="AG563" s="32">
        <f>IF(OR(AD563="",AE563=""),"",'Start Here'!$B$20&amp;"#p="&amp;SUBSTITUTE(AD563,"+","%2B")&amp;"&amp;n="&amp;AF563&amp;"&amp;m="&amp;SUBSTITUTE('Start Here'!$B$24,"{name}",AF563))</f>
        <v/>
      </c>
      <c r="AH563" s="32">
        <f>N(AH562)+W563</f>
        <v/>
      </c>
      <c r="AI563" s="32">
        <f>IF(W563=1,AH563,"")</f>
        <v/>
      </c>
    </row>
    <row r="564">
      <c r="A564" s="32">
        <f>IF(INDEX('Form Responses'!$A:$A,ROW())="","",INDEX('Form Responses'!$A:$A,ROW()))</f>
        <v/>
      </c>
      <c r="B564" s="32">
        <f>TRIM(INDEX('Form Responses'!$B:$B,ROW())&amp;"")</f>
        <v/>
      </c>
      <c r="C564" s="32">
        <f>IF(B564="","",TRIM(INDEX('Form Responses'!$C:$C,ROW())&amp;""))</f>
        <v/>
      </c>
      <c r="D564" s="32">
        <f>SUBSTITUTE(SUBSTITUTE(SUBSTITUTE(SUBSTITUTE(SUBSTITUTE(SUBSTITUTE(SUBSTITUTE(SUBSTITUTE(C564," ",""),"-",""),"(",""),")",""),".",""),"+",""),"/",""),CHAR(160),"")</f>
        <v/>
      </c>
      <c r="E564" s="32">
        <f>IF(LEN(D564)&gt;=10,RIGHT(D564,10),D564)</f>
        <v/>
      </c>
      <c r="F564" s="32">
        <f>IF(B564="","",TRIM(INDEX('Form Responses'!$D:$D,ROW())&amp;""))</f>
        <v/>
      </c>
      <c r="G564" s="32">
        <f>IF(B564="","",IF(LEFT(TRIM(INDEX('Form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4" s="32">
        <f>IF(B564="","",MAX(0,IFERROR(INT(--(INDEX('Form Responses'!$F:$F,ROW())&amp;"")),1)))</f>
        <v/>
      </c>
      <c r="I564" s="32">
        <f>IF(B564="","",MAX(0,IFERROR(INT(--(INDEX('Form Responses'!$G:$G,ROW())&amp;"")),0)))</f>
        <v/>
      </c>
      <c r="J564" s="32">
        <f>IF(B564="","",TRIM(INDEX('Form Responses'!$H:$H,ROW())&amp;""))</f>
        <v/>
      </c>
      <c r="K564" s="32">
        <f>IF(B564="","",TRIM(INDEX('Form Responses'!$I:$I,ROW())&amp;""))</f>
        <v/>
      </c>
      <c r="L564" s="32">
        <f>IF(B564="","",TRIM(INDEX('Form Responses'!$J:$J,ROW())&amp;""))</f>
        <v/>
      </c>
      <c r="M564" s="32">
        <f>IF(B564="","",TRIM(INDEX('Form Responses'!$K:$K,ROW())&amp;""))</f>
        <v/>
      </c>
      <c r="N564" s="32">
        <f>IF(B564="","",IF(E564&lt;&gt;"","P"&amp;E564,"N"&amp;B564))</f>
        <v/>
      </c>
      <c r="O564" s="32">
        <f>IF(N564="",0,IF(COUNTIF(N565:N$602,N564)=0,1,0))</f>
        <v/>
      </c>
      <c r="P564" s="32">
        <f>IF(AND(O564=1,E564&lt;&gt;""),E564,"")</f>
        <v/>
      </c>
      <c r="Q564" s="32">
        <f>IF(O564=1,B564,"")</f>
        <v/>
      </c>
      <c r="R564" s="32">
        <f>IF(O564&lt;&gt;1,"",IF(E564&lt;&gt;"",IFERROR(MATCH(E564,Guests!$S$6:$S$505,0)+5,IFERROR(MATCH(B564,Guests!$A$6:$A$505,0)+5,"")),IFERROR(MATCH(B564,Guests!$A$6:$A$505,0)+5,"")))</f>
        <v/>
      </c>
      <c r="S564" s="32">
        <f>IF(R564="","",TRIM(INDEX(Guests!$E$1:$E$505,R564)&amp;""))</f>
        <v/>
      </c>
      <c r="T564" s="32">
        <f>IF(R564="","",IF(S564="",1,COUNTIF(Guests!$E$6:$E$505,S564)))</f>
        <v/>
      </c>
      <c r="U564" s="32">
        <f>IF(R564="","",IF(S564="",1,IF(COUNTIF(S$1:S563,S564)=0,1,0)))</f>
        <v/>
      </c>
      <c r="V564" s="32">
        <f>IF(AND(R564&lt;&gt;"",G564="Attending",U564=1),MAX(0,H564+I564-T564),0)</f>
        <v/>
      </c>
      <c r="W564" s="32">
        <f>IF(AND(O564=1,R564=""),1,0)</f>
        <v/>
      </c>
      <c r="X564" s="32">
        <f>IF(B564="",0,H564+I564)</f>
        <v/>
      </c>
      <c r="Y564" s="32">
        <f>N(Y563)+O564</f>
        <v/>
      </c>
      <c r="Z564" s="32">
        <f>IF(O564=1,Y564,"")</f>
        <v/>
      </c>
      <c r="AA564" s="32">
        <f>IF(AND(W564=1,G564="Not sure yet"),1,0)</f>
        <v/>
      </c>
      <c r="AB564" s="32">
        <f>N(AB563)+AA564</f>
        <v/>
      </c>
      <c r="AC564" s="32">
        <f>IF(AA564=1,AB564,"")</f>
        <v/>
      </c>
      <c r="AD564" s="32">
        <f>IF(D564="","",IF(LEN(D564)=10,"+1"&amp;D564,IF(AND(LEN(D564)=11,LEFT(D564,1)="1"),"+"&amp;D564,IF(LEFT(C564,1)="+","+"&amp;D564,D564))))</f>
        <v/>
      </c>
      <c r="AE564" s="32">
        <f>IF(B564="","",PROPER(IFERROR(LEFT(B564,FIND(" ",B564)-1),B564)))</f>
        <v/>
      </c>
      <c r="AF564" s="32">
        <f>SUBSTITUTE(SUBSTITUTE(SUBSTITUTE(SUBSTITUTE(SUBSTITUTE(SUBSTITUTE(SUBSTITUTE(SUBSTITUTE(SUBSTITUTE(SUBSTITUTE(AE564,"%","%25"),"&amp;","%26"),"#","%23"),"+","%2B"),"=","%3D"),"?","%3F"),CHAR(34),"%22"),CHAR(10),"%0A"),CHAR(13),"")," ","+")</f>
        <v/>
      </c>
      <c r="AG564" s="32">
        <f>IF(OR(AD564="",AE564=""),"",'Start Here'!$B$20&amp;"#p="&amp;SUBSTITUTE(AD564,"+","%2B")&amp;"&amp;n="&amp;AF564&amp;"&amp;m="&amp;SUBSTITUTE('Start Here'!$B$24,"{name}",AF564))</f>
        <v/>
      </c>
      <c r="AH564" s="32">
        <f>N(AH563)+W564</f>
        <v/>
      </c>
      <c r="AI564" s="32">
        <f>IF(W564=1,AH564,"")</f>
        <v/>
      </c>
    </row>
    <row r="565">
      <c r="A565" s="32">
        <f>IF(INDEX('Form Responses'!$A:$A,ROW())="","",INDEX('Form Responses'!$A:$A,ROW()))</f>
        <v/>
      </c>
      <c r="B565" s="32">
        <f>TRIM(INDEX('Form Responses'!$B:$B,ROW())&amp;"")</f>
        <v/>
      </c>
      <c r="C565" s="32">
        <f>IF(B565="","",TRIM(INDEX('Form Responses'!$C:$C,ROW())&amp;""))</f>
        <v/>
      </c>
      <c r="D565" s="32">
        <f>SUBSTITUTE(SUBSTITUTE(SUBSTITUTE(SUBSTITUTE(SUBSTITUTE(SUBSTITUTE(SUBSTITUTE(SUBSTITUTE(C565," ",""),"-",""),"(",""),")",""),".",""),"+",""),"/",""),CHAR(160),"")</f>
        <v/>
      </c>
      <c r="E565" s="32">
        <f>IF(LEN(D565)&gt;=10,RIGHT(D565,10),D565)</f>
        <v/>
      </c>
      <c r="F565" s="32">
        <f>IF(B565="","",TRIM(INDEX('Form Responses'!$D:$D,ROW())&amp;""))</f>
        <v/>
      </c>
      <c r="G565" s="32">
        <f>IF(B565="","",IF(LEFT(TRIM(INDEX('Form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5" s="32">
        <f>IF(B565="","",MAX(0,IFERROR(INT(--(INDEX('Form Responses'!$F:$F,ROW())&amp;"")),1)))</f>
        <v/>
      </c>
      <c r="I565" s="32">
        <f>IF(B565="","",MAX(0,IFERROR(INT(--(INDEX('Form Responses'!$G:$G,ROW())&amp;"")),0)))</f>
        <v/>
      </c>
      <c r="J565" s="32">
        <f>IF(B565="","",TRIM(INDEX('Form Responses'!$H:$H,ROW())&amp;""))</f>
        <v/>
      </c>
      <c r="K565" s="32">
        <f>IF(B565="","",TRIM(INDEX('Form Responses'!$I:$I,ROW())&amp;""))</f>
        <v/>
      </c>
      <c r="L565" s="32">
        <f>IF(B565="","",TRIM(INDEX('Form Responses'!$J:$J,ROW())&amp;""))</f>
        <v/>
      </c>
      <c r="M565" s="32">
        <f>IF(B565="","",TRIM(INDEX('Form Responses'!$K:$K,ROW())&amp;""))</f>
        <v/>
      </c>
      <c r="N565" s="32">
        <f>IF(B565="","",IF(E565&lt;&gt;"","P"&amp;E565,"N"&amp;B565))</f>
        <v/>
      </c>
      <c r="O565" s="32">
        <f>IF(N565="",0,IF(COUNTIF(N566:N$602,N565)=0,1,0))</f>
        <v/>
      </c>
      <c r="P565" s="32">
        <f>IF(AND(O565=1,E565&lt;&gt;""),E565,"")</f>
        <v/>
      </c>
      <c r="Q565" s="32">
        <f>IF(O565=1,B565,"")</f>
        <v/>
      </c>
      <c r="R565" s="32">
        <f>IF(O565&lt;&gt;1,"",IF(E565&lt;&gt;"",IFERROR(MATCH(E565,Guests!$S$6:$S$505,0)+5,IFERROR(MATCH(B565,Guests!$A$6:$A$505,0)+5,"")),IFERROR(MATCH(B565,Guests!$A$6:$A$505,0)+5,"")))</f>
        <v/>
      </c>
      <c r="S565" s="32">
        <f>IF(R565="","",TRIM(INDEX(Guests!$E$1:$E$505,R565)&amp;""))</f>
        <v/>
      </c>
      <c r="T565" s="32">
        <f>IF(R565="","",IF(S565="",1,COUNTIF(Guests!$E$6:$E$505,S565)))</f>
        <v/>
      </c>
      <c r="U565" s="32">
        <f>IF(R565="","",IF(S565="",1,IF(COUNTIF(S$1:S564,S565)=0,1,0)))</f>
        <v/>
      </c>
      <c r="V565" s="32">
        <f>IF(AND(R565&lt;&gt;"",G565="Attending",U565=1),MAX(0,H565+I565-T565),0)</f>
        <v/>
      </c>
      <c r="W565" s="32">
        <f>IF(AND(O565=1,R565=""),1,0)</f>
        <v/>
      </c>
      <c r="X565" s="32">
        <f>IF(B565="",0,H565+I565)</f>
        <v/>
      </c>
      <c r="Y565" s="32">
        <f>N(Y564)+O565</f>
        <v/>
      </c>
      <c r="Z565" s="32">
        <f>IF(O565=1,Y565,"")</f>
        <v/>
      </c>
      <c r="AA565" s="32">
        <f>IF(AND(W565=1,G565="Not sure yet"),1,0)</f>
        <v/>
      </c>
      <c r="AB565" s="32">
        <f>N(AB564)+AA565</f>
        <v/>
      </c>
      <c r="AC565" s="32">
        <f>IF(AA565=1,AB565,"")</f>
        <v/>
      </c>
      <c r="AD565" s="32">
        <f>IF(D565="","",IF(LEN(D565)=10,"+1"&amp;D565,IF(AND(LEN(D565)=11,LEFT(D565,1)="1"),"+"&amp;D565,IF(LEFT(C565,1)="+","+"&amp;D565,D565))))</f>
        <v/>
      </c>
      <c r="AE565" s="32">
        <f>IF(B565="","",PROPER(IFERROR(LEFT(B565,FIND(" ",B565)-1),B565)))</f>
        <v/>
      </c>
      <c r="AF565" s="32">
        <f>SUBSTITUTE(SUBSTITUTE(SUBSTITUTE(SUBSTITUTE(SUBSTITUTE(SUBSTITUTE(SUBSTITUTE(SUBSTITUTE(SUBSTITUTE(SUBSTITUTE(AE565,"%","%25"),"&amp;","%26"),"#","%23"),"+","%2B"),"=","%3D"),"?","%3F"),CHAR(34),"%22"),CHAR(10),"%0A"),CHAR(13),"")," ","+")</f>
        <v/>
      </c>
      <c r="AG565" s="32">
        <f>IF(OR(AD565="",AE565=""),"",'Start Here'!$B$20&amp;"#p="&amp;SUBSTITUTE(AD565,"+","%2B")&amp;"&amp;n="&amp;AF565&amp;"&amp;m="&amp;SUBSTITUTE('Start Here'!$B$24,"{name}",AF565))</f>
        <v/>
      </c>
      <c r="AH565" s="32">
        <f>N(AH564)+W565</f>
        <v/>
      </c>
      <c r="AI565" s="32">
        <f>IF(W565=1,AH565,"")</f>
        <v/>
      </c>
    </row>
    <row r="566">
      <c r="A566" s="32">
        <f>IF(INDEX('Form Responses'!$A:$A,ROW())="","",INDEX('Form Responses'!$A:$A,ROW()))</f>
        <v/>
      </c>
      <c r="B566" s="32">
        <f>TRIM(INDEX('Form Responses'!$B:$B,ROW())&amp;"")</f>
        <v/>
      </c>
      <c r="C566" s="32">
        <f>IF(B566="","",TRIM(INDEX('Form Responses'!$C:$C,ROW())&amp;""))</f>
        <v/>
      </c>
      <c r="D566" s="32">
        <f>SUBSTITUTE(SUBSTITUTE(SUBSTITUTE(SUBSTITUTE(SUBSTITUTE(SUBSTITUTE(SUBSTITUTE(SUBSTITUTE(C566," ",""),"-",""),"(",""),")",""),".",""),"+",""),"/",""),CHAR(160),"")</f>
        <v/>
      </c>
      <c r="E566" s="32">
        <f>IF(LEN(D566)&gt;=10,RIGHT(D566,10),D566)</f>
        <v/>
      </c>
      <c r="F566" s="32">
        <f>IF(B566="","",TRIM(INDEX('Form Responses'!$D:$D,ROW())&amp;""))</f>
        <v/>
      </c>
      <c r="G566" s="32">
        <f>IF(B566="","",IF(LEFT(TRIM(INDEX('Form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6" s="32">
        <f>IF(B566="","",MAX(0,IFERROR(INT(--(INDEX('Form Responses'!$F:$F,ROW())&amp;"")),1)))</f>
        <v/>
      </c>
      <c r="I566" s="32">
        <f>IF(B566="","",MAX(0,IFERROR(INT(--(INDEX('Form Responses'!$G:$G,ROW())&amp;"")),0)))</f>
        <v/>
      </c>
      <c r="J566" s="32">
        <f>IF(B566="","",TRIM(INDEX('Form Responses'!$H:$H,ROW())&amp;""))</f>
        <v/>
      </c>
      <c r="K566" s="32">
        <f>IF(B566="","",TRIM(INDEX('Form Responses'!$I:$I,ROW())&amp;""))</f>
        <v/>
      </c>
      <c r="L566" s="32">
        <f>IF(B566="","",TRIM(INDEX('Form Responses'!$J:$J,ROW())&amp;""))</f>
        <v/>
      </c>
      <c r="M566" s="32">
        <f>IF(B566="","",TRIM(INDEX('Form Responses'!$K:$K,ROW())&amp;""))</f>
        <v/>
      </c>
      <c r="N566" s="32">
        <f>IF(B566="","",IF(E566&lt;&gt;"","P"&amp;E566,"N"&amp;B566))</f>
        <v/>
      </c>
      <c r="O566" s="32">
        <f>IF(N566="",0,IF(COUNTIF(N567:N$602,N566)=0,1,0))</f>
        <v/>
      </c>
      <c r="P566" s="32">
        <f>IF(AND(O566=1,E566&lt;&gt;""),E566,"")</f>
        <v/>
      </c>
      <c r="Q566" s="32">
        <f>IF(O566=1,B566,"")</f>
        <v/>
      </c>
      <c r="R566" s="32">
        <f>IF(O566&lt;&gt;1,"",IF(E566&lt;&gt;"",IFERROR(MATCH(E566,Guests!$S$6:$S$505,0)+5,IFERROR(MATCH(B566,Guests!$A$6:$A$505,0)+5,"")),IFERROR(MATCH(B566,Guests!$A$6:$A$505,0)+5,"")))</f>
        <v/>
      </c>
      <c r="S566" s="32">
        <f>IF(R566="","",TRIM(INDEX(Guests!$E$1:$E$505,R566)&amp;""))</f>
        <v/>
      </c>
      <c r="T566" s="32">
        <f>IF(R566="","",IF(S566="",1,COUNTIF(Guests!$E$6:$E$505,S566)))</f>
        <v/>
      </c>
      <c r="U566" s="32">
        <f>IF(R566="","",IF(S566="",1,IF(COUNTIF(S$1:S565,S566)=0,1,0)))</f>
        <v/>
      </c>
      <c r="V566" s="32">
        <f>IF(AND(R566&lt;&gt;"",G566="Attending",U566=1),MAX(0,H566+I566-T566),0)</f>
        <v/>
      </c>
      <c r="W566" s="32">
        <f>IF(AND(O566=1,R566=""),1,0)</f>
        <v/>
      </c>
      <c r="X566" s="32">
        <f>IF(B566="",0,H566+I566)</f>
        <v/>
      </c>
      <c r="Y566" s="32">
        <f>N(Y565)+O566</f>
        <v/>
      </c>
      <c r="Z566" s="32">
        <f>IF(O566=1,Y566,"")</f>
        <v/>
      </c>
      <c r="AA566" s="32">
        <f>IF(AND(W566=1,G566="Not sure yet"),1,0)</f>
        <v/>
      </c>
      <c r="AB566" s="32">
        <f>N(AB565)+AA566</f>
        <v/>
      </c>
      <c r="AC566" s="32">
        <f>IF(AA566=1,AB566,"")</f>
        <v/>
      </c>
      <c r="AD566" s="32">
        <f>IF(D566="","",IF(LEN(D566)=10,"+1"&amp;D566,IF(AND(LEN(D566)=11,LEFT(D566,1)="1"),"+"&amp;D566,IF(LEFT(C566,1)="+","+"&amp;D566,D566))))</f>
        <v/>
      </c>
      <c r="AE566" s="32">
        <f>IF(B566="","",PROPER(IFERROR(LEFT(B566,FIND(" ",B566)-1),B566)))</f>
        <v/>
      </c>
      <c r="AF566" s="32">
        <f>SUBSTITUTE(SUBSTITUTE(SUBSTITUTE(SUBSTITUTE(SUBSTITUTE(SUBSTITUTE(SUBSTITUTE(SUBSTITUTE(SUBSTITUTE(SUBSTITUTE(AE566,"%","%25"),"&amp;","%26"),"#","%23"),"+","%2B"),"=","%3D"),"?","%3F"),CHAR(34),"%22"),CHAR(10),"%0A"),CHAR(13),"")," ","+")</f>
        <v/>
      </c>
      <c r="AG566" s="32">
        <f>IF(OR(AD566="",AE566=""),"",'Start Here'!$B$20&amp;"#p="&amp;SUBSTITUTE(AD566,"+","%2B")&amp;"&amp;n="&amp;AF566&amp;"&amp;m="&amp;SUBSTITUTE('Start Here'!$B$24,"{name}",AF566))</f>
        <v/>
      </c>
      <c r="AH566" s="32">
        <f>N(AH565)+W566</f>
        <v/>
      </c>
      <c r="AI566" s="32">
        <f>IF(W566=1,AH566,"")</f>
        <v/>
      </c>
    </row>
    <row r="567">
      <c r="A567" s="32">
        <f>IF(INDEX('Form Responses'!$A:$A,ROW())="","",INDEX('Form Responses'!$A:$A,ROW()))</f>
        <v/>
      </c>
      <c r="B567" s="32">
        <f>TRIM(INDEX('Form Responses'!$B:$B,ROW())&amp;"")</f>
        <v/>
      </c>
      <c r="C567" s="32">
        <f>IF(B567="","",TRIM(INDEX('Form Responses'!$C:$C,ROW())&amp;""))</f>
        <v/>
      </c>
      <c r="D567" s="32">
        <f>SUBSTITUTE(SUBSTITUTE(SUBSTITUTE(SUBSTITUTE(SUBSTITUTE(SUBSTITUTE(SUBSTITUTE(SUBSTITUTE(C567," ",""),"-",""),"(",""),")",""),".",""),"+",""),"/",""),CHAR(160),"")</f>
        <v/>
      </c>
      <c r="E567" s="32">
        <f>IF(LEN(D567)&gt;=10,RIGHT(D567,10),D567)</f>
        <v/>
      </c>
      <c r="F567" s="32">
        <f>IF(B567="","",TRIM(INDEX('Form Responses'!$D:$D,ROW())&amp;""))</f>
        <v/>
      </c>
      <c r="G567" s="32">
        <f>IF(B567="","",IF(LEFT(TRIM(INDEX('Form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7" s="32">
        <f>IF(B567="","",MAX(0,IFERROR(INT(--(INDEX('Form Responses'!$F:$F,ROW())&amp;"")),1)))</f>
        <v/>
      </c>
      <c r="I567" s="32">
        <f>IF(B567="","",MAX(0,IFERROR(INT(--(INDEX('Form Responses'!$G:$G,ROW())&amp;"")),0)))</f>
        <v/>
      </c>
      <c r="J567" s="32">
        <f>IF(B567="","",TRIM(INDEX('Form Responses'!$H:$H,ROW())&amp;""))</f>
        <v/>
      </c>
      <c r="K567" s="32">
        <f>IF(B567="","",TRIM(INDEX('Form Responses'!$I:$I,ROW())&amp;""))</f>
        <v/>
      </c>
      <c r="L567" s="32">
        <f>IF(B567="","",TRIM(INDEX('Form Responses'!$J:$J,ROW())&amp;""))</f>
        <v/>
      </c>
      <c r="M567" s="32">
        <f>IF(B567="","",TRIM(INDEX('Form Responses'!$K:$K,ROW())&amp;""))</f>
        <v/>
      </c>
      <c r="N567" s="32">
        <f>IF(B567="","",IF(E567&lt;&gt;"","P"&amp;E567,"N"&amp;B567))</f>
        <v/>
      </c>
      <c r="O567" s="32">
        <f>IF(N567="",0,IF(COUNTIF(N568:N$602,N567)=0,1,0))</f>
        <v/>
      </c>
      <c r="P567" s="32">
        <f>IF(AND(O567=1,E567&lt;&gt;""),E567,"")</f>
        <v/>
      </c>
      <c r="Q567" s="32">
        <f>IF(O567=1,B567,"")</f>
        <v/>
      </c>
      <c r="R567" s="32">
        <f>IF(O567&lt;&gt;1,"",IF(E567&lt;&gt;"",IFERROR(MATCH(E567,Guests!$S$6:$S$505,0)+5,IFERROR(MATCH(B567,Guests!$A$6:$A$505,0)+5,"")),IFERROR(MATCH(B567,Guests!$A$6:$A$505,0)+5,"")))</f>
        <v/>
      </c>
      <c r="S567" s="32">
        <f>IF(R567="","",TRIM(INDEX(Guests!$E$1:$E$505,R567)&amp;""))</f>
        <v/>
      </c>
      <c r="T567" s="32">
        <f>IF(R567="","",IF(S567="",1,COUNTIF(Guests!$E$6:$E$505,S567)))</f>
        <v/>
      </c>
      <c r="U567" s="32">
        <f>IF(R567="","",IF(S567="",1,IF(COUNTIF(S$1:S566,S567)=0,1,0)))</f>
        <v/>
      </c>
      <c r="V567" s="32">
        <f>IF(AND(R567&lt;&gt;"",G567="Attending",U567=1),MAX(0,H567+I567-T567),0)</f>
        <v/>
      </c>
      <c r="W567" s="32">
        <f>IF(AND(O567=1,R567=""),1,0)</f>
        <v/>
      </c>
      <c r="X567" s="32">
        <f>IF(B567="",0,H567+I567)</f>
        <v/>
      </c>
      <c r="Y567" s="32">
        <f>N(Y566)+O567</f>
        <v/>
      </c>
      <c r="Z567" s="32">
        <f>IF(O567=1,Y567,"")</f>
        <v/>
      </c>
      <c r="AA567" s="32">
        <f>IF(AND(W567=1,G567="Not sure yet"),1,0)</f>
        <v/>
      </c>
      <c r="AB567" s="32">
        <f>N(AB566)+AA567</f>
        <v/>
      </c>
      <c r="AC567" s="32">
        <f>IF(AA567=1,AB567,"")</f>
        <v/>
      </c>
      <c r="AD567" s="32">
        <f>IF(D567="","",IF(LEN(D567)=10,"+1"&amp;D567,IF(AND(LEN(D567)=11,LEFT(D567,1)="1"),"+"&amp;D567,IF(LEFT(C567,1)="+","+"&amp;D567,D567))))</f>
        <v/>
      </c>
      <c r="AE567" s="32">
        <f>IF(B567="","",PROPER(IFERROR(LEFT(B567,FIND(" ",B567)-1),B567)))</f>
        <v/>
      </c>
      <c r="AF567" s="32">
        <f>SUBSTITUTE(SUBSTITUTE(SUBSTITUTE(SUBSTITUTE(SUBSTITUTE(SUBSTITUTE(SUBSTITUTE(SUBSTITUTE(SUBSTITUTE(SUBSTITUTE(AE567,"%","%25"),"&amp;","%26"),"#","%23"),"+","%2B"),"=","%3D"),"?","%3F"),CHAR(34),"%22"),CHAR(10),"%0A"),CHAR(13),"")," ","+")</f>
        <v/>
      </c>
      <c r="AG567" s="32">
        <f>IF(OR(AD567="",AE567=""),"",'Start Here'!$B$20&amp;"#p="&amp;SUBSTITUTE(AD567,"+","%2B")&amp;"&amp;n="&amp;AF567&amp;"&amp;m="&amp;SUBSTITUTE('Start Here'!$B$24,"{name}",AF567))</f>
        <v/>
      </c>
      <c r="AH567" s="32">
        <f>N(AH566)+W567</f>
        <v/>
      </c>
      <c r="AI567" s="32">
        <f>IF(W567=1,AH567,"")</f>
        <v/>
      </c>
    </row>
    <row r="568">
      <c r="A568" s="32">
        <f>IF(INDEX('Form Responses'!$A:$A,ROW())="","",INDEX('Form Responses'!$A:$A,ROW()))</f>
        <v/>
      </c>
      <c r="B568" s="32">
        <f>TRIM(INDEX('Form Responses'!$B:$B,ROW())&amp;"")</f>
        <v/>
      </c>
      <c r="C568" s="32">
        <f>IF(B568="","",TRIM(INDEX('Form Responses'!$C:$C,ROW())&amp;""))</f>
        <v/>
      </c>
      <c r="D568" s="32">
        <f>SUBSTITUTE(SUBSTITUTE(SUBSTITUTE(SUBSTITUTE(SUBSTITUTE(SUBSTITUTE(SUBSTITUTE(SUBSTITUTE(C568," ",""),"-",""),"(",""),")",""),".",""),"+",""),"/",""),CHAR(160),"")</f>
        <v/>
      </c>
      <c r="E568" s="32">
        <f>IF(LEN(D568)&gt;=10,RIGHT(D568,10),D568)</f>
        <v/>
      </c>
      <c r="F568" s="32">
        <f>IF(B568="","",TRIM(INDEX('Form Responses'!$D:$D,ROW())&amp;""))</f>
        <v/>
      </c>
      <c r="G568" s="32">
        <f>IF(B568="","",IF(LEFT(TRIM(INDEX('Form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8" s="32">
        <f>IF(B568="","",MAX(0,IFERROR(INT(--(INDEX('Form Responses'!$F:$F,ROW())&amp;"")),1)))</f>
        <v/>
      </c>
      <c r="I568" s="32">
        <f>IF(B568="","",MAX(0,IFERROR(INT(--(INDEX('Form Responses'!$G:$G,ROW())&amp;"")),0)))</f>
        <v/>
      </c>
      <c r="J568" s="32">
        <f>IF(B568="","",TRIM(INDEX('Form Responses'!$H:$H,ROW())&amp;""))</f>
        <v/>
      </c>
      <c r="K568" s="32">
        <f>IF(B568="","",TRIM(INDEX('Form Responses'!$I:$I,ROW())&amp;""))</f>
        <v/>
      </c>
      <c r="L568" s="32">
        <f>IF(B568="","",TRIM(INDEX('Form Responses'!$J:$J,ROW())&amp;""))</f>
        <v/>
      </c>
      <c r="M568" s="32">
        <f>IF(B568="","",TRIM(INDEX('Form Responses'!$K:$K,ROW())&amp;""))</f>
        <v/>
      </c>
      <c r="N568" s="32">
        <f>IF(B568="","",IF(E568&lt;&gt;"","P"&amp;E568,"N"&amp;B568))</f>
        <v/>
      </c>
      <c r="O568" s="32">
        <f>IF(N568="",0,IF(COUNTIF(N569:N$602,N568)=0,1,0))</f>
        <v/>
      </c>
      <c r="P568" s="32">
        <f>IF(AND(O568=1,E568&lt;&gt;""),E568,"")</f>
        <v/>
      </c>
      <c r="Q568" s="32">
        <f>IF(O568=1,B568,"")</f>
        <v/>
      </c>
      <c r="R568" s="32">
        <f>IF(O568&lt;&gt;1,"",IF(E568&lt;&gt;"",IFERROR(MATCH(E568,Guests!$S$6:$S$505,0)+5,IFERROR(MATCH(B568,Guests!$A$6:$A$505,0)+5,"")),IFERROR(MATCH(B568,Guests!$A$6:$A$505,0)+5,"")))</f>
        <v/>
      </c>
      <c r="S568" s="32">
        <f>IF(R568="","",TRIM(INDEX(Guests!$E$1:$E$505,R568)&amp;""))</f>
        <v/>
      </c>
      <c r="T568" s="32">
        <f>IF(R568="","",IF(S568="",1,COUNTIF(Guests!$E$6:$E$505,S568)))</f>
        <v/>
      </c>
      <c r="U568" s="32">
        <f>IF(R568="","",IF(S568="",1,IF(COUNTIF(S$1:S567,S568)=0,1,0)))</f>
        <v/>
      </c>
      <c r="V568" s="32">
        <f>IF(AND(R568&lt;&gt;"",G568="Attending",U568=1),MAX(0,H568+I568-T568),0)</f>
        <v/>
      </c>
      <c r="W568" s="32">
        <f>IF(AND(O568=1,R568=""),1,0)</f>
        <v/>
      </c>
      <c r="X568" s="32">
        <f>IF(B568="",0,H568+I568)</f>
        <v/>
      </c>
      <c r="Y568" s="32">
        <f>N(Y567)+O568</f>
        <v/>
      </c>
      <c r="Z568" s="32">
        <f>IF(O568=1,Y568,"")</f>
        <v/>
      </c>
      <c r="AA568" s="32">
        <f>IF(AND(W568=1,G568="Not sure yet"),1,0)</f>
        <v/>
      </c>
      <c r="AB568" s="32">
        <f>N(AB567)+AA568</f>
        <v/>
      </c>
      <c r="AC568" s="32">
        <f>IF(AA568=1,AB568,"")</f>
        <v/>
      </c>
      <c r="AD568" s="32">
        <f>IF(D568="","",IF(LEN(D568)=10,"+1"&amp;D568,IF(AND(LEN(D568)=11,LEFT(D568,1)="1"),"+"&amp;D568,IF(LEFT(C568,1)="+","+"&amp;D568,D568))))</f>
        <v/>
      </c>
      <c r="AE568" s="32">
        <f>IF(B568="","",PROPER(IFERROR(LEFT(B568,FIND(" ",B568)-1),B568)))</f>
        <v/>
      </c>
      <c r="AF568" s="32">
        <f>SUBSTITUTE(SUBSTITUTE(SUBSTITUTE(SUBSTITUTE(SUBSTITUTE(SUBSTITUTE(SUBSTITUTE(SUBSTITUTE(SUBSTITUTE(SUBSTITUTE(AE568,"%","%25"),"&amp;","%26"),"#","%23"),"+","%2B"),"=","%3D"),"?","%3F"),CHAR(34),"%22"),CHAR(10),"%0A"),CHAR(13),"")," ","+")</f>
        <v/>
      </c>
      <c r="AG568" s="32">
        <f>IF(OR(AD568="",AE568=""),"",'Start Here'!$B$20&amp;"#p="&amp;SUBSTITUTE(AD568,"+","%2B")&amp;"&amp;n="&amp;AF568&amp;"&amp;m="&amp;SUBSTITUTE('Start Here'!$B$24,"{name}",AF568))</f>
        <v/>
      </c>
      <c r="AH568" s="32">
        <f>N(AH567)+W568</f>
        <v/>
      </c>
      <c r="AI568" s="32">
        <f>IF(W568=1,AH568,"")</f>
        <v/>
      </c>
    </row>
    <row r="569">
      <c r="A569" s="32">
        <f>IF(INDEX('Form Responses'!$A:$A,ROW())="","",INDEX('Form Responses'!$A:$A,ROW()))</f>
        <v/>
      </c>
      <c r="B569" s="32">
        <f>TRIM(INDEX('Form Responses'!$B:$B,ROW())&amp;"")</f>
        <v/>
      </c>
      <c r="C569" s="32">
        <f>IF(B569="","",TRIM(INDEX('Form Responses'!$C:$C,ROW())&amp;""))</f>
        <v/>
      </c>
      <c r="D569" s="32">
        <f>SUBSTITUTE(SUBSTITUTE(SUBSTITUTE(SUBSTITUTE(SUBSTITUTE(SUBSTITUTE(SUBSTITUTE(SUBSTITUTE(C569," ",""),"-",""),"(",""),")",""),".",""),"+",""),"/",""),CHAR(160),"")</f>
        <v/>
      </c>
      <c r="E569" s="32">
        <f>IF(LEN(D569)&gt;=10,RIGHT(D569,10),D569)</f>
        <v/>
      </c>
      <c r="F569" s="32">
        <f>IF(B569="","",TRIM(INDEX('Form Responses'!$D:$D,ROW())&amp;""))</f>
        <v/>
      </c>
      <c r="G569" s="32">
        <f>IF(B569="","",IF(LEFT(TRIM(INDEX('Form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69" s="32">
        <f>IF(B569="","",MAX(0,IFERROR(INT(--(INDEX('Form Responses'!$F:$F,ROW())&amp;"")),1)))</f>
        <v/>
      </c>
      <c r="I569" s="32">
        <f>IF(B569="","",MAX(0,IFERROR(INT(--(INDEX('Form Responses'!$G:$G,ROW())&amp;"")),0)))</f>
        <v/>
      </c>
      <c r="J569" s="32">
        <f>IF(B569="","",TRIM(INDEX('Form Responses'!$H:$H,ROW())&amp;""))</f>
        <v/>
      </c>
      <c r="K569" s="32">
        <f>IF(B569="","",TRIM(INDEX('Form Responses'!$I:$I,ROW())&amp;""))</f>
        <v/>
      </c>
      <c r="L569" s="32">
        <f>IF(B569="","",TRIM(INDEX('Form Responses'!$J:$J,ROW())&amp;""))</f>
        <v/>
      </c>
      <c r="M569" s="32">
        <f>IF(B569="","",TRIM(INDEX('Form Responses'!$K:$K,ROW())&amp;""))</f>
        <v/>
      </c>
      <c r="N569" s="32">
        <f>IF(B569="","",IF(E569&lt;&gt;"","P"&amp;E569,"N"&amp;B569))</f>
        <v/>
      </c>
      <c r="O569" s="32">
        <f>IF(N569="",0,IF(COUNTIF(N570:N$602,N569)=0,1,0))</f>
        <v/>
      </c>
      <c r="P569" s="32">
        <f>IF(AND(O569=1,E569&lt;&gt;""),E569,"")</f>
        <v/>
      </c>
      <c r="Q569" s="32">
        <f>IF(O569=1,B569,"")</f>
        <v/>
      </c>
      <c r="R569" s="32">
        <f>IF(O569&lt;&gt;1,"",IF(E569&lt;&gt;"",IFERROR(MATCH(E569,Guests!$S$6:$S$505,0)+5,IFERROR(MATCH(B569,Guests!$A$6:$A$505,0)+5,"")),IFERROR(MATCH(B569,Guests!$A$6:$A$505,0)+5,"")))</f>
        <v/>
      </c>
      <c r="S569" s="32">
        <f>IF(R569="","",TRIM(INDEX(Guests!$E$1:$E$505,R569)&amp;""))</f>
        <v/>
      </c>
      <c r="T569" s="32">
        <f>IF(R569="","",IF(S569="",1,COUNTIF(Guests!$E$6:$E$505,S569)))</f>
        <v/>
      </c>
      <c r="U569" s="32">
        <f>IF(R569="","",IF(S569="",1,IF(COUNTIF(S$1:S568,S569)=0,1,0)))</f>
        <v/>
      </c>
      <c r="V569" s="32">
        <f>IF(AND(R569&lt;&gt;"",G569="Attending",U569=1),MAX(0,H569+I569-T569),0)</f>
        <v/>
      </c>
      <c r="W569" s="32">
        <f>IF(AND(O569=1,R569=""),1,0)</f>
        <v/>
      </c>
      <c r="X569" s="32">
        <f>IF(B569="",0,H569+I569)</f>
        <v/>
      </c>
      <c r="Y569" s="32">
        <f>N(Y568)+O569</f>
        <v/>
      </c>
      <c r="Z569" s="32">
        <f>IF(O569=1,Y569,"")</f>
        <v/>
      </c>
      <c r="AA569" s="32">
        <f>IF(AND(W569=1,G569="Not sure yet"),1,0)</f>
        <v/>
      </c>
      <c r="AB569" s="32">
        <f>N(AB568)+AA569</f>
        <v/>
      </c>
      <c r="AC569" s="32">
        <f>IF(AA569=1,AB569,"")</f>
        <v/>
      </c>
      <c r="AD569" s="32">
        <f>IF(D569="","",IF(LEN(D569)=10,"+1"&amp;D569,IF(AND(LEN(D569)=11,LEFT(D569,1)="1"),"+"&amp;D569,IF(LEFT(C569,1)="+","+"&amp;D569,D569))))</f>
        <v/>
      </c>
      <c r="AE569" s="32">
        <f>IF(B569="","",PROPER(IFERROR(LEFT(B569,FIND(" ",B569)-1),B569)))</f>
        <v/>
      </c>
      <c r="AF569" s="32">
        <f>SUBSTITUTE(SUBSTITUTE(SUBSTITUTE(SUBSTITUTE(SUBSTITUTE(SUBSTITUTE(SUBSTITUTE(SUBSTITUTE(SUBSTITUTE(SUBSTITUTE(AE569,"%","%25"),"&amp;","%26"),"#","%23"),"+","%2B"),"=","%3D"),"?","%3F"),CHAR(34),"%22"),CHAR(10),"%0A"),CHAR(13),"")," ","+")</f>
        <v/>
      </c>
      <c r="AG569" s="32">
        <f>IF(OR(AD569="",AE569=""),"",'Start Here'!$B$20&amp;"#p="&amp;SUBSTITUTE(AD569,"+","%2B")&amp;"&amp;n="&amp;AF569&amp;"&amp;m="&amp;SUBSTITUTE('Start Here'!$B$24,"{name}",AF569))</f>
        <v/>
      </c>
      <c r="AH569" s="32">
        <f>N(AH568)+W569</f>
        <v/>
      </c>
      <c r="AI569" s="32">
        <f>IF(W569=1,AH569,"")</f>
        <v/>
      </c>
    </row>
    <row r="570">
      <c r="A570" s="32">
        <f>IF(INDEX('Form Responses'!$A:$A,ROW())="","",INDEX('Form Responses'!$A:$A,ROW()))</f>
        <v/>
      </c>
      <c r="B570" s="32">
        <f>TRIM(INDEX('Form Responses'!$B:$B,ROW())&amp;"")</f>
        <v/>
      </c>
      <c r="C570" s="32">
        <f>IF(B570="","",TRIM(INDEX('Form Responses'!$C:$C,ROW())&amp;""))</f>
        <v/>
      </c>
      <c r="D570" s="32">
        <f>SUBSTITUTE(SUBSTITUTE(SUBSTITUTE(SUBSTITUTE(SUBSTITUTE(SUBSTITUTE(SUBSTITUTE(SUBSTITUTE(C570," ",""),"-",""),"(",""),")",""),".",""),"+",""),"/",""),CHAR(160),"")</f>
        <v/>
      </c>
      <c r="E570" s="32">
        <f>IF(LEN(D570)&gt;=10,RIGHT(D570,10),D570)</f>
        <v/>
      </c>
      <c r="F570" s="32">
        <f>IF(B570="","",TRIM(INDEX('Form Responses'!$D:$D,ROW())&amp;""))</f>
        <v/>
      </c>
      <c r="G570" s="32">
        <f>IF(B570="","",IF(LEFT(TRIM(INDEX('Form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0" s="32">
        <f>IF(B570="","",MAX(0,IFERROR(INT(--(INDEX('Form Responses'!$F:$F,ROW())&amp;"")),1)))</f>
        <v/>
      </c>
      <c r="I570" s="32">
        <f>IF(B570="","",MAX(0,IFERROR(INT(--(INDEX('Form Responses'!$G:$G,ROW())&amp;"")),0)))</f>
        <v/>
      </c>
      <c r="J570" s="32">
        <f>IF(B570="","",TRIM(INDEX('Form Responses'!$H:$H,ROW())&amp;""))</f>
        <v/>
      </c>
      <c r="K570" s="32">
        <f>IF(B570="","",TRIM(INDEX('Form Responses'!$I:$I,ROW())&amp;""))</f>
        <v/>
      </c>
      <c r="L570" s="32">
        <f>IF(B570="","",TRIM(INDEX('Form Responses'!$J:$J,ROW())&amp;""))</f>
        <v/>
      </c>
      <c r="M570" s="32">
        <f>IF(B570="","",TRIM(INDEX('Form Responses'!$K:$K,ROW())&amp;""))</f>
        <v/>
      </c>
      <c r="N570" s="32">
        <f>IF(B570="","",IF(E570&lt;&gt;"","P"&amp;E570,"N"&amp;B570))</f>
        <v/>
      </c>
      <c r="O570" s="32">
        <f>IF(N570="",0,IF(COUNTIF(N571:N$602,N570)=0,1,0))</f>
        <v/>
      </c>
      <c r="P570" s="32">
        <f>IF(AND(O570=1,E570&lt;&gt;""),E570,"")</f>
        <v/>
      </c>
      <c r="Q570" s="32">
        <f>IF(O570=1,B570,"")</f>
        <v/>
      </c>
      <c r="R570" s="32">
        <f>IF(O570&lt;&gt;1,"",IF(E570&lt;&gt;"",IFERROR(MATCH(E570,Guests!$S$6:$S$505,0)+5,IFERROR(MATCH(B570,Guests!$A$6:$A$505,0)+5,"")),IFERROR(MATCH(B570,Guests!$A$6:$A$505,0)+5,"")))</f>
        <v/>
      </c>
      <c r="S570" s="32">
        <f>IF(R570="","",TRIM(INDEX(Guests!$E$1:$E$505,R570)&amp;""))</f>
        <v/>
      </c>
      <c r="T570" s="32">
        <f>IF(R570="","",IF(S570="",1,COUNTIF(Guests!$E$6:$E$505,S570)))</f>
        <v/>
      </c>
      <c r="U570" s="32">
        <f>IF(R570="","",IF(S570="",1,IF(COUNTIF(S$1:S569,S570)=0,1,0)))</f>
        <v/>
      </c>
      <c r="V570" s="32">
        <f>IF(AND(R570&lt;&gt;"",G570="Attending",U570=1),MAX(0,H570+I570-T570),0)</f>
        <v/>
      </c>
      <c r="W570" s="32">
        <f>IF(AND(O570=1,R570=""),1,0)</f>
        <v/>
      </c>
      <c r="X570" s="32">
        <f>IF(B570="",0,H570+I570)</f>
        <v/>
      </c>
      <c r="Y570" s="32">
        <f>N(Y569)+O570</f>
        <v/>
      </c>
      <c r="Z570" s="32">
        <f>IF(O570=1,Y570,"")</f>
        <v/>
      </c>
      <c r="AA570" s="32">
        <f>IF(AND(W570=1,G570="Not sure yet"),1,0)</f>
        <v/>
      </c>
      <c r="AB570" s="32">
        <f>N(AB569)+AA570</f>
        <v/>
      </c>
      <c r="AC570" s="32">
        <f>IF(AA570=1,AB570,"")</f>
        <v/>
      </c>
      <c r="AD570" s="32">
        <f>IF(D570="","",IF(LEN(D570)=10,"+1"&amp;D570,IF(AND(LEN(D570)=11,LEFT(D570,1)="1"),"+"&amp;D570,IF(LEFT(C570,1)="+","+"&amp;D570,D570))))</f>
        <v/>
      </c>
      <c r="AE570" s="32">
        <f>IF(B570="","",PROPER(IFERROR(LEFT(B570,FIND(" ",B570)-1),B570)))</f>
        <v/>
      </c>
      <c r="AF570" s="32">
        <f>SUBSTITUTE(SUBSTITUTE(SUBSTITUTE(SUBSTITUTE(SUBSTITUTE(SUBSTITUTE(SUBSTITUTE(SUBSTITUTE(SUBSTITUTE(SUBSTITUTE(AE570,"%","%25"),"&amp;","%26"),"#","%23"),"+","%2B"),"=","%3D"),"?","%3F"),CHAR(34),"%22"),CHAR(10),"%0A"),CHAR(13),"")," ","+")</f>
        <v/>
      </c>
      <c r="AG570" s="32">
        <f>IF(OR(AD570="",AE570=""),"",'Start Here'!$B$20&amp;"#p="&amp;SUBSTITUTE(AD570,"+","%2B")&amp;"&amp;n="&amp;AF570&amp;"&amp;m="&amp;SUBSTITUTE('Start Here'!$B$24,"{name}",AF570))</f>
        <v/>
      </c>
      <c r="AH570" s="32">
        <f>N(AH569)+W570</f>
        <v/>
      </c>
      <c r="AI570" s="32">
        <f>IF(W570=1,AH570,"")</f>
        <v/>
      </c>
    </row>
    <row r="571">
      <c r="A571" s="32">
        <f>IF(INDEX('Form Responses'!$A:$A,ROW())="","",INDEX('Form Responses'!$A:$A,ROW()))</f>
        <v/>
      </c>
      <c r="B571" s="32">
        <f>TRIM(INDEX('Form Responses'!$B:$B,ROW())&amp;"")</f>
        <v/>
      </c>
      <c r="C571" s="32">
        <f>IF(B571="","",TRIM(INDEX('Form Responses'!$C:$C,ROW())&amp;""))</f>
        <v/>
      </c>
      <c r="D571" s="32">
        <f>SUBSTITUTE(SUBSTITUTE(SUBSTITUTE(SUBSTITUTE(SUBSTITUTE(SUBSTITUTE(SUBSTITUTE(SUBSTITUTE(C571," ",""),"-",""),"(",""),")",""),".",""),"+",""),"/",""),CHAR(160),"")</f>
        <v/>
      </c>
      <c r="E571" s="32">
        <f>IF(LEN(D571)&gt;=10,RIGHT(D571,10),D571)</f>
        <v/>
      </c>
      <c r="F571" s="32">
        <f>IF(B571="","",TRIM(INDEX('Form Responses'!$D:$D,ROW())&amp;""))</f>
        <v/>
      </c>
      <c r="G571" s="32">
        <f>IF(B571="","",IF(LEFT(TRIM(INDEX('Form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1" s="32">
        <f>IF(B571="","",MAX(0,IFERROR(INT(--(INDEX('Form Responses'!$F:$F,ROW())&amp;"")),1)))</f>
        <v/>
      </c>
      <c r="I571" s="32">
        <f>IF(B571="","",MAX(0,IFERROR(INT(--(INDEX('Form Responses'!$G:$G,ROW())&amp;"")),0)))</f>
        <v/>
      </c>
      <c r="J571" s="32">
        <f>IF(B571="","",TRIM(INDEX('Form Responses'!$H:$H,ROW())&amp;""))</f>
        <v/>
      </c>
      <c r="K571" s="32">
        <f>IF(B571="","",TRIM(INDEX('Form Responses'!$I:$I,ROW())&amp;""))</f>
        <v/>
      </c>
      <c r="L571" s="32">
        <f>IF(B571="","",TRIM(INDEX('Form Responses'!$J:$J,ROW())&amp;""))</f>
        <v/>
      </c>
      <c r="M571" s="32">
        <f>IF(B571="","",TRIM(INDEX('Form Responses'!$K:$K,ROW())&amp;""))</f>
        <v/>
      </c>
      <c r="N571" s="32">
        <f>IF(B571="","",IF(E571&lt;&gt;"","P"&amp;E571,"N"&amp;B571))</f>
        <v/>
      </c>
      <c r="O571" s="32">
        <f>IF(N571="",0,IF(COUNTIF(N572:N$602,N571)=0,1,0))</f>
        <v/>
      </c>
      <c r="P571" s="32">
        <f>IF(AND(O571=1,E571&lt;&gt;""),E571,"")</f>
        <v/>
      </c>
      <c r="Q571" s="32">
        <f>IF(O571=1,B571,"")</f>
        <v/>
      </c>
      <c r="R571" s="32">
        <f>IF(O571&lt;&gt;1,"",IF(E571&lt;&gt;"",IFERROR(MATCH(E571,Guests!$S$6:$S$505,0)+5,IFERROR(MATCH(B571,Guests!$A$6:$A$505,0)+5,"")),IFERROR(MATCH(B571,Guests!$A$6:$A$505,0)+5,"")))</f>
        <v/>
      </c>
      <c r="S571" s="32">
        <f>IF(R571="","",TRIM(INDEX(Guests!$E$1:$E$505,R571)&amp;""))</f>
        <v/>
      </c>
      <c r="T571" s="32">
        <f>IF(R571="","",IF(S571="",1,COUNTIF(Guests!$E$6:$E$505,S571)))</f>
        <v/>
      </c>
      <c r="U571" s="32">
        <f>IF(R571="","",IF(S571="",1,IF(COUNTIF(S$1:S570,S571)=0,1,0)))</f>
        <v/>
      </c>
      <c r="V571" s="32">
        <f>IF(AND(R571&lt;&gt;"",G571="Attending",U571=1),MAX(0,H571+I571-T571),0)</f>
        <v/>
      </c>
      <c r="W571" s="32">
        <f>IF(AND(O571=1,R571=""),1,0)</f>
        <v/>
      </c>
      <c r="X571" s="32">
        <f>IF(B571="",0,H571+I571)</f>
        <v/>
      </c>
      <c r="Y571" s="32">
        <f>N(Y570)+O571</f>
        <v/>
      </c>
      <c r="Z571" s="32">
        <f>IF(O571=1,Y571,"")</f>
        <v/>
      </c>
      <c r="AA571" s="32">
        <f>IF(AND(W571=1,G571="Not sure yet"),1,0)</f>
        <v/>
      </c>
      <c r="AB571" s="32">
        <f>N(AB570)+AA571</f>
        <v/>
      </c>
      <c r="AC571" s="32">
        <f>IF(AA571=1,AB571,"")</f>
        <v/>
      </c>
      <c r="AD571" s="32">
        <f>IF(D571="","",IF(LEN(D571)=10,"+1"&amp;D571,IF(AND(LEN(D571)=11,LEFT(D571,1)="1"),"+"&amp;D571,IF(LEFT(C571,1)="+","+"&amp;D571,D571))))</f>
        <v/>
      </c>
      <c r="AE571" s="32">
        <f>IF(B571="","",PROPER(IFERROR(LEFT(B571,FIND(" ",B571)-1),B571)))</f>
        <v/>
      </c>
      <c r="AF571" s="32">
        <f>SUBSTITUTE(SUBSTITUTE(SUBSTITUTE(SUBSTITUTE(SUBSTITUTE(SUBSTITUTE(SUBSTITUTE(SUBSTITUTE(SUBSTITUTE(SUBSTITUTE(AE571,"%","%25"),"&amp;","%26"),"#","%23"),"+","%2B"),"=","%3D"),"?","%3F"),CHAR(34),"%22"),CHAR(10),"%0A"),CHAR(13),"")," ","+")</f>
        <v/>
      </c>
      <c r="AG571" s="32">
        <f>IF(OR(AD571="",AE571=""),"",'Start Here'!$B$20&amp;"#p="&amp;SUBSTITUTE(AD571,"+","%2B")&amp;"&amp;n="&amp;AF571&amp;"&amp;m="&amp;SUBSTITUTE('Start Here'!$B$24,"{name}",AF571))</f>
        <v/>
      </c>
      <c r="AH571" s="32">
        <f>N(AH570)+W571</f>
        <v/>
      </c>
      <c r="AI571" s="32">
        <f>IF(W571=1,AH571,"")</f>
        <v/>
      </c>
    </row>
    <row r="572">
      <c r="A572" s="32">
        <f>IF(INDEX('Form Responses'!$A:$A,ROW())="","",INDEX('Form Responses'!$A:$A,ROW()))</f>
        <v/>
      </c>
      <c r="B572" s="32">
        <f>TRIM(INDEX('Form Responses'!$B:$B,ROW())&amp;"")</f>
        <v/>
      </c>
      <c r="C572" s="32">
        <f>IF(B572="","",TRIM(INDEX('Form Responses'!$C:$C,ROW())&amp;""))</f>
        <v/>
      </c>
      <c r="D572" s="32">
        <f>SUBSTITUTE(SUBSTITUTE(SUBSTITUTE(SUBSTITUTE(SUBSTITUTE(SUBSTITUTE(SUBSTITUTE(SUBSTITUTE(C572," ",""),"-",""),"(",""),")",""),".",""),"+",""),"/",""),CHAR(160),"")</f>
        <v/>
      </c>
      <c r="E572" s="32">
        <f>IF(LEN(D572)&gt;=10,RIGHT(D572,10),D572)</f>
        <v/>
      </c>
      <c r="F572" s="32">
        <f>IF(B572="","",TRIM(INDEX('Form Responses'!$D:$D,ROW())&amp;""))</f>
        <v/>
      </c>
      <c r="G572" s="32">
        <f>IF(B572="","",IF(LEFT(TRIM(INDEX('Form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2" s="32">
        <f>IF(B572="","",MAX(0,IFERROR(INT(--(INDEX('Form Responses'!$F:$F,ROW())&amp;"")),1)))</f>
        <v/>
      </c>
      <c r="I572" s="32">
        <f>IF(B572="","",MAX(0,IFERROR(INT(--(INDEX('Form Responses'!$G:$G,ROW())&amp;"")),0)))</f>
        <v/>
      </c>
      <c r="J572" s="32">
        <f>IF(B572="","",TRIM(INDEX('Form Responses'!$H:$H,ROW())&amp;""))</f>
        <v/>
      </c>
      <c r="K572" s="32">
        <f>IF(B572="","",TRIM(INDEX('Form Responses'!$I:$I,ROW())&amp;""))</f>
        <v/>
      </c>
      <c r="L572" s="32">
        <f>IF(B572="","",TRIM(INDEX('Form Responses'!$J:$J,ROW())&amp;""))</f>
        <v/>
      </c>
      <c r="M572" s="32">
        <f>IF(B572="","",TRIM(INDEX('Form Responses'!$K:$K,ROW())&amp;""))</f>
        <v/>
      </c>
      <c r="N572" s="32">
        <f>IF(B572="","",IF(E572&lt;&gt;"","P"&amp;E572,"N"&amp;B572))</f>
        <v/>
      </c>
      <c r="O572" s="32">
        <f>IF(N572="",0,IF(COUNTIF(N573:N$602,N572)=0,1,0))</f>
        <v/>
      </c>
      <c r="P572" s="32">
        <f>IF(AND(O572=1,E572&lt;&gt;""),E572,"")</f>
        <v/>
      </c>
      <c r="Q572" s="32">
        <f>IF(O572=1,B572,"")</f>
        <v/>
      </c>
      <c r="R572" s="32">
        <f>IF(O572&lt;&gt;1,"",IF(E572&lt;&gt;"",IFERROR(MATCH(E572,Guests!$S$6:$S$505,0)+5,IFERROR(MATCH(B572,Guests!$A$6:$A$505,0)+5,"")),IFERROR(MATCH(B572,Guests!$A$6:$A$505,0)+5,"")))</f>
        <v/>
      </c>
      <c r="S572" s="32">
        <f>IF(R572="","",TRIM(INDEX(Guests!$E$1:$E$505,R572)&amp;""))</f>
        <v/>
      </c>
      <c r="T572" s="32">
        <f>IF(R572="","",IF(S572="",1,COUNTIF(Guests!$E$6:$E$505,S572)))</f>
        <v/>
      </c>
      <c r="U572" s="32">
        <f>IF(R572="","",IF(S572="",1,IF(COUNTIF(S$1:S571,S572)=0,1,0)))</f>
        <v/>
      </c>
      <c r="V572" s="32">
        <f>IF(AND(R572&lt;&gt;"",G572="Attending",U572=1),MAX(0,H572+I572-T572),0)</f>
        <v/>
      </c>
      <c r="W572" s="32">
        <f>IF(AND(O572=1,R572=""),1,0)</f>
        <v/>
      </c>
      <c r="X572" s="32">
        <f>IF(B572="",0,H572+I572)</f>
        <v/>
      </c>
      <c r="Y572" s="32">
        <f>N(Y571)+O572</f>
        <v/>
      </c>
      <c r="Z572" s="32">
        <f>IF(O572=1,Y572,"")</f>
        <v/>
      </c>
      <c r="AA572" s="32">
        <f>IF(AND(W572=1,G572="Not sure yet"),1,0)</f>
        <v/>
      </c>
      <c r="AB572" s="32">
        <f>N(AB571)+AA572</f>
        <v/>
      </c>
      <c r="AC572" s="32">
        <f>IF(AA572=1,AB572,"")</f>
        <v/>
      </c>
      <c r="AD572" s="32">
        <f>IF(D572="","",IF(LEN(D572)=10,"+1"&amp;D572,IF(AND(LEN(D572)=11,LEFT(D572,1)="1"),"+"&amp;D572,IF(LEFT(C572,1)="+","+"&amp;D572,D572))))</f>
        <v/>
      </c>
      <c r="AE572" s="32">
        <f>IF(B572="","",PROPER(IFERROR(LEFT(B572,FIND(" ",B572)-1),B572)))</f>
        <v/>
      </c>
      <c r="AF572" s="32">
        <f>SUBSTITUTE(SUBSTITUTE(SUBSTITUTE(SUBSTITUTE(SUBSTITUTE(SUBSTITUTE(SUBSTITUTE(SUBSTITUTE(SUBSTITUTE(SUBSTITUTE(AE572,"%","%25"),"&amp;","%26"),"#","%23"),"+","%2B"),"=","%3D"),"?","%3F"),CHAR(34),"%22"),CHAR(10),"%0A"),CHAR(13),"")," ","+")</f>
        <v/>
      </c>
      <c r="AG572" s="32">
        <f>IF(OR(AD572="",AE572=""),"",'Start Here'!$B$20&amp;"#p="&amp;SUBSTITUTE(AD572,"+","%2B")&amp;"&amp;n="&amp;AF572&amp;"&amp;m="&amp;SUBSTITUTE('Start Here'!$B$24,"{name}",AF572))</f>
        <v/>
      </c>
      <c r="AH572" s="32">
        <f>N(AH571)+W572</f>
        <v/>
      </c>
      <c r="AI572" s="32">
        <f>IF(W572=1,AH572,"")</f>
        <v/>
      </c>
    </row>
    <row r="573">
      <c r="A573" s="32">
        <f>IF(INDEX('Form Responses'!$A:$A,ROW())="","",INDEX('Form Responses'!$A:$A,ROW()))</f>
        <v/>
      </c>
      <c r="B573" s="32">
        <f>TRIM(INDEX('Form Responses'!$B:$B,ROW())&amp;"")</f>
        <v/>
      </c>
      <c r="C573" s="32">
        <f>IF(B573="","",TRIM(INDEX('Form Responses'!$C:$C,ROW())&amp;""))</f>
        <v/>
      </c>
      <c r="D573" s="32">
        <f>SUBSTITUTE(SUBSTITUTE(SUBSTITUTE(SUBSTITUTE(SUBSTITUTE(SUBSTITUTE(SUBSTITUTE(SUBSTITUTE(C573," ",""),"-",""),"(",""),")",""),".",""),"+",""),"/",""),CHAR(160),"")</f>
        <v/>
      </c>
      <c r="E573" s="32">
        <f>IF(LEN(D573)&gt;=10,RIGHT(D573,10),D573)</f>
        <v/>
      </c>
      <c r="F573" s="32">
        <f>IF(B573="","",TRIM(INDEX('Form Responses'!$D:$D,ROW())&amp;""))</f>
        <v/>
      </c>
      <c r="G573" s="32">
        <f>IF(B573="","",IF(LEFT(TRIM(INDEX('Form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3" s="32">
        <f>IF(B573="","",MAX(0,IFERROR(INT(--(INDEX('Form Responses'!$F:$F,ROW())&amp;"")),1)))</f>
        <v/>
      </c>
      <c r="I573" s="32">
        <f>IF(B573="","",MAX(0,IFERROR(INT(--(INDEX('Form Responses'!$G:$G,ROW())&amp;"")),0)))</f>
        <v/>
      </c>
      <c r="J573" s="32">
        <f>IF(B573="","",TRIM(INDEX('Form Responses'!$H:$H,ROW())&amp;""))</f>
        <v/>
      </c>
      <c r="K573" s="32">
        <f>IF(B573="","",TRIM(INDEX('Form Responses'!$I:$I,ROW())&amp;""))</f>
        <v/>
      </c>
      <c r="L573" s="32">
        <f>IF(B573="","",TRIM(INDEX('Form Responses'!$J:$J,ROW())&amp;""))</f>
        <v/>
      </c>
      <c r="M573" s="32">
        <f>IF(B573="","",TRIM(INDEX('Form Responses'!$K:$K,ROW())&amp;""))</f>
        <v/>
      </c>
      <c r="N573" s="32">
        <f>IF(B573="","",IF(E573&lt;&gt;"","P"&amp;E573,"N"&amp;B573))</f>
        <v/>
      </c>
      <c r="O573" s="32">
        <f>IF(N573="",0,IF(COUNTIF(N574:N$602,N573)=0,1,0))</f>
        <v/>
      </c>
      <c r="P573" s="32">
        <f>IF(AND(O573=1,E573&lt;&gt;""),E573,"")</f>
        <v/>
      </c>
      <c r="Q573" s="32">
        <f>IF(O573=1,B573,"")</f>
        <v/>
      </c>
      <c r="R573" s="32">
        <f>IF(O573&lt;&gt;1,"",IF(E573&lt;&gt;"",IFERROR(MATCH(E573,Guests!$S$6:$S$505,0)+5,IFERROR(MATCH(B573,Guests!$A$6:$A$505,0)+5,"")),IFERROR(MATCH(B573,Guests!$A$6:$A$505,0)+5,"")))</f>
        <v/>
      </c>
      <c r="S573" s="32">
        <f>IF(R573="","",TRIM(INDEX(Guests!$E$1:$E$505,R573)&amp;""))</f>
        <v/>
      </c>
      <c r="T573" s="32">
        <f>IF(R573="","",IF(S573="",1,COUNTIF(Guests!$E$6:$E$505,S573)))</f>
        <v/>
      </c>
      <c r="U573" s="32">
        <f>IF(R573="","",IF(S573="",1,IF(COUNTIF(S$1:S572,S573)=0,1,0)))</f>
        <v/>
      </c>
      <c r="V573" s="32">
        <f>IF(AND(R573&lt;&gt;"",G573="Attending",U573=1),MAX(0,H573+I573-T573),0)</f>
        <v/>
      </c>
      <c r="W573" s="32">
        <f>IF(AND(O573=1,R573=""),1,0)</f>
        <v/>
      </c>
      <c r="X573" s="32">
        <f>IF(B573="",0,H573+I573)</f>
        <v/>
      </c>
      <c r="Y573" s="32">
        <f>N(Y572)+O573</f>
        <v/>
      </c>
      <c r="Z573" s="32">
        <f>IF(O573=1,Y573,"")</f>
        <v/>
      </c>
      <c r="AA573" s="32">
        <f>IF(AND(W573=1,G573="Not sure yet"),1,0)</f>
        <v/>
      </c>
      <c r="AB573" s="32">
        <f>N(AB572)+AA573</f>
        <v/>
      </c>
      <c r="AC573" s="32">
        <f>IF(AA573=1,AB573,"")</f>
        <v/>
      </c>
      <c r="AD573" s="32">
        <f>IF(D573="","",IF(LEN(D573)=10,"+1"&amp;D573,IF(AND(LEN(D573)=11,LEFT(D573,1)="1"),"+"&amp;D573,IF(LEFT(C573,1)="+","+"&amp;D573,D573))))</f>
        <v/>
      </c>
      <c r="AE573" s="32">
        <f>IF(B573="","",PROPER(IFERROR(LEFT(B573,FIND(" ",B573)-1),B573)))</f>
        <v/>
      </c>
      <c r="AF573" s="32">
        <f>SUBSTITUTE(SUBSTITUTE(SUBSTITUTE(SUBSTITUTE(SUBSTITUTE(SUBSTITUTE(SUBSTITUTE(SUBSTITUTE(SUBSTITUTE(SUBSTITUTE(AE573,"%","%25"),"&amp;","%26"),"#","%23"),"+","%2B"),"=","%3D"),"?","%3F"),CHAR(34),"%22"),CHAR(10),"%0A"),CHAR(13),"")," ","+")</f>
        <v/>
      </c>
      <c r="AG573" s="32">
        <f>IF(OR(AD573="",AE573=""),"",'Start Here'!$B$20&amp;"#p="&amp;SUBSTITUTE(AD573,"+","%2B")&amp;"&amp;n="&amp;AF573&amp;"&amp;m="&amp;SUBSTITUTE('Start Here'!$B$24,"{name}",AF573))</f>
        <v/>
      </c>
      <c r="AH573" s="32">
        <f>N(AH572)+W573</f>
        <v/>
      </c>
      <c r="AI573" s="32">
        <f>IF(W573=1,AH573,"")</f>
        <v/>
      </c>
    </row>
    <row r="574">
      <c r="A574" s="32">
        <f>IF(INDEX('Form Responses'!$A:$A,ROW())="","",INDEX('Form Responses'!$A:$A,ROW()))</f>
        <v/>
      </c>
      <c r="B574" s="32">
        <f>TRIM(INDEX('Form Responses'!$B:$B,ROW())&amp;"")</f>
        <v/>
      </c>
      <c r="C574" s="32">
        <f>IF(B574="","",TRIM(INDEX('Form Responses'!$C:$C,ROW())&amp;""))</f>
        <v/>
      </c>
      <c r="D574" s="32">
        <f>SUBSTITUTE(SUBSTITUTE(SUBSTITUTE(SUBSTITUTE(SUBSTITUTE(SUBSTITUTE(SUBSTITUTE(SUBSTITUTE(C574," ",""),"-",""),"(",""),")",""),".",""),"+",""),"/",""),CHAR(160),"")</f>
        <v/>
      </c>
      <c r="E574" s="32">
        <f>IF(LEN(D574)&gt;=10,RIGHT(D574,10),D574)</f>
        <v/>
      </c>
      <c r="F574" s="32">
        <f>IF(B574="","",TRIM(INDEX('Form Responses'!$D:$D,ROW())&amp;""))</f>
        <v/>
      </c>
      <c r="G574" s="32">
        <f>IF(B574="","",IF(LEFT(TRIM(INDEX('Form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4" s="32">
        <f>IF(B574="","",MAX(0,IFERROR(INT(--(INDEX('Form Responses'!$F:$F,ROW())&amp;"")),1)))</f>
        <v/>
      </c>
      <c r="I574" s="32">
        <f>IF(B574="","",MAX(0,IFERROR(INT(--(INDEX('Form Responses'!$G:$G,ROW())&amp;"")),0)))</f>
        <v/>
      </c>
      <c r="J574" s="32">
        <f>IF(B574="","",TRIM(INDEX('Form Responses'!$H:$H,ROW())&amp;""))</f>
        <v/>
      </c>
      <c r="K574" s="32">
        <f>IF(B574="","",TRIM(INDEX('Form Responses'!$I:$I,ROW())&amp;""))</f>
        <v/>
      </c>
      <c r="L574" s="32">
        <f>IF(B574="","",TRIM(INDEX('Form Responses'!$J:$J,ROW())&amp;""))</f>
        <v/>
      </c>
      <c r="M574" s="32">
        <f>IF(B574="","",TRIM(INDEX('Form Responses'!$K:$K,ROW())&amp;""))</f>
        <v/>
      </c>
      <c r="N574" s="32">
        <f>IF(B574="","",IF(E574&lt;&gt;"","P"&amp;E574,"N"&amp;B574))</f>
        <v/>
      </c>
      <c r="O574" s="32">
        <f>IF(N574="",0,IF(COUNTIF(N575:N$602,N574)=0,1,0))</f>
        <v/>
      </c>
      <c r="P574" s="32">
        <f>IF(AND(O574=1,E574&lt;&gt;""),E574,"")</f>
        <v/>
      </c>
      <c r="Q574" s="32">
        <f>IF(O574=1,B574,"")</f>
        <v/>
      </c>
      <c r="R574" s="32">
        <f>IF(O574&lt;&gt;1,"",IF(E574&lt;&gt;"",IFERROR(MATCH(E574,Guests!$S$6:$S$505,0)+5,IFERROR(MATCH(B574,Guests!$A$6:$A$505,0)+5,"")),IFERROR(MATCH(B574,Guests!$A$6:$A$505,0)+5,"")))</f>
        <v/>
      </c>
      <c r="S574" s="32">
        <f>IF(R574="","",TRIM(INDEX(Guests!$E$1:$E$505,R574)&amp;""))</f>
        <v/>
      </c>
      <c r="T574" s="32">
        <f>IF(R574="","",IF(S574="",1,COUNTIF(Guests!$E$6:$E$505,S574)))</f>
        <v/>
      </c>
      <c r="U574" s="32">
        <f>IF(R574="","",IF(S574="",1,IF(COUNTIF(S$1:S573,S574)=0,1,0)))</f>
        <v/>
      </c>
      <c r="V574" s="32">
        <f>IF(AND(R574&lt;&gt;"",G574="Attending",U574=1),MAX(0,H574+I574-T574),0)</f>
        <v/>
      </c>
      <c r="W574" s="32">
        <f>IF(AND(O574=1,R574=""),1,0)</f>
        <v/>
      </c>
      <c r="X574" s="32">
        <f>IF(B574="",0,H574+I574)</f>
        <v/>
      </c>
      <c r="Y574" s="32">
        <f>N(Y573)+O574</f>
        <v/>
      </c>
      <c r="Z574" s="32">
        <f>IF(O574=1,Y574,"")</f>
        <v/>
      </c>
      <c r="AA574" s="32">
        <f>IF(AND(W574=1,G574="Not sure yet"),1,0)</f>
        <v/>
      </c>
      <c r="AB574" s="32">
        <f>N(AB573)+AA574</f>
        <v/>
      </c>
      <c r="AC574" s="32">
        <f>IF(AA574=1,AB574,"")</f>
        <v/>
      </c>
      <c r="AD574" s="32">
        <f>IF(D574="","",IF(LEN(D574)=10,"+1"&amp;D574,IF(AND(LEN(D574)=11,LEFT(D574,1)="1"),"+"&amp;D574,IF(LEFT(C574,1)="+","+"&amp;D574,D574))))</f>
        <v/>
      </c>
      <c r="AE574" s="32">
        <f>IF(B574="","",PROPER(IFERROR(LEFT(B574,FIND(" ",B574)-1),B574)))</f>
        <v/>
      </c>
      <c r="AF574" s="32">
        <f>SUBSTITUTE(SUBSTITUTE(SUBSTITUTE(SUBSTITUTE(SUBSTITUTE(SUBSTITUTE(SUBSTITUTE(SUBSTITUTE(SUBSTITUTE(SUBSTITUTE(AE574,"%","%25"),"&amp;","%26"),"#","%23"),"+","%2B"),"=","%3D"),"?","%3F"),CHAR(34),"%22"),CHAR(10),"%0A"),CHAR(13),"")," ","+")</f>
        <v/>
      </c>
      <c r="AG574" s="32">
        <f>IF(OR(AD574="",AE574=""),"",'Start Here'!$B$20&amp;"#p="&amp;SUBSTITUTE(AD574,"+","%2B")&amp;"&amp;n="&amp;AF574&amp;"&amp;m="&amp;SUBSTITUTE('Start Here'!$B$24,"{name}",AF574))</f>
        <v/>
      </c>
      <c r="AH574" s="32">
        <f>N(AH573)+W574</f>
        <v/>
      </c>
      <c r="AI574" s="32">
        <f>IF(W574=1,AH574,"")</f>
        <v/>
      </c>
    </row>
    <row r="575">
      <c r="A575" s="32">
        <f>IF(INDEX('Form Responses'!$A:$A,ROW())="","",INDEX('Form Responses'!$A:$A,ROW()))</f>
        <v/>
      </c>
      <c r="B575" s="32">
        <f>TRIM(INDEX('Form Responses'!$B:$B,ROW())&amp;"")</f>
        <v/>
      </c>
      <c r="C575" s="32">
        <f>IF(B575="","",TRIM(INDEX('Form Responses'!$C:$C,ROW())&amp;""))</f>
        <v/>
      </c>
      <c r="D575" s="32">
        <f>SUBSTITUTE(SUBSTITUTE(SUBSTITUTE(SUBSTITUTE(SUBSTITUTE(SUBSTITUTE(SUBSTITUTE(SUBSTITUTE(C575," ",""),"-",""),"(",""),")",""),".",""),"+",""),"/",""),CHAR(160),"")</f>
        <v/>
      </c>
      <c r="E575" s="32">
        <f>IF(LEN(D575)&gt;=10,RIGHT(D575,10),D575)</f>
        <v/>
      </c>
      <c r="F575" s="32">
        <f>IF(B575="","",TRIM(INDEX('Form Responses'!$D:$D,ROW())&amp;""))</f>
        <v/>
      </c>
      <c r="G575" s="32">
        <f>IF(B575="","",IF(LEFT(TRIM(INDEX('Form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5" s="32">
        <f>IF(B575="","",MAX(0,IFERROR(INT(--(INDEX('Form Responses'!$F:$F,ROW())&amp;"")),1)))</f>
        <v/>
      </c>
      <c r="I575" s="32">
        <f>IF(B575="","",MAX(0,IFERROR(INT(--(INDEX('Form Responses'!$G:$G,ROW())&amp;"")),0)))</f>
        <v/>
      </c>
      <c r="J575" s="32">
        <f>IF(B575="","",TRIM(INDEX('Form Responses'!$H:$H,ROW())&amp;""))</f>
        <v/>
      </c>
      <c r="K575" s="32">
        <f>IF(B575="","",TRIM(INDEX('Form Responses'!$I:$I,ROW())&amp;""))</f>
        <v/>
      </c>
      <c r="L575" s="32">
        <f>IF(B575="","",TRIM(INDEX('Form Responses'!$J:$J,ROW())&amp;""))</f>
        <v/>
      </c>
      <c r="M575" s="32">
        <f>IF(B575="","",TRIM(INDEX('Form Responses'!$K:$K,ROW())&amp;""))</f>
        <v/>
      </c>
      <c r="N575" s="32">
        <f>IF(B575="","",IF(E575&lt;&gt;"","P"&amp;E575,"N"&amp;B575))</f>
        <v/>
      </c>
      <c r="O575" s="32">
        <f>IF(N575="",0,IF(COUNTIF(N576:N$602,N575)=0,1,0))</f>
        <v/>
      </c>
      <c r="P575" s="32">
        <f>IF(AND(O575=1,E575&lt;&gt;""),E575,"")</f>
        <v/>
      </c>
      <c r="Q575" s="32">
        <f>IF(O575=1,B575,"")</f>
        <v/>
      </c>
      <c r="R575" s="32">
        <f>IF(O575&lt;&gt;1,"",IF(E575&lt;&gt;"",IFERROR(MATCH(E575,Guests!$S$6:$S$505,0)+5,IFERROR(MATCH(B575,Guests!$A$6:$A$505,0)+5,"")),IFERROR(MATCH(B575,Guests!$A$6:$A$505,0)+5,"")))</f>
        <v/>
      </c>
      <c r="S575" s="32">
        <f>IF(R575="","",TRIM(INDEX(Guests!$E$1:$E$505,R575)&amp;""))</f>
        <v/>
      </c>
      <c r="T575" s="32">
        <f>IF(R575="","",IF(S575="",1,COUNTIF(Guests!$E$6:$E$505,S575)))</f>
        <v/>
      </c>
      <c r="U575" s="32">
        <f>IF(R575="","",IF(S575="",1,IF(COUNTIF(S$1:S574,S575)=0,1,0)))</f>
        <v/>
      </c>
      <c r="V575" s="32">
        <f>IF(AND(R575&lt;&gt;"",G575="Attending",U575=1),MAX(0,H575+I575-T575),0)</f>
        <v/>
      </c>
      <c r="W575" s="32">
        <f>IF(AND(O575=1,R575=""),1,0)</f>
        <v/>
      </c>
      <c r="X575" s="32">
        <f>IF(B575="",0,H575+I575)</f>
        <v/>
      </c>
      <c r="Y575" s="32">
        <f>N(Y574)+O575</f>
        <v/>
      </c>
      <c r="Z575" s="32">
        <f>IF(O575=1,Y575,"")</f>
        <v/>
      </c>
      <c r="AA575" s="32">
        <f>IF(AND(W575=1,G575="Not sure yet"),1,0)</f>
        <v/>
      </c>
      <c r="AB575" s="32">
        <f>N(AB574)+AA575</f>
        <v/>
      </c>
      <c r="AC575" s="32">
        <f>IF(AA575=1,AB575,"")</f>
        <v/>
      </c>
      <c r="AD575" s="32">
        <f>IF(D575="","",IF(LEN(D575)=10,"+1"&amp;D575,IF(AND(LEN(D575)=11,LEFT(D575,1)="1"),"+"&amp;D575,IF(LEFT(C575,1)="+","+"&amp;D575,D575))))</f>
        <v/>
      </c>
      <c r="AE575" s="32">
        <f>IF(B575="","",PROPER(IFERROR(LEFT(B575,FIND(" ",B575)-1),B575)))</f>
        <v/>
      </c>
      <c r="AF575" s="32">
        <f>SUBSTITUTE(SUBSTITUTE(SUBSTITUTE(SUBSTITUTE(SUBSTITUTE(SUBSTITUTE(SUBSTITUTE(SUBSTITUTE(SUBSTITUTE(SUBSTITUTE(AE575,"%","%25"),"&amp;","%26"),"#","%23"),"+","%2B"),"=","%3D"),"?","%3F"),CHAR(34),"%22"),CHAR(10),"%0A"),CHAR(13),"")," ","+")</f>
        <v/>
      </c>
      <c r="AG575" s="32">
        <f>IF(OR(AD575="",AE575=""),"",'Start Here'!$B$20&amp;"#p="&amp;SUBSTITUTE(AD575,"+","%2B")&amp;"&amp;n="&amp;AF575&amp;"&amp;m="&amp;SUBSTITUTE('Start Here'!$B$24,"{name}",AF575))</f>
        <v/>
      </c>
      <c r="AH575" s="32">
        <f>N(AH574)+W575</f>
        <v/>
      </c>
      <c r="AI575" s="32">
        <f>IF(W575=1,AH575,"")</f>
        <v/>
      </c>
    </row>
    <row r="576">
      <c r="A576" s="32">
        <f>IF(INDEX('Form Responses'!$A:$A,ROW())="","",INDEX('Form Responses'!$A:$A,ROW()))</f>
        <v/>
      </c>
      <c r="B576" s="32">
        <f>TRIM(INDEX('Form Responses'!$B:$B,ROW())&amp;"")</f>
        <v/>
      </c>
      <c r="C576" s="32">
        <f>IF(B576="","",TRIM(INDEX('Form Responses'!$C:$C,ROW())&amp;""))</f>
        <v/>
      </c>
      <c r="D576" s="32">
        <f>SUBSTITUTE(SUBSTITUTE(SUBSTITUTE(SUBSTITUTE(SUBSTITUTE(SUBSTITUTE(SUBSTITUTE(SUBSTITUTE(C576," ",""),"-",""),"(",""),")",""),".",""),"+",""),"/",""),CHAR(160),"")</f>
        <v/>
      </c>
      <c r="E576" s="32">
        <f>IF(LEN(D576)&gt;=10,RIGHT(D576,10),D576)</f>
        <v/>
      </c>
      <c r="F576" s="32">
        <f>IF(B576="","",TRIM(INDEX('Form Responses'!$D:$D,ROW())&amp;""))</f>
        <v/>
      </c>
      <c r="G576" s="32">
        <f>IF(B576="","",IF(LEFT(TRIM(INDEX('Form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6" s="32">
        <f>IF(B576="","",MAX(0,IFERROR(INT(--(INDEX('Form Responses'!$F:$F,ROW())&amp;"")),1)))</f>
        <v/>
      </c>
      <c r="I576" s="32">
        <f>IF(B576="","",MAX(0,IFERROR(INT(--(INDEX('Form Responses'!$G:$G,ROW())&amp;"")),0)))</f>
        <v/>
      </c>
      <c r="J576" s="32">
        <f>IF(B576="","",TRIM(INDEX('Form Responses'!$H:$H,ROW())&amp;""))</f>
        <v/>
      </c>
      <c r="K576" s="32">
        <f>IF(B576="","",TRIM(INDEX('Form Responses'!$I:$I,ROW())&amp;""))</f>
        <v/>
      </c>
      <c r="L576" s="32">
        <f>IF(B576="","",TRIM(INDEX('Form Responses'!$J:$J,ROW())&amp;""))</f>
        <v/>
      </c>
      <c r="M576" s="32">
        <f>IF(B576="","",TRIM(INDEX('Form Responses'!$K:$K,ROW())&amp;""))</f>
        <v/>
      </c>
      <c r="N576" s="32">
        <f>IF(B576="","",IF(E576&lt;&gt;"","P"&amp;E576,"N"&amp;B576))</f>
        <v/>
      </c>
      <c r="O576" s="32">
        <f>IF(N576="",0,IF(COUNTIF(N577:N$602,N576)=0,1,0))</f>
        <v/>
      </c>
      <c r="P576" s="32">
        <f>IF(AND(O576=1,E576&lt;&gt;""),E576,"")</f>
        <v/>
      </c>
      <c r="Q576" s="32">
        <f>IF(O576=1,B576,"")</f>
        <v/>
      </c>
      <c r="R576" s="32">
        <f>IF(O576&lt;&gt;1,"",IF(E576&lt;&gt;"",IFERROR(MATCH(E576,Guests!$S$6:$S$505,0)+5,IFERROR(MATCH(B576,Guests!$A$6:$A$505,0)+5,"")),IFERROR(MATCH(B576,Guests!$A$6:$A$505,0)+5,"")))</f>
        <v/>
      </c>
      <c r="S576" s="32">
        <f>IF(R576="","",TRIM(INDEX(Guests!$E$1:$E$505,R576)&amp;""))</f>
        <v/>
      </c>
      <c r="T576" s="32">
        <f>IF(R576="","",IF(S576="",1,COUNTIF(Guests!$E$6:$E$505,S576)))</f>
        <v/>
      </c>
      <c r="U576" s="32">
        <f>IF(R576="","",IF(S576="",1,IF(COUNTIF(S$1:S575,S576)=0,1,0)))</f>
        <v/>
      </c>
      <c r="V576" s="32">
        <f>IF(AND(R576&lt;&gt;"",G576="Attending",U576=1),MAX(0,H576+I576-T576),0)</f>
        <v/>
      </c>
      <c r="W576" s="32">
        <f>IF(AND(O576=1,R576=""),1,0)</f>
        <v/>
      </c>
      <c r="X576" s="32">
        <f>IF(B576="",0,H576+I576)</f>
        <v/>
      </c>
      <c r="Y576" s="32">
        <f>N(Y575)+O576</f>
        <v/>
      </c>
      <c r="Z576" s="32">
        <f>IF(O576=1,Y576,"")</f>
        <v/>
      </c>
      <c r="AA576" s="32">
        <f>IF(AND(W576=1,G576="Not sure yet"),1,0)</f>
        <v/>
      </c>
      <c r="AB576" s="32">
        <f>N(AB575)+AA576</f>
        <v/>
      </c>
      <c r="AC576" s="32">
        <f>IF(AA576=1,AB576,"")</f>
        <v/>
      </c>
      <c r="AD576" s="32">
        <f>IF(D576="","",IF(LEN(D576)=10,"+1"&amp;D576,IF(AND(LEN(D576)=11,LEFT(D576,1)="1"),"+"&amp;D576,IF(LEFT(C576,1)="+","+"&amp;D576,D576))))</f>
        <v/>
      </c>
      <c r="AE576" s="32">
        <f>IF(B576="","",PROPER(IFERROR(LEFT(B576,FIND(" ",B576)-1),B576)))</f>
        <v/>
      </c>
      <c r="AF576" s="32">
        <f>SUBSTITUTE(SUBSTITUTE(SUBSTITUTE(SUBSTITUTE(SUBSTITUTE(SUBSTITUTE(SUBSTITUTE(SUBSTITUTE(SUBSTITUTE(SUBSTITUTE(AE576,"%","%25"),"&amp;","%26"),"#","%23"),"+","%2B"),"=","%3D"),"?","%3F"),CHAR(34),"%22"),CHAR(10),"%0A"),CHAR(13),"")," ","+")</f>
        <v/>
      </c>
      <c r="AG576" s="32">
        <f>IF(OR(AD576="",AE576=""),"",'Start Here'!$B$20&amp;"#p="&amp;SUBSTITUTE(AD576,"+","%2B")&amp;"&amp;n="&amp;AF576&amp;"&amp;m="&amp;SUBSTITUTE('Start Here'!$B$24,"{name}",AF576))</f>
        <v/>
      </c>
      <c r="AH576" s="32">
        <f>N(AH575)+W576</f>
        <v/>
      </c>
      <c r="AI576" s="32">
        <f>IF(W576=1,AH576,"")</f>
        <v/>
      </c>
    </row>
    <row r="577">
      <c r="A577" s="32">
        <f>IF(INDEX('Form Responses'!$A:$A,ROW())="","",INDEX('Form Responses'!$A:$A,ROW()))</f>
        <v/>
      </c>
      <c r="B577" s="32">
        <f>TRIM(INDEX('Form Responses'!$B:$B,ROW())&amp;"")</f>
        <v/>
      </c>
      <c r="C577" s="32">
        <f>IF(B577="","",TRIM(INDEX('Form Responses'!$C:$C,ROW())&amp;""))</f>
        <v/>
      </c>
      <c r="D577" s="32">
        <f>SUBSTITUTE(SUBSTITUTE(SUBSTITUTE(SUBSTITUTE(SUBSTITUTE(SUBSTITUTE(SUBSTITUTE(SUBSTITUTE(C577," ",""),"-",""),"(",""),")",""),".",""),"+",""),"/",""),CHAR(160),"")</f>
        <v/>
      </c>
      <c r="E577" s="32">
        <f>IF(LEN(D577)&gt;=10,RIGHT(D577,10),D577)</f>
        <v/>
      </c>
      <c r="F577" s="32">
        <f>IF(B577="","",TRIM(INDEX('Form Responses'!$D:$D,ROW())&amp;""))</f>
        <v/>
      </c>
      <c r="G577" s="32">
        <f>IF(B577="","",IF(LEFT(TRIM(INDEX('Form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7" s="32">
        <f>IF(B577="","",MAX(0,IFERROR(INT(--(INDEX('Form Responses'!$F:$F,ROW())&amp;"")),1)))</f>
        <v/>
      </c>
      <c r="I577" s="32">
        <f>IF(B577="","",MAX(0,IFERROR(INT(--(INDEX('Form Responses'!$G:$G,ROW())&amp;"")),0)))</f>
        <v/>
      </c>
      <c r="J577" s="32">
        <f>IF(B577="","",TRIM(INDEX('Form Responses'!$H:$H,ROW())&amp;""))</f>
        <v/>
      </c>
      <c r="K577" s="32">
        <f>IF(B577="","",TRIM(INDEX('Form Responses'!$I:$I,ROW())&amp;""))</f>
        <v/>
      </c>
      <c r="L577" s="32">
        <f>IF(B577="","",TRIM(INDEX('Form Responses'!$J:$J,ROW())&amp;""))</f>
        <v/>
      </c>
      <c r="M577" s="32">
        <f>IF(B577="","",TRIM(INDEX('Form Responses'!$K:$K,ROW())&amp;""))</f>
        <v/>
      </c>
      <c r="N577" s="32">
        <f>IF(B577="","",IF(E577&lt;&gt;"","P"&amp;E577,"N"&amp;B577))</f>
        <v/>
      </c>
      <c r="O577" s="32">
        <f>IF(N577="",0,IF(COUNTIF(N578:N$602,N577)=0,1,0))</f>
        <v/>
      </c>
      <c r="P577" s="32">
        <f>IF(AND(O577=1,E577&lt;&gt;""),E577,"")</f>
        <v/>
      </c>
      <c r="Q577" s="32">
        <f>IF(O577=1,B577,"")</f>
        <v/>
      </c>
      <c r="R577" s="32">
        <f>IF(O577&lt;&gt;1,"",IF(E577&lt;&gt;"",IFERROR(MATCH(E577,Guests!$S$6:$S$505,0)+5,IFERROR(MATCH(B577,Guests!$A$6:$A$505,0)+5,"")),IFERROR(MATCH(B577,Guests!$A$6:$A$505,0)+5,"")))</f>
        <v/>
      </c>
      <c r="S577" s="32">
        <f>IF(R577="","",TRIM(INDEX(Guests!$E$1:$E$505,R577)&amp;""))</f>
        <v/>
      </c>
      <c r="T577" s="32">
        <f>IF(R577="","",IF(S577="",1,COUNTIF(Guests!$E$6:$E$505,S577)))</f>
        <v/>
      </c>
      <c r="U577" s="32">
        <f>IF(R577="","",IF(S577="",1,IF(COUNTIF(S$1:S576,S577)=0,1,0)))</f>
        <v/>
      </c>
      <c r="V577" s="32">
        <f>IF(AND(R577&lt;&gt;"",G577="Attending",U577=1),MAX(0,H577+I577-T577),0)</f>
        <v/>
      </c>
      <c r="W577" s="32">
        <f>IF(AND(O577=1,R577=""),1,0)</f>
        <v/>
      </c>
      <c r="X577" s="32">
        <f>IF(B577="",0,H577+I577)</f>
        <v/>
      </c>
      <c r="Y577" s="32">
        <f>N(Y576)+O577</f>
        <v/>
      </c>
      <c r="Z577" s="32">
        <f>IF(O577=1,Y577,"")</f>
        <v/>
      </c>
      <c r="AA577" s="32">
        <f>IF(AND(W577=1,G577="Not sure yet"),1,0)</f>
        <v/>
      </c>
      <c r="AB577" s="32">
        <f>N(AB576)+AA577</f>
        <v/>
      </c>
      <c r="AC577" s="32">
        <f>IF(AA577=1,AB577,"")</f>
        <v/>
      </c>
      <c r="AD577" s="32">
        <f>IF(D577="","",IF(LEN(D577)=10,"+1"&amp;D577,IF(AND(LEN(D577)=11,LEFT(D577,1)="1"),"+"&amp;D577,IF(LEFT(C577,1)="+","+"&amp;D577,D577))))</f>
        <v/>
      </c>
      <c r="AE577" s="32">
        <f>IF(B577="","",PROPER(IFERROR(LEFT(B577,FIND(" ",B577)-1),B577)))</f>
        <v/>
      </c>
      <c r="AF577" s="32">
        <f>SUBSTITUTE(SUBSTITUTE(SUBSTITUTE(SUBSTITUTE(SUBSTITUTE(SUBSTITUTE(SUBSTITUTE(SUBSTITUTE(SUBSTITUTE(SUBSTITUTE(AE577,"%","%25"),"&amp;","%26"),"#","%23"),"+","%2B"),"=","%3D"),"?","%3F"),CHAR(34),"%22"),CHAR(10),"%0A"),CHAR(13),"")," ","+")</f>
        <v/>
      </c>
      <c r="AG577" s="32">
        <f>IF(OR(AD577="",AE577=""),"",'Start Here'!$B$20&amp;"#p="&amp;SUBSTITUTE(AD577,"+","%2B")&amp;"&amp;n="&amp;AF577&amp;"&amp;m="&amp;SUBSTITUTE('Start Here'!$B$24,"{name}",AF577))</f>
        <v/>
      </c>
      <c r="AH577" s="32">
        <f>N(AH576)+W577</f>
        <v/>
      </c>
      <c r="AI577" s="32">
        <f>IF(W577=1,AH577,"")</f>
        <v/>
      </c>
    </row>
    <row r="578">
      <c r="A578" s="32">
        <f>IF(INDEX('Form Responses'!$A:$A,ROW())="","",INDEX('Form Responses'!$A:$A,ROW()))</f>
        <v/>
      </c>
      <c r="B578" s="32">
        <f>TRIM(INDEX('Form Responses'!$B:$B,ROW())&amp;"")</f>
        <v/>
      </c>
      <c r="C578" s="32">
        <f>IF(B578="","",TRIM(INDEX('Form Responses'!$C:$C,ROW())&amp;""))</f>
        <v/>
      </c>
      <c r="D578" s="32">
        <f>SUBSTITUTE(SUBSTITUTE(SUBSTITUTE(SUBSTITUTE(SUBSTITUTE(SUBSTITUTE(SUBSTITUTE(SUBSTITUTE(C578," ",""),"-",""),"(",""),")",""),".",""),"+",""),"/",""),CHAR(160),"")</f>
        <v/>
      </c>
      <c r="E578" s="32">
        <f>IF(LEN(D578)&gt;=10,RIGHT(D578,10),D578)</f>
        <v/>
      </c>
      <c r="F578" s="32">
        <f>IF(B578="","",TRIM(INDEX('Form Responses'!$D:$D,ROW())&amp;""))</f>
        <v/>
      </c>
      <c r="G578" s="32">
        <f>IF(B578="","",IF(LEFT(TRIM(INDEX('Form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8" s="32">
        <f>IF(B578="","",MAX(0,IFERROR(INT(--(INDEX('Form Responses'!$F:$F,ROW())&amp;"")),1)))</f>
        <v/>
      </c>
      <c r="I578" s="32">
        <f>IF(B578="","",MAX(0,IFERROR(INT(--(INDEX('Form Responses'!$G:$G,ROW())&amp;"")),0)))</f>
        <v/>
      </c>
      <c r="J578" s="32">
        <f>IF(B578="","",TRIM(INDEX('Form Responses'!$H:$H,ROW())&amp;""))</f>
        <v/>
      </c>
      <c r="K578" s="32">
        <f>IF(B578="","",TRIM(INDEX('Form Responses'!$I:$I,ROW())&amp;""))</f>
        <v/>
      </c>
      <c r="L578" s="32">
        <f>IF(B578="","",TRIM(INDEX('Form Responses'!$J:$J,ROW())&amp;""))</f>
        <v/>
      </c>
      <c r="M578" s="32">
        <f>IF(B578="","",TRIM(INDEX('Form Responses'!$K:$K,ROW())&amp;""))</f>
        <v/>
      </c>
      <c r="N578" s="32">
        <f>IF(B578="","",IF(E578&lt;&gt;"","P"&amp;E578,"N"&amp;B578))</f>
        <v/>
      </c>
      <c r="O578" s="32">
        <f>IF(N578="",0,IF(COUNTIF(N579:N$602,N578)=0,1,0))</f>
        <v/>
      </c>
      <c r="P578" s="32">
        <f>IF(AND(O578=1,E578&lt;&gt;""),E578,"")</f>
        <v/>
      </c>
      <c r="Q578" s="32">
        <f>IF(O578=1,B578,"")</f>
        <v/>
      </c>
      <c r="R578" s="32">
        <f>IF(O578&lt;&gt;1,"",IF(E578&lt;&gt;"",IFERROR(MATCH(E578,Guests!$S$6:$S$505,0)+5,IFERROR(MATCH(B578,Guests!$A$6:$A$505,0)+5,"")),IFERROR(MATCH(B578,Guests!$A$6:$A$505,0)+5,"")))</f>
        <v/>
      </c>
      <c r="S578" s="32">
        <f>IF(R578="","",TRIM(INDEX(Guests!$E$1:$E$505,R578)&amp;""))</f>
        <v/>
      </c>
      <c r="T578" s="32">
        <f>IF(R578="","",IF(S578="",1,COUNTIF(Guests!$E$6:$E$505,S578)))</f>
        <v/>
      </c>
      <c r="U578" s="32">
        <f>IF(R578="","",IF(S578="",1,IF(COUNTIF(S$1:S577,S578)=0,1,0)))</f>
        <v/>
      </c>
      <c r="V578" s="32">
        <f>IF(AND(R578&lt;&gt;"",G578="Attending",U578=1),MAX(0,H578+I578-T578),0)</f>
        <v/>
      </c>
      <c r="W578" s="32">
        <f>IF(AND(O578=1,R578=""),1,0)</f>
        <v/>
      </c>
      <c r="X578" s="32">
        <f>IF(B578="",0,H578+I578)</f>
        <v/>
      </c>
      <c r="Y578" s="32">
        <f>N(Y577)+O578</f>
        <v/>
      </c>
      <c r="Z578" s="32">
        <f>IF(O578=1,Y578,"")</f>
        <v/>
      </c>
      <c r="AA578" s="32">
        <f>IF(AND(W578=1,G578="Not sure yet"),1,0)</f>
        <v/>
      </c>
      <c r="AB578" s="32">
        <f>N(AB577)+AA578</f>
        <v/>
      </c>
      <c r="AC578" s="32">
        <f>IF(AA578=1,AB578,"")</f>
        <v/>
      </c>
      <c r="AD578" s="32">
        <f>IF(D578="","",IF(LEN(D578)=10,"+1"&amp;D578,IF(AND(LEN(D578)=11,LEFT(D578,1)="1"),"+"&amp;D578,IF(LEFT(C578,1)="+","+"&amp;D578,D578))))</f>
        <v/>
      </c>
      <c r="AE578" s="32">
        <f>IF(B578="","",PROPER(IFERROR(LEFT(B578,FIND(" ",B578)-1),B578)))</f>
        <v/>
      </c>
      <c r="AF578" s="32">
        <f>SUBSTITUTE(SUBSTITUTE(SUBSTITUTE(SUBSTITUTE(SUBSTITUTE(SUBSTITUTE(SUBSTITUTE(SUBSTITUTE(SUBSTITUTE(SUBSTITUTE(AE578,"%","%25"),"&amp;","%26"),"#","%23"),"+","%2B"),"=","%3D"),"?","%3F"),CHAR(34),"%22"),CHAR(10),"%0A"),CHAR(13),"")," ","+")</f>
        <v/>
      </c>
      <c r="AG578" s="32">
        <f>IF(OR(AD578="",AE578=""),"",'Start Here'!$B$20&amp;"#p="&amp;SUBSTITUTE(AD578,"+","%2B")&amp;"&amp;n="&amp;AF578&amp;"&amp;m="&amp;SUBSTITUTE('Start Here'!$B$24,"{name}",AF578))</f>
        <v/>
      </c>
      <c r="AH578" s="32">
        <f>N(AH577)+W578</f>
        <v/>
      </c>
      <c r="AI578" s="32">
        <f>IF(W578=1,AH578,"")</f>
        <v/>
      </c>
    </row>
    <row r="579">
      <c r="A579" s="32">
        <f>IF(INDEX('Form Responses'!$A:$A,ROW())="","",INDEX('Form Responses'!$A:$A,ROW()))</f>
        <v/>
      </c>
      <c r="B579" s="32">
        <f>TRIM(INDEX('Form Responses'!$B:$B,ROW())&amp;"")</f>
        <v/>
      </c>
      <c r="C579" s="32">
        <f>IF(B579="","",TRIM(INDEX('Form Responses'!$C:$C,ROW())&amp;""))</f>
        <v/>
      </c>
      <c r="D579" s="32">
        <f>SUBSTITUTE(SUBSTITUTE(SUBSTITUTE(SUBSTITUTE(SUBSTITUTE(SUBSTITUTE(SUBSTITUTE(SUBSTITUTE(C579," ",""),"-",""),"(",""),")",""),".",""),"+",""),"/",""),CHAR(160),"")</f>
        <v/>
      </c>
      <c r="E579" s="32">
        <f>IF(LEN(D579)&gt;=10,RIGHT(D579,10),D579)</f>
        <v/>
      </c>
      <c r="F579" s="32">
        <f>IF(B579="","",TRIM(INDEX('Form Responses'!$D:$D,ROW())&amp;""))</f>
        <v/>
      </c>
      <c r="G579" s="32">
        <f>IF(B579="","",IF(LEFT(TRIM(INDEX('Form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79" s="32">
        <f>IF(B579="","",MAX(0,IFERROR(INT(--(INDEX('Form Responses'!$F:$F,ROW())&amp;"")),1)))</f>
        <v/>
      </c>
      <c r="I579" s="32">
        <f>IF(B579="","",MAX(0,IFERROR(INT(--(INDEX('Form Responses'!$G:$G,ROW())&amp;"")),0)))</f>
        <v/>
      </c>
      <c r="J579" s="32">
        <f>IF(B579="","",TRIM(INDEX('Form Responses'!$H:$H,ROW())&amp;""))</f>
        <v/>
      </c>
      <c r="K579" s="32">
        <f>IF(B579="","",TRIM(INDEX('Form Responses'!$I:$I,ROW())&amp;""))</f>
        <v/>
      </c>
      <c r="L579" s="32">
        <f>IF(B579="","",TRIM(INDEX('Form Responses'!$J:$J,ROW())&amp;""))</f>
        <v/>
      </c>
      <c r="M579" s="32">
        <f>IF(B579="","",TRIM(INDEX('Form Responses'!$K:$K,ROW())&amp;""))</f>
        <v/>
      </c>
      <c r="N579" s="32">
        <f>IF(B579="","",IF(E579&lt;&gt;"","P"&amp;E579,"N"&amp;B579))</f>
        <v/>
      </c>
      <c r="O579" s="32">
        <f>IF(N579="",0,IF(COUNTIF(N580:N$602,N579)=0,1,0))</f>
        <v/>
      </c>
      <c r="P579" s="32">
        <f>IF(AND(O579=1,E579&lt;&gt;""),E579,"")</f>
        <v/>
      </c>
      <c r="Q579" s="32">
        <f>IF(O579=1,B579,"")</f>
        <v/>
      </c>
      <c r="R579" s="32">
        <f>IF(O579&lt;&gt;1,"",IF(E579&lt;&gt;"",IFERROR(MATCH(E579,Guests!$S$6:$S$505,0)+5,IFERROR(MATCH(B579,Guests!$A$6:$A$505,0)+5,"")),IFERROR(MATCH(B579,Guests!$A$6:$A$505,0)+5,"")))</f>
        <v/>
      </c>
      <c r="S579" s="32">
        <f>IF(R579="","",TRIM(INDEX(Guests!$E$1:$E$505,R579)&amp;""))</f>
        <v/>
      </c>
      <c r="T579" s="32">
        <f>IF(R579="","",IF(S579="",1,COUNTIF(Guests!$E$6:$E$505,S579)))</f>
        <v/>
      </c>
      <c r="U579" s="32">
        <f>IF(R579="","",IF(S579="",1,IF(COUNTIF(S$1:S578,S579)=0,1,0)))</f>
        <v/>
      </c>
      <c r="V579" s="32">
        <f>IF(AND(R579&lt;&gt;"",G579="Attending",U579=1),MAX(0,H579+I579-T579),0)</f>
        <v/>
      </c>
      <c r="W579" s="32">
        <f>IF(AND(O579=1,R579=""),1,0)</f>
        <v/>
      </c>
      <c r="X579" s="32">
        <f>IF(B579="",0,H579+I579)</f>
        <v/>
      </c>
      <c r="Y579" s="32">
        <f>N(Y578)+O579</f>
        <v/>
      </c>
      <c r="Z579" s="32">
        <f>IF(O579=1,Y579,"")</f>
        <v/>
      </c>
      <c r="AA579" s="32">
        <f>IF(AND(W579=1,G579="Not sure yet"),1,0)</f>
        <v/>
      </c>
      <c r="AB579" s="32">
        <f>N(AB578)+AA579</f>
        <v/>
      </c>
      <c r="AC579" s="32">
        <f>IF(AA579=1,AB579,"")</f>
        <v/>
      </c>
      <c r="AD579" s="32">
        <f>IF(D579="","",IF(LEN(D579)=10,"+1"&amp;D579,IF(AND(LEN(D579)=11,LEFT(D579,1)="1"),"+"&amp;D579,IF(LEFT(C579,1)="+","+"&amp;D579,D579))))</f>
        <v/>
      </c>
      <c r="AE579" s="32">
        <f>IF(B579="","",PROPER(IFERROR(LEFT(B579,FIND(" ",B579)-1),B579)))</f>
        <v/>
      </c>
      <c r="AF579" s="32">
        <f>SUBSTITUTE(SUBSTITUTE(SUBSTITUTE(SUBSTITUTE(SUBSTITUTE(SUBSTITUTE(SUBSTITUTE(SUBSTITUTE(SUBSTITUTE(SUBSTITUTE(AE579,"%","%25"),"&amp;","%26"),"#","%23"),"+","%2B"),"=","%3D"),"?","%3F"),CHAR(34),"%22"),CHAR(10),"%0A"),CHAR(13),"")," ","+")</f>
        <v/>
      </c>
      <c r="AG579" s="32">
        <f>IF(OR(AD579="",AE579=""),"",'Start Here'!$B$20&amp;"#p="&amp;SUBSTITUTE(AD579,"+","%2B")&amp;"&amp;n="&amp;AF579&amp;"&amp;m="&amp;SUBSTITUTE('Start Here'!$B$24,"{name}",AF579))</f>
        <v/>
      </c>
      <c r="AH579" s="32">
        <f>N(AH578)+W579</f>
        <v/>
      </c>
      <c r="AI579" s="32">
        <f>IF(W579=1,AH579,"")</f>
        <v/>
      </c>
    </row>
    <row r="580">
      <c r="A580" s="32">
        <f>IF(INDEX('Form Responses'!$A:$A,ROW())="","",INDEX('Form Responses'!$A:$A,ROW()))</f>
        <v/>
      </c>
      <c r="B580" s="32">
        <f>TRIM(INDEX('Form Responses'!$B:$B,ROW())&amp;"")</f>
        <v/>
      </c>
      <c r="C580" s="32">
        <f>IF(B580="","",TRIM(INDEX('Form Responses'!$C:$C,ROW())&amp;""))</f>
        <v/>
      </c>
      <c r="D580" s="32">
        <f>SUBSTITUTE(SUBSTITUTE(SUBSTITUTE(SUBSTITUTE(SUBSTITUTE(SUBSTITUTE(SUBSTITUTE(SUBSTITUTE(C580," ",""),"-",""),"(",""),")",""),".",""),"+",""),"/",""),CHAR(160),"")</f>
        <v/>
      </c>
      <c r="E580" s="32">
        <f>IF(LEN(D580)&gt;=10,RIGHT(D580,10),D580)</f>
        <v/>
      </c>
      <c r="F580" s="32">
        <f>IF(B580="","",TRIM(INDEX('Form Responses'!$D:$D,ROW())&amp;""))</f>
        <v/>
      </c>
      <c r="G580" s="32">
        <f>IF(B580="","",IF(LEFT(TRIM(INDEX('Form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0" s="32">
        <f>IF(B580="","",MAX(0,IFERROR(INT(--(INDEX('Form Responses'!$F:$F,ROW())&amp;"")),1)))</f>
        <v/>
      </c>
      <c r="I580" s="32">
        <f>IF(B580="","",MAX(0,IFERROR(INT(--(INDEX('Form Responses'!$G:$G,ROW())&amp;"")),0)))</f>
        <v/>
      </c>
      <c r="J580" s="32">
        <f>IF(B580="","",TRIM(INDEX('Form Responses'!$H:$H,ROW())&amp;""))</f>
        <v/>
      </c>
      <c r="K580" s="32">
        <f>IF(B580="","",TRIM(INDEX('Form Responses'!$I:$I,ROW())&amp;""))</f>
        <v/>
      </c>
      <c r="L580" s="32">
        <f>IF(B580="","",TRIM(INDEX('Form Responses'!$J:$J,ROW())&amp;""))</f>
        <v/>
      </c>
      <c r="M580" s="32">
        <f>IF(B580="","",TRIM(INDEX('Form Responses'!$K:$K,ROW())&amp;""))</f>
        <v/>
      </c>
      <c r="N580" s="32">
        <f>IF(B580="","",IF(E580&lt;&gt;"","P"&amp;E580,"N"&amp;B580))</f>
        <v/>
      </c>
      <c r="O580" s="32">
        <f>IF(N580="",0,IF(COUNTIF(N581:N$602,N580)=0,1,0))</f>
        <v/>
      </c>
      <c r="P580" s="32">
        <f>IF(AND(O580=1,E580&lt;&gt;""),E580,"")</f>
        <v/>
      </c>
      <c r="Q580" s="32">
        <f>IF(O580=1,B580,"")</f>
        <v/>
      </c>
      <c r="R580" s="32">
        <f>IF(O580&lt;&gt;1,"",IF(E580&lt;&gt;"",IFERROR(MATCH(E580,Guests!$S$6:$S$505,0)+5,IFERROR(MATCH(B580,Guests!$A$6:$A$505,0)+5,"")),IFERROR(MATCH(B580,Guests!$A$6:$A$505,0)+5,"")))</f>
        <v/>
      </c>
      <c r="S580" s="32">
        <f>IF(R580="","",TRIM(INDEX(Guests!$E$1:$E$505,R580)&amp;""))</f>
        <v/>
      </c>
      <c r="T580" s="32">
        <f>IF(R580="","",IF(S580="",1,COUNTIF(Guests!$E$6:$E$505,S580)))</f>
        <v/>
      </c>
      <c r="U580" s="32">
        <f>IF(R580="","",IF(S580="",1,IF(COUNTIF(S$1:S579,S580)=0,1,0)))</f>
        <v/>
      </c>
      <c r="V580" s="32">
        <f>IF(AND(R580&lt;&gt;"",G580="Attending",U580=1),MAX(0,H580+I580-T580),0)</f>
        <v/>
      </c>
      <c r="W580" s="32">
        <f>IF(AND(O580=1,R580=""),1,0)</f>
        <v/>
      </c>
      <c r="X580" s="32">
        <f>IF(B580="",0,H580+I580)</f>
        <v/>
      </c>
      <c r="Y580" s="32">
        <f>N(Y579)+O580</f>
        <v/>
      </c>
      <c r="Z580" s="32">
        <f>IF(O580=1,Y580,"")</f>
        <v/>
      </c>
      <c r="AA580" s="32">
        <f>IF(AND(W580=1,G580="Not sure yet"),1,0)</f>
        <v/>
      </c>
      <c r="AB580" s="32">
        <f>N(AB579)+AA580</f>
        <v/>
      </c>
      <c r="AC580" s="32">
        <f>IF(AA580=1,AB580,"")</f>
        <v/>
      </c>
      <c r="AD580" s="32">
        <f>IF(D580="","",IF(LEN(D580)=10,"+1"&amp;D580,IF(AND(LEN(D580)=11,LEFT(D580,1)="1"),"+"&amp;D580,IF(LEFT(C580,1)="+","+"&amp;D580,D580))))</f>
        <v/>
      </c>
      <c r="AE580" s="32">
        <f>IF(B580="","",PROPER(IFERROR(LEFT(B580,FIND(" ",B580)-1),B580)))</f>
        <v/>
      </c>
      <c r="AF580" s="32">
        <f>SUBSTITUTE(SUBSTITUTE(SUBSTITUTE(SUBSTITUTE(SUBSTITUTE(SUBSTITUTE(SUBSTITUTE(SUBSTITUTE(SUBSTITUTE(SUBSTITUTE(AE580,"%","%25"),"&amp;","%26"),"#","%23"),"+","%2B"),"=","%3D"),"?","%3F"),CHAR(34),"%22"),CHAR(10),"%0A"),CHAR(13),"")," ","+")</f>
        <v/>
      </c>
      <c r="AG580" s="32">
        <f>IF(OR(AD580="",AE580=""),"",'Start Here'!$B$20&amp;"#p="&amp;SUBSTITUTE(AD580,"+","%2B")&amp;"&amp;n="&amp;AF580&amp;"&amp;m="&amp;SUBSTITUTE('Start Here'!$B$24,"{name}",AF580))</f>
        <v/>
      </c>
      <c r="AH580" s="32">
        <f>N(AH579)+W580</f>
        <v/>
      </c>
      <c r="AI580" s="32">
        <f>IF(W580=1,AH580,"")</f>
        <v/>
      </c>
    </row>
    <row r="581">
      <c r="A581" s="32">
        <f>IF(INDEX('Form Responses'!$A:$A,ROW())="","",INDEX('Form Responses'!$A:$A,ROW()))</f>
        <v/>
      </c>
      <c r="B581" s="32">
        <f>TRIM(INDEX('Form Responses'!$B:$B,ROW())&amp;"")</f>
        <v/>
      </c>
      <c r="C581" s="32">
        <f>IF(B581="","",TRIM(INDEX('Form Responses'!$C:$C,ROW())&amp;""))</f>
        <v/>
      </c>
      <c r="D581" s="32">
        <f>SUBSTITUTE(SUBSTITUTE(SUBSTITUTE(SUBSTITUTE(SUBSTITUTE(SUBSTITUTE(SUBSTITUTE(SUBSTITUTE(C581," ",""),"-",""),"(",""),")",""),".",""),"+",""),"/",""),CHAR(160),"")</f>
        <v/>
      </c>
      <c r="E581" s="32">
        <f>IF(LEN(D581)&gt;=10,RIGHT(D581,10),D581)</f>
        <v/>
      </c>
      <c r="F581" s="32">
        <f>IF(B581="","",TRIM(INDEX('Form Responses'!$D:$D,ROW())&amp;""))</f>
        <v/>
      </c>
      <c r="G581" s="32">
        <f>IF(B581="","",IF(LEFT(TRIM(INDEX('Form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1" s="32">
        <f>IF(B581="","",MAX(0,IFERROR(INT(--(INDEX('Form Responses'!$F:$F,ROW())&amp;"")),1)))</f>
        <v/>
      </c>
      <c r="I581" s="32">
        <f>IF(B581="","",MAX(0,IFERROR(INT(--(INDEX('Form Responses'!$G:$G,ROW())&amp;"")),0)))</f>
        <v/>
      </c>
      <c r="J581" s="32">
        <f>IF(B581="","",TRIM(INDEX('Form Responses'!$H:$H,ROW())&amp;""))</f>
        <v/>
      </c>
      <c r="K581" s="32">
        <f>IF(B581="","",TRIM(INDEX('Form Responses'!$I:$I,ROW())&amp;""))</f>
        <v/>
      </c>
      <c r="L581" s="32">
        <f>IF(B581="","",TRIM(INDEX('Form Responses'!$J:$J,ROW())&amp;""))</f>
        <v/>
      </c>
      <c r="M581" s="32">
        <f>IF(B581="","",TRIM(INDEX('Form Responses'!$K:$K,ROW())&amp;""))</f>
        <v/>
      </c>
      <c r="N581" s="32">
        <f>IF(B581="","",IF(E581&lt;&gt;"","P"&amp;E581,"N"&amp;B581))</f>
        <v/>
      </c>
      <c r="O581" s="32">
        <f>IF(N581="",0,IF(COUNTIF(N582:N$602,N581)=0,1,0))</f>
        <v/>
      </c>
      <c r="P581" s="32">
        <f>IF(AND(O581=1,E581&lt;&gt;""),E581,"")</f>
        <v/>
      </c>
      <c r="Q581" s="32">
        <f>IF(O581=1,B581,"")</f>
        <v/>
      </c>
      <c r="R581" s="32">
        <f>IF(O581&lt;&gt;1,"",IF(E581&lt;&gt;"",IFERROR(MATCH(E581,Guests!$S$6:$S$505,0)+5,IFERROR(MATCH(B581,Guests!$A$6:$A$505,0)+5,"")),IFERROR(MATCH(B581,Guests!$A$6:$A$505,0)+5,"")))</f>
        <v/>
      </c>
      <c r="S581" s="32">
        <f>IF(R581="","",TRIM(INDEX(Guests!$E$1:$E$505,R581)&amp;""))</f>
        <v/>
      </c>
      <c r="T581" s="32">
        <f>IF(R581="","",IF(S581="",1,COUNTIF(Guests!$E$6:$E$505,S581)))</f>
        <v/>
      </c>
      <c r="U581" s="32">
        <f>IF(R581="","",IF(S581="",1,IF(COUNTIF(S$1:S580,S581)=0,1,0)))</f>
        <v/>
      </c>
      <c r="V581" s="32">
        <f>IF(AND(R581&lt;&gt;"",G581="Attending",U581=1),MAX(0,H581+I581-T581),0)</f>
        <v/>
      </c>
      <c r="W581" s="32">
        <f>IF(AND(O581=1,R581=""),1,0)</f>
        <v/>
      </c>
      <c r="X581" s="32">
        <f>IF(B581="",0,H581+I581)</f>
        <v/>
      </c>
      <c r="Y581" s="32">
        <f>N(Y580)+O581</f>
        <v/>
      </c>
      <c r="Z581" s="32">
        <f>IF(O581=1,Y581,"")</f>
        <v/>
      </c>
      <c r="AA581" s="32">
        <f>IF(AND(W581=1,G581="Not sure yet"),1,0)</f>
        <v/>
      </c>
      <c r="AB581" s="32">
        <f>N(AB580)+AA581</f>
        <v/>
      </c>
      <c r="AC581" s="32">
        <f>IF(AA581=1,AB581,"")</f>
        <v/>
      </c>
      <c r="AD581" s="32">
        <f>IF(D581="","",IF(LEN(D581)=10,"+1"&amp;D581,IF(AND(LEN(D581)=11,LEFT(D581,1)="1"),"+"&amp;D581,IF(LEFT(C581,1)="+","+"&amp;D581,D581))))</f>
        <v/>
      </c>
      <c r="AE581" s="32">
        <f>IF(B581="","",PROPER(IFERROR(LEFT(B581,FIND(" ",B581)-1),B581)))</f>
        <v/>
      </c>
      <c r="AF581" s="32">
        <f>SUBSTITUTE(SUBSTITUTE(SUBSTITUTE(SUBSTITUTE(SUBSTITUTE(SUBSTITUTE(SUBSTITUTE(SUBSTITUTE(SUBSTITUTE(SUBSTITUTE(AE581,"%","%25"),"&amp;","%26"),"#","%23"),"+","%2B"),"=","%3D"),"?","%3F"),CHAR(34),"%22"),CHAR(10),"%0A"),CHAR(13),"")," ","+")</f>
        <v/>
      </c>
      <c r="AG581" s="32">
        <f>IF(OR(AD581="",AE581=""),"",'Start Here'!$B$20&amp;"#p="&amp;SUBSTITUTE(AD581,"+","%2B")&amp;"&amp;n="&amp;AF581&amp;"&amp;m="&amp;SUBSTITUTE('Start Here'!$B$24,"{name}",AF581))</f>
        <v/>
      </c>
      <c r="AH581" s="32">
        <f>N(AH580)+W581</f>
        <v/>
      </c>
      <c r="AI581" s="32">
        <f>IF(W581=1,AH581,"")</f>
        <v/>
      </c>
    </row>
    <row r="582">
      <c r="A582" s="32">
        <f>IF(INDEX('Form Responses'!$A:$A,ROW())="","",INDEX('Form Responses'!$A:$A,ROW()))</f>
        <v/>
      </c>
      <c r="B582" s="32">
        <f>TRIM(INDEX('Form Responses'!$B:$B,ROW())&amp;"")</f>
        <v/>
      </c>
      <c r="C582" s="32">
        <f>IF(B582="","",TRIM(INDEX('Form Responses'!$C:$C,ROW())&amp;""))</f>
        <v/>
      </c>
      <c r="D582" s="32">
        <f>SUBSTITUTE(SUBSTITUTE(SUBSTITUTE(SUBSTITUTE(SUBSTITUTE(SUBSTITUTE(SUBSTITUTE(SUBSTITUTE(C582," ",""),"-",""),"(",""),")",""),".",""),"+",""),"/",""),CHAR(160),"")</f>
        <v/>
      </c>
      <c r="E582" s="32">
        <f>IF(LEN(D582)&gt;=10,RIGHT(D582,10),D582)</f>
        <v/>
      </c>
      <c r="F582" s="32">
        <f>IF(B582="","",TRIM(INDEX('Form Responses'!$D:$D,ROW())&amp;""))</f>
        <v/>
      </c>
      <c r="G582" s="32">
        <f>IF(B582="","",IF(LEFT(TRIM(INDEX('Form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2" s="32">
        <f>IF(B582="","",MAX(0,IFERROR(INT(--(INDEX('Form Responses'!$F:$F,ROW())&amp;"")),1)))</f>
        <v/>
      </c>
      <c r="I582" s="32">
        <f>IF(B582="","",MAX(0,IFERROR(INT(--(INDEX('Form Responses'!$G:$G,ROW())&amp;"")),0)))</f>
        <v/>
      </c>
      <c r="J582" s="32">
        <f>IF(B582="","",TRIM(INDEX('Form Responses'!$H:$H,ROW())&amp;""))</f>
        <v/>
      </c>
      <c r="K582" s="32">
        <f>IF(B582="","",TRIM(INDEX('Form Responses'!$I:$I,ROW())&amp;""))</f>
        <v/>
      </c>
      <c r="L582" s="32">
        <f>IF(B582="","",TRIM(INDEX('Form Responses'!$J:$J,ROW())&amp;""))</f>
        <v/>
      </c>
      <c r="M582" s="32">
        <f>IF(B582="","",TRIM(INDEX('Form Responses'!$K:$K,ROW())&amp;""))</f>
        <v/>
      </c>
      <c r="N582" s="32">
        <f>IF(B582="","",IF(E582&lt;&gt;"","P"&amp;E582,"N"&amp;B582))</f>
        <v/>
      </c>
      <c r="O582" s="32">
        <f>IF(N582="",0,IF(COUNTIF(N583:N$602,N582)=0,1,0))</f>
        <v/>
      </c>
      <c r="P582" s="32">
        <f>IF(AND(O582=1,E582&lt;&gt;""),E582,"")</f>
        <v/>
      </c>
      <c r="Q582" s="32">
        <f>IF(O582=1,B582,"")</f>
        <v/>
      </c>
      <c r="R582" s="32">
        <f>IF(O582&lt;&gt;1,"",IF(E582&lt;&gt;"",IFERROR(MATCH(E582,Guests!$S$6:$S$505,0)+5,IFERROR(MATCH(B582,Guests!$A$6:$A$505,0)+5,"")),IFERROR(MATCH(B582,Guests!$A$6:$A$505,0)+5,"")))</f>
        <v/>
      </c>
      <c r="S582" s="32">
        <f>IF(R582="","",TRIM(INDEX(Guests!$E$1:$E$505,R582)&amp;""))</f>
        <v/>
      </c>
      <c r="T582" s="32">
        <f>IF(R582="","",IF(S582="",1,COUNTIF(Guests!$E$6:$E$505,S582)))</f>
        <v/>
      </c>
      <c r="U582" s="32">
        <f>IF(R582="","",IF(S582="",1,IF(COUNTIF(S$1:S581,S582)=0,1,0)))</f>
        <v/>
      </c>
      <c r="V582" s="32">
        <f>IF(AND(R582&lt;&gt;"",G582="Attending",U582=1),MAX(0,H582+I582-T582),0)</f>
        <v/>
      </c>
      <c r="W582" s="32">
        <f>IF(AND(O582=1,R582=""),1,0)</f>
        <v/>
      </c>
      <c r="X582" s="32">
        <f>IF(B582="",0,H582+I582)</f>
        <v/>
      </c>
      <c r="Y582" s="32">
        <f>N(Y581)+O582</f>
        <v/>
      </c>
      <c r="Z582" s="32">
        <f>IF(O582=1,Y582,"")</f>
        <v/>
      </c>
      <c r="AA582" s="32">
        <f>IF(AND(W582=1,G582="Not sure yet"),1,0)</f>
        <v/>
      </c>
      <c r="AB582" s="32">
        <f>N(AB581)+AA582</f>
        <v/>
      </c>
      <c r="AC582" s="32">
        <f>IF(AA582=1,AB582,"")</f>
        <v/>
      </c>
      <c r="AD582" s="32">
        <f>IF(D582="","",IF(LEN(D582)=10,"+1"&amp;D582,IF(AND(LEN(D582)=11,LEFT(D582,1)="1"),"+"&amp;D582,IF(LEFT(C582,1)="+","+"&amp;D582,D582))))</f>
        <v/>
      </c>
      <c r="AE582" s="32">
        <f>IF(B582="","",PROPER(IFERROR(LEFT(B582,FIND(" ",B582)-1),B582)))</f>
        <v/>
      </c>
      <c r="AF582" s="32">
        <f>SUBSTITUTE(SUBSTITUTE(SUBSTITUTE(SUBSTITUTE(SUBSTITUTE(SUBSTITUTE(SUBSTITUTE(SUBSTITUTE(SUBSTITUTE(SUBSTITUTE(AE582,"%","%25"),"&amp;","%26"),"#","%23"),"+","%2B"),"=","%3D"),"?","%3F"),CHAR(34),"%22"),CHAR(10),"%0A"),CHAR(13),"")," ","+")</f>
        <v/>
      </c>
      <c r="AG582" s="32">
        <f>IF(OR(AD582="",AE582=""),"",'Start Here'!$B$20&amp;"#p="&amp;SUBSTITUTE(AD582,"+","%2B")&amp;"&amp;n="&amp;AF582&amp;"&amp;m="&amp;SUBSTITUTE('Start Here'!$B$24,"{name}",AF582))</f>
        <v/>
      </c>
      <c r="AH582" s="32">
        <f>N(AH581)+W582</f>
        <v/>
      </c>
      <c r="AI582" s="32">
        <f>IF(W582=1,AH582,"")</f>
        <v/>
      </c>
    </row>
    <row r="583">
      <c r="A583" s="32">
        <f>IF(INDEX('Form Responses'!$A:$A,ROW())="","",INDEX('Form Responses'!$A:$A,ROW()))</f>
        <v/>
      </c>
      <c r="B583" s="32">
        <f>TRIM(INDEX('Form Responses'!$B:$B,ROW())&amp;"")</f>
        <v/>
      </c>
      <c r="C583" s="32">
        <f>IF(B583="","",TRIM(INDEX('Form Responses'!$C:$C,ROW())&amp;""))</f>
        <v/>
      </c>
      <c r="D583" s="32">
        <f>SUBSTITUTE(SUBSTITUTE(SUBSTITUTE(SUBSTITUTE(SUBSTITUTE(SUBSTITUTE(SUBSTITUTE(SUBSTITUTE(C583," ",""),"-",""),"(",""),")",""),".",""),"+",""),"/",""),CHAR(160),"")</f>
        <v/>
      </c>
      <c r="E583" s="32">
        <f>IF(LEN(D583)&gt;=10,RIGHT(D583,10),D583)</f>
        <v/>
      </c>
      <c r="F583" s="32">
        <f>IF(B583="","",TRIM(INDEX('Form Responses'!$D:$D,ROW())&amp;""))</f>
        <v/>
      </c>
      <c r="G583" s="32">
        <f>IF(B583="","",IF(LEFT(TRIM(INDEX('Form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3" s="32">
        <f>IF(B583="","",MAX(0,IFERROR(INT(--(INDEX('Form Responses'!$F:$F,ROW())&amp;"")),1)))</f>
        <v/>
      </c>
      <c r="I583" s="32">
        <f>IF(B583="","",MAX(0,IFERROR(INT(--(INDEX('Form Responses'!$G:$G,ROW())&amp;"")),0)))</f>
        <v/>
      </c>
      <c r="J583" s="32">
        <f>IF(B583="","",TRIM(INDEX('Form Responses'!$H:$H,ROW())&amp;""))</f>
        <v/>
      </c>
      <c r="K583" s="32">
        <f>IF(B583="","",TRIM(INDEX('Form Responses'!$I:$I,ROW())&amp;""))</f>
        <v/>
      </c>
      <c r="L583" s="32">
        <f>IF(B583="","",TRIM(INDEX('Form Responses'!$J:$J,ROW())&amp;""))</f>
        <v/>
      </c>
      <c r="M583" s="32">
        <f>IF(B583="","",TRIM(INDEX('Form Responses'!$K:$K,ROW())&amp;""))</f>
        <v/>
      </c>
      <c r="N583" s="32">
        <f>IF(B583="","",IF(E583&lt;&gt;"","P"&amp;E583,"N"&amp;B583))</f>
        <v/>
      </c>
      <c r="O583" s="32">
        <f>IF(N583="",0,IF(COUNTIF(N584:N$602,N583)=0,1,0))</f>
        <v/>
      </c>
      <c r="P583" s="32">
        <f>IF(AND(O583=1,E583&lt;&gt;""),E583,"")</f>
        <v/>
      </c>
      <c r="Q583" s="32">
        <f>IF(O583=1,B583,"")</f>
        <v/>
      </c>
      <c r="R583" s="32">
        <f>IF(O583&lt;&gt;1,"",IF(E583&lt;&gt;"",IFERROR(MATCH(E583,Guests!$S$6:$S$505,0)+5,IFERROR(MATCH(B583,Guests!$A$6:$A$505,0)+5,"")),IFERROR(MATCH(B583,Guests!$A$6:$A$505,0)+5,"")))</f>
        <v/>
      </c>
      <c r="S583" s="32">
        <f>IF(R583="","",TRIM(INDEX(Guests!$E$1:$E$505,R583)&amp;""))</f>
        <v/>
      </c>
      <c r="T583" s="32">
        <f>IF(R583="","",IF(S583="",1,COUNTIF(Guests!$E$6:$E$505,S583)))</f>
        <v/>
      </c>
      <c r="U583" s="32">
        <f>IF(R583="","",IF(S583="",1,IF(COUNTIF(S$1:S582,S583)=0,1,0)))</f>
        <v/>
      </c>
      <c r="V583" s="32">
        <f>IF(AND(R583&lt;&gt;"",G583="Attending",U583=1),MAX(0,H583+I583-T583),0)</f>
        <v/>
      </c>
      <c r="W583" s="32">
        <f>IF(AND(O583=1,R583=""),1,0)</f>
        <v/>
      </c>
      <c r="X583" s="32">
        <f>IF(B583="",0,H583+I583)</f>
        <v/>
      </c>
      <c r="Y583" s="32">
        <f>N(Y582)+O583</f>
        <v/>
      </c>
      <c r="Z583" s="32">
        <f>IF(O583=1,Y583,"")</f>
        <v/>
      </c>
      <c r="AA583" s="32">
        <f>IF(AND(W583=1,G583="Not sure yet"),1,0)</f>
        <v/>
      </c>
      <c r="AB583" s="32">
        <f>N(AB582)+AA583</f>
        <v/>
      </c>
      <c r="AC583" s="32">
        <f>IF(AA583=1,AB583,"")</f>
        <v/>
      </c>
      <c r="AD583" s="32">
        <f>IF(D583="","",IF(LEN(D583)=10,"+1"&amp;D583,IF(AND(LEN(D583)=11,LEFT(D583,1)="1"),"+"&amp;D583,IF(LEFT(C583,1)="+","+"&amp;D583,D583))))</f>
        <v/>
      </c>
      <c r="AE583" s="32">
        <f>IF(B583="","",PROPER(IFERROR(LEFT(B583,FIND(" ",B583)-1),B583)))</f>
        <v/>
      </c>
      <c r="AF583" s="32">
        <f>SUBSTITUTE(SUBSTITUTE(SUBSTITUTE(SUBSTITUTE(SUBSTITUTE(SUBSTITUTE(SUBSTITUTE(SUBSTITUTE(SUBSTITUTE(SUBSTITUTE(AE583,"%","%25"),"&amp;","%26"),"#","%23"),"+","%2B"),"=","%3D"),"?","%3F"),CHAR(34),"%22"),CHAR(10),"%0A"),CHAR(13),"")," ","+")</f>
        <v/>
      </c>
      <c r="AG583" s="32">
        <f>IF(OR(AD583="",AE583=""),"",'Start Here'!$B$20&amp;"#p="&amp;SUBSTITUTE(AD583,"+","%2B")&amp;"&amp;n="&amp;AF583&amp;"&amp;m="&amp;SUBSTITUTE('Start Here'!$B$24,"{name}",AF583))</f>
        <v/>
      </c>
      <c r="AH583" s="32">
        <f>N(AH582)+W583</f>
        <v/>
      </c>
      <c r="AI583" s="32">
        <f>IF(W583=1,AH583,"")</f>
        <v/>
      </c>
    </row>
    <row r="584">
      <c r="A584" s="32">
        <f>IF(INDEX('Form Responses'!$A:$A,ROW())="","",INDEX('Form Responses'!$A:$A,ROW()))</f>
        <v/>
      </c>
      <c r="B584" s="32">
        <f>TRIM(INDEX('Form Responses'!$B:$B,ROW())&amp;"")</f>
        <v/>
      </c>
      <c r="C584" s="32">
        <f>IF(B584="","",TRIM(INDEX('Form Responses'!$C:$C,ROW())&amp;""))</f>
        <v/>
      </c>
      <c r="D584" s="32">
        <f>SUBSTITUTE(SUBSTITUTE(SUBSTITUTE(SUBSTITUTE(SUBSTITUTE(SUBSTITUTE(SUBSTITUTE(SUBSTITUTE(C584," ",""),"-",""),"(",""),")",""),".",""),"+",""),"/",""),CHAR(160),"")</f>
        <v/>
      </c>
      <c r="E584" s="32">
        <f>IF(LEN(D584)&gt;=10,RIGHT(D584,10),D584)</f>
        <v/>
      </c>
      <c r="F584" s="32">
        <f>IF(B584="","",TRIM(INDEX('Form Responses'!$D:$D,ROW())&amp;""))</f>
        <v/>
      </c>
      <c r="G584" s="32">
        <f>IF(B584="","",IF(LEFT(TRIM(INDEX('Form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4" s="32">
        <f>IF(B584="","",MAX(0,IFERROR(INT(--(INDEX('Form Responses'!$F:$F,ROW())&amp;"")),1)))</f>
        <v/>
      </c>
      <c r="I584" s="32">
        <f>IF(B584="","",MAX(0,IFERROR(INT(--(INDEX('Form Responses'!$G:$G,ROW())&amp;"")),0)))</f>
        <v/>
      </c>
      <c r="J584" s="32">
        <f>IF(B584="","",TRIM(INDEX('Form Responses'!$H:$H,ROW())&amp;""))</f>
        <v/>
      </c>
      <c r="K584" s="32">
        <f>IF(B584="","",TRIM(INDEX('Form Responses'!$I:$I,ROW())&amp;""))</f>
        <v/>
      </c>
      <c r="L584" s="32">
        <f>IF(B584="","",TRIM(INDEX('Form Responses'!$J:$J,ROW())&amp;""))</f>
        <v/>
      </c>
      <c r="M584" s="32">
        <f>IF(B584="","",TRIM(INDEX('Form Responses'!$K:$K,ROW())&amp;""))</f>
        <v/>
      </c>
      <c r="N584" s="32">
        <f>IF(B584="","",IF(E584&lt;&gt;"","P"&amp;E584,"N"&amp;B584))</f>
        <v/>
      </c>
      <c r="O584" s="32">
        <f>IF(N584="",0,IF(COUNTIF(N585:N$602,N584)=0,1,0))</f>
        <v/>
      </c>
      <c r="P584" s="32">
        <f>IF(AND(O584=1,E584&lt;&gt;""),E584,"")</f>
        <v/>
      </c>
      <c r="Q584" s="32">
        <f>IF(O584=1,B584,"")</f>
        <v/>
      </c>
      <c r="R584" s="32">
        <f>IF(O584&lt;&gt;1,"",IF(E584&lt;&gt;"",IFERROR(MATCH(E584,Guests!$S$6:$S$505,0)+5,IFERROR(MATCH(B584,Guests!$A$6:$A$505,0)+5,"")),IFERROR(MATCH(B584,Guests!$A$6:$A$505,0)+5,"")))</f>
        <v/>
      </c>
      <c r="S584" s="32">
        <f>IF(R584="","",TRIM(INDEX(Guests!$E$1:$E$505,R584)&amp;""))</f>
        <v/>
      </c>
      <c r="T584" s="32">
        <f>IF(R584="","",IF(S584="",1,COUNTIF(Guests!$E$6:$E$505,S584)))</f>
        <v/>
      </c>
      <c r="U584" s="32">
        <f>IF(R584="","",IF(S584="",1,IF(COUNTIF(S$1:S583,S584)=0,1,0)))</f>
        <v/>
      </c>
      <c r="V584" s="32">
        <f>IF(AND(R584&lt;&gt;"",G584="Attending",U584=1),MAX(0,H584+I584-T584),0)</f>
        <v/>
      </c>
      <c r="W584" s="32">
        <f>IF(AND(O584=1,R584=""),1,0)</f>
        <v/>
      </c>
      <c r="X584" s="32">
        <f>IF(B584="",0,H584+I584)</f>
        <v/>
      </c>
      <c r="Y584" s="32">
        <f>N(Y583)+O584</f>
        <v/>
      </c>
      <c r="Z584" s="32">
        <f>IF(O584=1,Y584,"")</f>
        <v/>
      </c>
      <c r="AA584" s="32">
        <f>IF(AND(W584=1,G584="Not sure yet"),1,0)</f>
        <v/>
      </c>
      <c r="AB584" s="32">
        <f>N(AB583)+AA584</f>
        <v/>
      </c>
      <c r="AC584" s="32">
        <f>IF(AA584=1,AB584,"")</f>
        <v/>
      </c>
      <c r="AD584" s="32">
        <f>IF(D584="","",IF(LEN(D584)=10,"+1"&amp;D584,IF(AND(LEN(D584)=11,LEFT(D584,1)="1"),"+"&amp;D584,IF(LEFT(C584,1)="+","+"&amp;D584,D584))))</f>
        <v/>
      </c>
      <c r="AE584" s="32">
        <f>IF(B584="","",PROPER(IFERROR(LEFT(B584,FIND(" ",B584)-1),B584)))</f>
        <v/>
      </c>
      <c r="AF584" s="32">
        <f>SUBSTITUTE(SUBSTITUTE(SUBSTITUTE(SUBSTITUTE(SUBSTITUTE(SUBSTITUTE(SUBSTITUTE(SUBSTITUTE(SUBSTITUTE(SUBSTITUTE(AE584,"%","%25"),"&amp;","%26"),"#","%23"),"+","%2B"),"=","%3D"),"?","%3F"),CHAR(34),"%22"),CHAR(10),"%0A"),CHAR(13),"")," ","+")</f>
        <v/>
      </c>
      <c r="AG584" s="32">
        <f>IF(OR(AD584="",AE584=""),"",'Start Here'!$B$20&amp;"#p="&amp;SUBSTITUTE(AD584,"+","%2B")&amp;"&amp;n="&amp;AF584&amp;"&amp;m="&amp;SUBSTITUTE('Start Here'!$B$24,"{name}",AF584))</f>
        <v/>
      </c>
      <c r="AH584" s="32">
        <f>N(AH583)+W584</f>
        <v/>
      </c>
      <c r="AI584" s="32">
        <f>IF(W584=1,AH584,"")</f>
        <v/>
      </c>
    </row>
    <row r="585">
      <c r="A585" s="32">
        <f>IF(INDEX('Form Responses'!$A:$A,ROW())="","",INDEX('Form Responses'!$A:$A,ROW()))</f>
        <v/>
      </c>
      <c r="B585" s="32">
        <f>TRIM(INDEX('Form Responses'!$B:$B,ROW())&amp;"")</f>
        <v/>
      </c>
      <c r="C585" s="32">
        <f>IF(B585="","",TRIM(INDEX('Form Responses'!$C:$C,ROW())&amp;""))</f>
        <v/>
      </c>
      <c r="D585" s="32">
        <f>SUBSTITUTE(SUBSTITUTE(SUBSTITUTE(SUBSTITUTE(SUBSTITUTE(SUBSTITUTE(SUBSTITUTE(SUBSTITUTE(C585," ",""),"-",""),"(",""),")",""),".",""),"+",""),"/",""),CHAR(160),"")</f>
        <v/>
      </c>
      <c r="E585" s="32">
        <f>IF(LEN(D585)&gt;=10,RIGHT(D585,10),D585)</f>
        <v/>
      </c>
      <c r="F585" s="32">
        <f>IF(B585="","",TRIM(INDEX('Form Responses'!$D:$D,ROW())&amp;""))</f>
        <v/>
      </c>
      <c r="G585" s="32">
        <f>IF(B585="","",IF(LEFT(TRIM(INDEX('Form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5" s="32">
        <f>IF(B585="","",MAX(0,IFERROR(INT(--(INDEX('Form Responses'!$F:$F,ROW())&amp;"")),1)))</f>
        <v/>
      </c>
      <c r="I585" s="32">
        <f>IF(B585="","",MAX(0,IFERROR(INT(--(INDEX('Form Responses'!$G:$G,ROW())&amp;"")),0)))</f>
        <v/>
      </c>
      <c r="J585" s="32">
        <f>IF(B585="","",TRIM(INDEX('Form Responses'!$H:$H,ROW())&amp;""))</f>
        <v/>
      </c>
      <c r="K585" s="32">
        <f>IF(B585="","",TRIM(INDEX('Form Responses'!$I:$I,ROW())&amp;""))</f>
        <v/>
      </c>
      <c r="L585" s="32">
        <f>IF(B585="","",TRIM(INDEX('Form Responses'!$J:$J,ROW())&amp;""))</f>
        <v/>
      </c>
      <c r="M585" s="32">
        <f>IF(B585="","",TRIM(INDEX('Form Responses'!$K:$K,ROW())&amp;""))</f>
        <v/>
      </c>
      <c r="N585" s="32">
        <f>IF(B585="","",IF(E585&lt;&gt;"","P"&amp;E585,"N"&amp;B585))</f>
        <v/>
      </c>
      <c r="O585" s="32">
        <f>IF(N585="",0,IF(COUNTIF(N586:N$602,N585)=0,1,0))</f>
        <v/>
      </c>
      <c r="P585" s="32">
        <f>IF(AND(O585=1,E585&lt;&gt;""),E585,"")</f>
        <v/>
      </c>
      <c r="Q585" s="32">
        <f>IF(O585=1,B585,"")</f>
        <v/>
      </c>
      <c r="R585" s="32">
        <f>IF(O585&lt;&gt;1,"",IF(E585&lt;&gt;"",IFERROR(MATCH(E585,Guests!$S$6:$S$505,0)+5,IFERROR(MATCH(B585,Guests!$A$6:$A$505,0)+5,"")),IFERROR(MATCH(B585,Guests!$A$6:$A$505,0)+5,"")))</f>
        <v/>
      </c>
      <c r="S585" s="32">
        <f>IF(R585="","",TRIM(INDEX(Guests!$E$1:$E$505,R585)&amp;""))</f>
        <v/>
      </c>
      <c r="T585" s="32">
        <f>IF(R585="","",IF(S585="",1,COUNTIF(Guests!$E$6:$E$505,S585)))</f>
        <v/>
      </c>
      <c r="U585" s="32">
        <f>IF(R585="","",IF(S585="",1,IF(COUNTIF(S$1:S584,S585)=0,1,0)))</f>
        <v/>
      </c>
      <c r="V585" s="32">
        <f>IF(AND(R585&lt;&gt;"",G585="Attending",U585=1),MAX(0,H585+I585-T585),0)</f>
        <v/>
      </c>
      <c r="W585" s="32">
        <f>IF(AND(O585=1,R585=""),1,0)</f>
        <v/>
      </c>
      <c r="X585" s="32">
        <f>IF(B585="",0,H585+I585)</f>
        <v/>
      </c>
      <c r="Y585" s="32">
        <f>N(Y584)+O585</f>
        <v/>
      </c>
      <c r="Z585" s="32">
        <f>IF(O585=1,Y585,"")</f>
        <v/>
      </c>
      <c r="AA585" s="32">
        <f>IF(AND(W585=1,G585="Not sure yet"),1,0)</f>
        <v/>
      </c>
      <c r="AB585" s="32">
        <f>N(AB584)+AA585</f>
        <v/>
      </c>
      <c r="AC585" s="32">
        <f>IF(AA585=1,AB585,"")</f>
        <v/>
      </c>
      <c r="AD585" s="32">
        <f>IF(D585="","",IF(LEN(D585)=10,"+1"&amp;D585,IF(AND(LEN(D585)=11,LEFT(D585,1)="1"),"+"&amp;D585,IF(LEFT(C585,1)="+","+"&amp;D585,D585))))</f>
        <v/>
      </c>
      <c r="AE585" s="32">
        <f>IF(B585="","",PROPER(IFERROR(LEFT(B585,FIND(" ",B585)-1),B585)))</f>
        <v/>
      </c>
      <c r="AF585" s="32">
        <f>SUBSTITUTE(SUBSTITUTE(SUBSTITUTE(SUBSTITUTE(SUBSTITUTE(SUBSTITUTE(SUBSTITUTE(SUBSTITUTE(SUBSTITUTE(SUBSTITUTE(AE585,"%","%25"),"&amp;","%26"),"#","%23"),"+","%2B"),"=","%3D"),"?","%3F"),CHAR(34),"%22"),CHAR(10),"%0A"),CHAR(13),"")," ","+")</f>
        <v/>
      </c>
      <c r="AG585" s="32">
        <f>IF(OR(AD585="",AE585=""),"",'Start Here'!$B$20&amp;"#p="&amp;SUBSTITUTE(AD585,"+","%2B")&amp;"&amp;n="&amp;AF585&amp;"&amp;m="&amp;SUBSTITUTE('Start Here'!$B$24,"{name}",AF585))</f>
        <v/>
      </c>
      <c r="AH585" s="32">
        <f>N(AH584)+W585</f>
        <v/>
      </c>
      <c r="AI585" s="32">
        <f>IF(W585=1,AH585,"")</f>
        <v/>
      </c>
    </row>
    <row r="586">
      <c r="A586" s="32">
        <f>IF(INDEX('Form Responses'!$A:$A,ROW())="","",INDEX('Form Responses'!$A:$A,ROW()))</f>
        <v/>
      </c>
      <c r="B586" s="32">
        <f>TRIM(INDEX('Form Responses'!$B:$B,ROW())&amp;"")</f>
        <v/>
      </c>
      <c r="C586" s="32">
        <f>IF(B586="","",TRIM(INDEX('Form Responses'!$C:$C,ROW())&amp;""))</f>
        <v/>
      </c>
      <c r="D586" s="32">
        <f>SUBSTITUTE(SUBSTITUTE(SUBSTITUTE(SUBSTITUTE(SUBSTITUTE(SUBSTITUTE(SUBSTITUTE(SUBSTITUTE(C586," ",""),"-",""),"(",""),")",""),".",""),"+",""),"/",""),CHAR(160),"")</f>
        <v/>
      </c>
      <c r="E586" s="32">
        <f>IF(LEN(D586)&gt;=10,RIGHT(D586,10),D586)</f>
        <v/>
      </c>
      <c r="F586" s="32">
        <f>IF(B586="","",TRIM(INDEX('Form Responses'!$D:$D,ROW())&amp;""))</f>
        <v/>
      </c>
      <c r="G586" s="32">
        <f>IF(B586="","",IF(LEFT(TRIM(INDEX('Form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6" s="32">
        <f>IF(B586="","",MAX(0,IFERROR(INT(--(INDEX('Form Responses'!$F:$F,ROW())&amp;"")),1)))</f>
        <v/>
      </c>
      <c r="I586" s="32">
        <f>IF(B586="","",MAX(0,IFERROR(INT(--(INDEX('Form Responses'!$G:$G,ROW())&amp;"")),0)))</f>
        <v/>
      </c>
      <c r="J586" s="32">
        <f>IF(B586="","",TRIM(INDEX('Form Responses'!$H:$H,ROW())&amp;""))</f>
        <v/>
      </c>
      <c r="K586" s="32">
        <f>IF(B586="","",TRIM(INDEX('Form Responses'!$I:$I,ROW())&amp;""))</f>
        <v/>
      </c>
      <c r="L586" s="32">
        <f>IF(B586="","",TRIM(INDEX('Form Responses'!$J:$J,ROW())&amp;""))</f>
        <v/>
      </c>
      <c r="M586" s="32">
        <f>IF(B586="","",TRIM(INDEX('Form Responses'!$K:$K,ROW())&amp;""))</f>
        <v/>
      </c>
      <c r="N586" s="32">
        <f>IF(B586="","",IF(E586&lt;&gt;"","P"&amp;E586,"N"&amp;B586))</f>
        <v/>
      </c>
      <c r="O586" s="32">
        <f>IF(N586="",0,IF(COUNTIF(N587:N$602,N586)=0,1,0))</f>
        <v/>
      </c>
      <c r="P586" s="32">
        <f>IF(AND(O586=1,E586&lt;&gt;""),E586,"")</f>
        <v/>
      </c>
      <c r="Q586" s="32">
        <f>IF(O586=1,B586,"")</f>
        <v/>
      </c>
      <c r="R586" s="32">
        <f>IF(O586&lt;&gt;1,"",IF(E586&lt;&gt;"",IFERROR(MATCH(E586,Guests!$S$6:$S$505,0)+5,IFERROR(MATCH(B586,Guests!$A$6:$A$505,0)+5,"")),IFERROR(MATCH(B586,Guests!$A$6:$A$505,0)+5,"")))</f>
        <v/>
      </c>
      <c r="S586" s="32">
        <f>IF(R586="","",TRIM(INDEX(Guests!$E$1:$E$505,R586)&amp;""))</f>
        <v/>
      </c>
      <c r="T586" s="32">
        <f>IF(R586="","",IF(S586="",1,COUNTIF(Guests!$E$6:$E$505,S586)))</f>
        <v/>
      </c>
      <c r="U586" s="32">
        <f>IF(R586="","",IF(S586="",1,IF(COUNTIF(S$1:S585,S586)=0,1,0)))</f>
        <v/>
      </c>
      <c r="V586" s="32">
        <f>IF(AND(R586&lt;&gt;"",G586="Attending",U586=1),MAX(0,H586+I586-T586),0)</f>
        <v/>
      </c>
      <c r="W586" s="32">
        <f>IF(AND(O586=1,R586=""),1,0)</f>
        <v/>
      </c>
      <c r="X586" s="32">
        <f>IF(B586="",0,H586+I586)</f>
        <v/>
      </c>
      <c r="Y586" s="32">
        <f>N(Y585)+O586</f>
        <v/>
      </c>
      <c r="Z586" s="32">
        <f>IF(O586=1,Y586,"")</f>
        <v/>
      </c>
      <c r="AA586" s="32">
        <f>IF(AND(W586=1,G586="Not sure yet"),1,0)</f>
        <v/>
      </c>
      <c r="AB586" s="32">
        <f>N(AB585)+AA586</f>
        <v/>
      </c>
      <c r="AC586" s="32">
        <f>IF(AA586=1,AB586,"")</f>
        <v/>
      </c>
      <c r="AD586" s="32">
        <f>IF(D586="","",IF(LEN(D586)=10,"+1"&amp;D586,IF(AND(LEN(D586)=11,LEFT(D586,1)="1"),"+"&amp;D586,IF(LEFT(C586,1)="+","+"&amp;D586,D586))))</f>
        <v/>
      </c>
      <c r="AE586" s="32">
        <f>IF(B586="","",PROPER(IFERROR(LEFT(B586,FIND(" ",B586)-1),B586)))</f>
        <v/>
      </c>
      <c r="AF586" s="32">
        <f>SUBSTITUTE(SUBSTITUTE(SUBSTITUTE(SUBSTITUTE(SUBSTITUTE(SUBSTITUTE(SUBSTITUTE(SUBSTITUTE(SUBSTITUTE(SUBSTITUTE(AE586,"%","%25"),"&amp;","%26"),"#","%23"),"+","%2B"),"=","%3D"),"?","%3F"),CHAR(34),"%22"),CHAR(10),"%0A"),CHAR(13),"")," ","+")</f>
        <v/>
      </c>
      <c r="AG586" s="32">
        <f>IF(OR(AD586="",AE586=""),"",'Start Here'!$B$20&amp;"#p="&amp;SUBSTITUTE(AD586,"+","%2B")&amp;"&amp;n="&amp;AF586&amp;"&amp;m="&amp;SUBSTITUTE('Start Here'!$B$24,"{name}",AF586))</f>
        <v/>
      </c>
      <c r="AH586" s="32">
        <f>N(AH585)+W586</f>
        <v/>
      </c>
      <c r="AI586" s="32">
        <f>IF(W586=1,AH586,"")</f>
        <v/>
      </c>
    </row>
    <row r="587">
      <c r="A587" s="32">
        <f>IF(INDEX('Form Responses'!$A:$A,ROW())="","",INDEX('Form Responses'!$A:$A,ROW()))</f>
        <v/>
      </c>
      <c r="B587" s="32">
        <f>TRIM(INDEX('Form Responses'!$B:$B,ROW())&amp;"")</f>
        <v/>
      </c>
      <c r="C587" s="32">
        <f>IF(B587="","",TRIM(INDEX('Form Responses'!$C:$C,ROW())&amp;""))</f>
        <v/>
      </c>
      <c r="D587" s="32">
        <f>SUBSTITUTE(SUBSTITUTE(SUBSTITUTE(SUBSTITUTE(SUBSTITUTE(SUBSTITUTE(SUBSTITUTE(SUBSTITUTE(C587," ",""),"-",""),"(",""),")",""),".",""),"+",""),"/",""),CHAR(160),"")</f>
        <v/>
      </c>
      <c r="E587" s="32">
        <f>IF(LEN(D587)&gt;=10,RIGHT(D587,10),D587)</f>
        <v/>
      </c>
      <c r="F587" s="32">
        <f>IF(B587="","",TRIM(INDEX('Form Responses'!$D:$D,ROW())&amp;""))</f>
        <v/>
      </c>
      <c r="G587" s="32">
        <f>IF(B587="","",IF(LEFT(TRIM(INDEX('Form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7" s="32">
        <f>IF(B587="","",MAX(0,IFERROR(INT(--(INDEX('Form Responses'!$F:$F,ROW())&amp;"")),1)))</f>
        <v/>
      </c>
      <c r="I587" s="32">
        <f>IF(B587="","",MAX(0,IFERROR(INT(--(INDEX('Form Responses'!$G:$G,ROW())&amp;"")),0)))</f>
        <v/>
      </c>
      <c r="J587" s="32">
        <f>IF(B587="","",TRIM(INDEX('Form Responses'!$H:$H,ROW())&amp;""))</f>
        <v/>
      </c>
      <c r="K587" s="32">
        <f>IF(B587="","",TRIM(INDEX('Form Responses'!$I:$I,ROW())&amp;""))</f>
        <v/>
      </c>
      <c r="L587" s="32">
        <f>IF(B587="","",TRIM(INDEX('Form Responses'!$J:$J,ROW())&amp;""))</f>
        <v/>
      </c>
      <c r="M587" s="32">
        <f>IF(B587="","",TRIM(INDEX('Form Responses'!$K:$K,ROW())&amp;""))</f>
        <v/>
      </c>
      <c r="N587" s="32">
        <f>IF(B587="","",IF(E587&lt;&gt;"","P"&amp;E587,"N"&amp;B587))</f>
        <v/>
      </c>
      <c r="O587" s="32">
        <f>IF(N587="",0,IF(COUNTIF(N588:N$602,N587)=0,1,0))</f>
        <v/>
      </c>
      <c r="P587" s="32">
        <f>IF(AND(O587=1,E587&lt;&gt;""),E587,"")</f>
        <v/>
      </c>
      <c r="Q587" s="32">
        <f>IF(O587=1,B587,"")</f>
        <v/>
      </c>
      <c r="R587" s="32">
        <f>IF(O587&lt;&gt;1,"",IF(E587&lt;&gt;"",IFERROR(MATCH(E587,Guests!$S$6:$S$505,0)+5,IFERROR(MATCH(B587,Guests!$A$6:$A$505,0)+5,"")),IFERROR(MATCH(B587,Guests!$A$6:$A$505,0)+5,"")))</f>
        <v/>
      </c>
      <c r="S587" s="32">
        <f>IF(R587="","",TRIM(INDEX(Guests!$E$1:$E$505,R587)&amp;""))</f>
        <v/>
      </c>
      <c r="T587" s="32">
        <f>IF(R587="","",IF(S587="",1,COUNTIF(Guests!$E$6:$E$505,S587)))</f>
        <v/>
      </c>
      <c r="U587" s="32">
        <f>IF(R587="","",IF(S587="",1,IF(COUNTIF(S$1:S586,S587)=0,1,0)))</f>
        <v/>
      </c>
      <c r="V587" s="32">
        <f>IF(AND(R587&lt;&gt;"",G587="Attending",U587=1),MAX(0,H587+I587-T587),0)</f>
        <v/>
      </c>
      <c r="W587" s="32">
        <f>IF(AND(O587=1,R587=""),1,0)</f>
        <v/>
      </c>
      <c r="X587" s="32">
        <f>IF(B587="",0,H587+I587)</f>
        <v/>
      </c>
      <c r="Y587" s="32">
        <f>N(Y586)+O587</f>
        <v/>
      </c>
      <c r="Z587" s="32">
        <f>IF(O587=1,Y587,"")</f>
        <v/>
      </c>
      <c r="AA587" s="32">
        <f>IF(AND(W587=1,G587="Not sure yet"),1,0)</f>
        <v/>
      </c>
      <c r="AB587" s="32">
        <f>N(AB586)+AA587</f>
        <v/>
      </c>
      <c r="AC587" s="32">
        <f>IF(AA587=1,AB587,"")</f>
        <v/>
      </c>
      <c r="AD587" s="32">
        <f>IF(D587="","",IF(LEN(D587)=10,"+1"&amp;D587,IF(AND(LEN(D587)=11,LEFT(D587,1)="1"),"+"&amp;D587,IF(LEFT(C587,1)="+","+"&amp;D587,D587))))</f>
        <v/>
      </c>
      <c r="AE587" s="32">
        <f>IF(B587="","",PROPER(IFERROR(LEFT(B587,FIND(" ",B587)-1),B587)))</f>
        <v/>
      </c>
      <c r="AF587" s="32">
        <f>SUBSTITUTE(SUBSTITUTE(SUBSTITUTE(SUBSTITUTE(SUBSTITUTE(SUBSTITUTE(SUBSTITUTE(SUBSTITUTE(SUBSTITUTE(SUBSTITUTE(AE587,"%","%25"),"&amp;","%26"),"#","%23"),"+","%2B"),"=","%3D"),"?","%3F"),CHAR(34),"%22"),CHAR(10),"%0A"),CHAR(13),"")," ","+")</f>
        <v/>
      </c>
      <c r="AG587" s="32">
        <f>IF(OR(AD587="",AE587=""),"",'Start Here'!$B$20&amp;"#p="&amp;SUBSTITUTE(AD587,"+","%2B")&amp;"&amp;n="&amp;AF587&amp;"&amp;m="&amp;SUBSTITUTE('Start Here'!$B$24,"{name}",AF587))</f>
        <v/>
      </c>
      <c r="AH587" s="32">
        <f>N(AH586)+W587</f>
        <v/>
      </c>
      <c r="AI587" s="32">
        <f>IF(W587=1,AH587,"")</f>
        <v/>
      </c>
    </row>
    <row r="588">
      <c r="A588" s="32">
        <f>IF(INDEX('Form Responses'!$A:$A,ROW())="","",INDEX('Form Responses'!$A:$A,ROW()))</f>
        <v/>
      </c>
      <c r="B588" s="32">
        <f>TRIM(INDEX('Form Responses'!$B:$B,ROW())&amp;"")</f>
        <v/>
      </c>
      <c r="C588" s="32">
        <f>IF(B588="","",TRIM(INDEX('Form Responses'!$C:$C,ROW())&amp;""))</f>
        <v/>
      </c>
      <c r="D588" s="32">
        <f>SUBSTITUTE(SUBSTITUTE(SUBSTITUTE(SUBSTITUTE(SUBSTITUTE(SUBSTITUTE(SUBSTITUTE(SUBSTITUTE(C588," ",""),"-",""),"(",""),")",""),".",""),"+",""),"/",""),CHAR(160),"")</f>
        <v/>
      </c>
      <c r="E588" s="32">
        <f>IF(LEN(D588)&gt;=10,RIGHT(D588,10),D588)</f>
        <v/>
      </c>
      <c r="F588" s="32">
        <f>IF(B588="","",TRIM(INDEX('Form Responses'!$D:$D,ROW())&amp;""))</f>
        <v/>
      </c>
      <c r="G588" s="32">
        <f>IF(B588="","",IF(LEFT(TRIM(INDEX('Form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8" s="32">
        <f>IF(B588="","",MAX(0,IFERROR(INT(--(INDEX('Form Responses'!$F:$F,ROW())&amp;"")),1)))</f>
        <v/>
      </c>
      <c r="I588" s="32">
        <f>IF(B588="","",MAX(0,IFERROR(INT(--(INDEX('Form Responses'!$G:$G,ROW())&amp;"")),0)))</f>
        <v/>
      </c>
      <c r="J588" s="32">
        <f>IF(B588="","",TRIM(INDEX('Form Responses'!$H:$H,ROW())&amp;""))</f>
        <v/>
      </c>
      <c r="K588" s="32">
        <f>IF(B588="","",TRIM(INDEX('Form Responses'!$I:$I,ROW())&amp;""))</f>
        <v/>
      </c>
      <c r="L588" s="32">
        <f>IF(B588="","",TRIM(INDEX('Form Responses'!$J:$J,ROW())&amp;""))</f>
        <v/>
      </c>
      <c r="M588" s="32">
        <f>IF(B588="","",TRIM(INDEX('Form Responses'!$K:$K,ROW())&amp;""))</f>
        <v/>
      </c>
      <c r="N588" s="32">
        <f>IF(B588="","",IF(E588&lt;&gt;"","P"&amp;E588,"N"&amp;B588))</f>
        <v/>
      </c>
      <c r="O588" s="32">
        <f>IF(N588="",0,IF(COUNTIF(N589:N$602,N588)=0,1,0))</f>
        <v/>
      </c>
      <c r="P588" s="32">
        <f>IF(AND(O588=1,E588&lt;&gt;""),E588,"")</f>
        <v/>
      </c>
      <c r="Q588" s="32">
        <f>IF(O588=1,B588,"")</f>
        <v/>
      </c>
      <c r="R588" s="32">
        <f>IF(O588&lt;&gt;1,"",IF(E588&lt;&gt;"",IFERROR(MATCH(E588,Guests!$S$6:$S$505,0)+5,IFERROR(MATCH(B588,Guests!$A$6:$A$505,0)+5,"")),IFERROR(MATCH(B588,Guests!$A$6:$A$505,0)+5,"")))</f>
        <v/>
      </c>
      <c r="S588" s="32">
        <f>IF(R588="","",TRIM(INDEX(Guests!$E$1:$E$505,R588)&amp;""))</f>
        <v/>
      </c>
      <c r="T588" s="32">
        <f>IF(R588="","",IF(S588="",1,COUNTIF(Guests!$E$6:$E$505,S588)))</f>
        <v/>
      </c>
      <c r="U588" s="32">
        <f>IF(R588="","",IF(S588="",1,IF(COUNTIF(S$1:S587,S588)=0,1,0)))</f>
        <v/>
      </c>
      <c r="V588" s="32">
        <f>IF(AND(R588&lt;&gt;"",G588="Attending",U588=1),MAX(0,H588+I588-T588),0)</f>
        <v/>
      </c>
      <c r="W588" s="32">
        <f>IF(AND(O588=1,R588=""),1,0)</f>
        <v/>
      </c>
      <c r="X588" s="32">
        <f>IF(B588="",0,H588+I588)</f>
        <v/>
      </c>
      <c r="Y588" s="32">
        <f>N(Y587)+O588</f>
        <v/>
      </c>
      <c r="Z588" s="32">
        <f>IF(O588=1,Y588,"")</f>
        <v/>
      </c>
      <c r="AA588" s="32">
        <f>IF(AND(W588=1,G588="Not sure yet"),1,0)</f>
        <v/>
      </c>
      <c r="AB588" s="32">
        <f>N(AB587)+AA588</f>
        <v/>
      </c>
      <c r="AC588" s="32">
        <f>IF(AA588=1,AB588,"")</f>
        <v/>
      </c>
      <c r="AD588" s="32">
        <f>IF(D588="","",IF(LEN(D588)=10,"+1"&amp;D588,IF(AND(LEN(D588)=11,LEFT(D588,1)="1"),"+"&amp;D588,IF(LEFT(C588,1)="+","+"&amp;D588,D588))))</f>
        <v/>
      </c>
      <c r="AE588" s="32">
        <f>IF(B588="","",PROPER(IFERROR(LEFT(B588,FIND(" ",B588)-1),B588)))</f>
        <v/>
      </c>
      <c r="AF588" s="32">
        <f>SUBSTITUTE(SUBSTITUTE(SUBSTITUTE(SUBSTITUTE(SUBSTITUTE(SUBSTITUTE(SUBSTITUTE(SUBSTITUTE(SUBSTITUTE(SUBSTITUTE(AE588,"%","%25"),"&amp;","%26"),"#","%23"),"+","%2B"),"=","%3D"),"?","%3F"),CHAR(34),"%22"),CHAR(10),"%0A"),CHAR(13),"")," ","+")</f>
        <v/>
      </c>
      <c r="AG588" s="32">
        <f>IF(OR(AD588="",AE588=""),"",'Start Here'!$B$20&amp;"#p="&amp;SUBSTITUTE(AD588,"+","%2B")&amp;"&amp;n="&amp;AF588&amp;"&amp;m="&amp;SUBSTITUTE('Start Here'!$B$24,"{name}",AF588))</f>
        <v/>
      </c>
      <c r="AH588" s="32">
        <f>N(AH587)+W588</f>
        <v/>
      </c>
      <c r="AI588" s="32">
        <f>IF(W588=1,AH588,"")</f>
        <v/>
      </c>
    </row>
    <row r="589">
      <c r="A589" s="32">
        <f>IF(INDEX('Form Responses'!$A:$A,ROW())="","",INDEX('Form Responses'!$A:$A,ROW()))</f>
        <v/>
      </c>
      <c r="B589" s="32">
        <f>TRIM(INDEX('Form Responses'!$B:$B,ROW())&amp;"")</f>
        <v/>
      </c>
      <c r="C589" s="32">
        <f>IF(B589="","",TRIM(INDEX('Form Responses'!$C:$C,ROW())&amp;""))</f>
        <v/>
      </c>
      <c r="D589" s="32">
        <f>SUBSTITUTE(SUBSTITUTE(SUBSTITUTE(SUBSTITUTE(SUBSTITUTE(SUBSTITUTE(SUBSTITUTE(SUBSTITUTE(C589," ",""),"-",""),"(",""),")",""),".",""),"+",""),"/",""),CHAR(160),"")</f>
        <v/>
      </c>
      <c r="E589" s="32">
        <f>IF(LEN(D589)&gt;=10,RIGHT(D589,10),D589)</f>
        <v/>
      </c>
      <c r="F589" s="32">
        <f>IF(B589="","",TRIM(INDEX('Form Responses'!$D:$D,ROW())&amp;""))</f>
        <v/>
      </c>
      <c r="G589" s="32">
        <f>IF(B589="","",IF(LEFT(TRIM(INDEX('Form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89" s="32">
        <f>IF(B589="","",MAX(0,IFERROR(INT(--(INDEX('Form Responses'!$F:$F,ROW())&amp;"")),1)))</f>
        <v/>
      </c>
      <c r="I589" s="32">
        <f>IF(B589="","",MAX(0,IFERROR(INT(--(INDEX('Form Responses'!$G:$G,ROW())&amp;"")),0)))</f>
        <v/>
      </c>
      <c r="J589" s="32">
        <f>IF(B589="","",TRIM(INDEX('Form Responses'!$H:$H,ROW())&amp;""))</f>
        <v/>
      </c>
      <c r="K589" s="32">
        <f>IF(B589="","",TRIM(INDEX('Form Responses'!$I:$I,ROW())&amp;""))</f>
        <v/>
      </c>
      <c r="L589" s="32">
        <f>IF(B589="","",TRIM(INDEX('Form Responses'!$J:$J,ROW())&amp;""))</f>
        <v/>
      </c>
      <c r="M589" s="32">
        <f>IF(B589="","",TRIM(INDEX('Form Responses'!$K:$K,ROW())&amp;""))</f>
        <v/>
      </c>
      <c r="N589" s="32">
        <f>IF(B589="","",IF(E589&lt;&gt;"","P"&amp;E589,"N"&amp;B589))</f>
        <v/>
      </c>
      <c r="O589" s="32">
        <f>IF(N589="",0,IF(COUNTIF(N590:N$602,N589)=0,1,0))</f>
        <v/>
      </c>
      <c r="P589" s="32">
        <f>IF(AND(O589=1,E589&lt;&gt;""),E589,"")</f>
        <v/>
      </c>
      <c r="Q589" s="32">
        <f>IF(O589=1,B589,"")</f>
        <v/>
      </c>
      <c r="R589" s="32">
        <f>IF(O589&lt;&gt;1,"",IF(E589&lt;&gt;"",IFERROR(MATCH(E589,Guests!$S$6:$S$505,0)+5,IFERROR(MATCH(B589,Guests!$A$6:$A$505,0)+5,"")),IFERROR(MATCH(B589,Guests!$A$6:$A$505,0)+5,"")))</f>
        <v/>
      </c>
      <c r="S589" s="32">
        <f>IF(R589="","",TRIM(INDEX(Guests!$E$1:$E$505,R589)&amp;""))</f>
        <v/>
      </c>
      <c r="T589" s="32">
        <f>IF(R589="","",IF(S589="",1,COUNTIF(Guests!$E$6:$E$505,S589)))</f>
        <v/>
      </c>
      <c r="U589" s="32">
        <f>IF(R589="","",IF(S589="",1,IF(COUNTIF(S$1:S588,S589)=0,1,0)))</f>
        <v/>
      </c>
      <c r="V589" s="32">
        <f>IF(AND(R589&lt;&gt;"",G589="Attending",U589=1),MAX(0,H589+I589-T589),0)</f>
        <v/>
      </c>
      <c r="W589" s="32">
        <f>IF(AND(O589=1,R589=""),1,0)</f>
        <v/>
      </c>
      <c r="X589" s="32">
        <f>IF(B589="",0,H589+I589)</f>
        <v/>
      </c>
      <c r="Y589" s="32">
        <f>N(Y588)+O589</f>
        <v/>
      </c>
      <c r="Z589" s="32">
        <f>IF(O589=1,Y589,"")</f>
        <v/>
      </c>
      <c r="AA589" s="32">
        <f>IF(AND(W589=1,G589="Not sure yet"),1,0)</f>
        <v/>
      </c>
      <c r="AB589" s="32">
        <f>N(AB588)+AA589</f>
        <v/>
      </c>
      <c r="AC589" s="32">
        <f>IF(AA589=1,AB589,"")</f>
        <v/>
      </c>
      <c r="AD589" s="32">
        <f>IF(D589="","",IF(LEN(D589)=10,"+1"&amp;D589,IF(AND(LEN(D589)=11,LEFT(D589,1)="1"),"+"&amp;D589,IF(LEFT(C589,1)="+","+"&amp;D589,D589))))</f>
        <v/>
      </c>
      <c r="AE589" s="32">
        <f>IF(B589="","",PROPER(IFERROR(LEFT(B589,FIND(" ",B589)-1),B589)))</f>
        <v/>
      </c>
      <c r="AF589" s="32">
        <f>SUBSTITUTE(SUBSTITUTE(SUBSTITUTE(SUBSTITUTE(SUBSTITUTE(SUBSTITUTE(SUBSTITUTE(SUBSTITUTE(SUBSTITUTE(SUBSTITUTE(AE589,"%","%25"),"&amp;","%26"),"#","%23"),"+","%2B"),"=","%3D"),"?","%3F"),CHAR(34),"%22"),CHAR(10),"%0A"),CHAR(13),"")," ","+")</f>
        <v/>
      </c>
      <c r="AG589" s="32">
        <f>IF(OR(AD589="",AE589=""),"",'Start Here'!$B$20&amp;"#p="&amp;SUBSTITUTE(AD589,"+","%2B")&amp;"&amp;n="&amp;AF589&amp;"&amp;m="&amp;SUBSTITUTE('Start Here'!$B$24,"{name}",AF589))</f>
        <v/>
      </c>
      <c r="AH589" s="32">
        <f>N(AH588)+W589</f>
        <v/>
      </c>
      <c r="AI589" s="32">
        <f>IF(W589=1,AH589,"")</f>
        <v/>
      </c>
    </row>
    <row r="590">
      <c r="A590" s="32">
        <f>IF(INDEX('Form Responses'!$A:$A,ROW())="","",INDEX('Form Responses'!$A:$A,ROW()))</f>
        <v/>
      </c>
      <c r="B590" s="32">
        <f>TRIM(INDEX('Form Responses'!$B:$B,ROW())&amp;"")</f>
        <v/>
      </c>
      <c r="C590" s="32">
        <f>IF(B590="","",TRIM(INDEX('Form Responses'!$C:$C,ROW())&amp;""))</f>
        <v/>
      </c>
      <c r="D590" s="32">
        <f>SUBSTITUTE(SUBSTITUTE(SUBSTITUTE(SUBSTITUTE(SUBSTITUTE(SUBSTITUTE(SUBSTITUTE(SUBSTITUTE(C590," ",""),"-",""),"(",""),")",""),".",""),"+",""),"/",""),CHAR(160),"")</f>
        <v/>
      </c>
      <c r="E590" s="32">
        <f>IF(LEN(D590)&gt;=10,RIGHT(D590,10),D590)</f>
        <v/>
      </c>
      <c r="F590" s="32">
        <f>IF(B590="","",TRIM(INDEX('Form Responses'!$D:$D,ROW())&amp;""))</f>
        <v/>
      </c>
      <c r="G590" s="32">
        <f>IF(B590="","",IF(LEFT(TRIM(INDEX('Form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0" s="32">
        <f>IF(B590="","",MAX(0,IFERROR(INT(--(INDEX('Form Responses'!$F:$F,ROW())&amp;"")),1)))</f>
        <v/>
      </c>
      <c r="I590" s="32">
        <f>IF(B590="","",MAX(0,IFERROR(INT(--(INDEX('Form Responses'!$G:$G,ROW())&amp;"")),0)))</f>
        <v/>
      </c>
      <c r="J590" s="32">
        <f>IF(B590="","",TRIM(INDEX('Form Responses'!$H:$H,ROW())&amp;""))</f>
        <v/>
      </c>
      <c r="K590" s="32">
        <f>IF(B590="","",TRIM(INDEX('Form Responses'!$I:$I,ROW())&amp;""))</f>
        <v/>
      </c>
      <c r="L590" s="32">
        <f>IF(B590="","",TRIM(INDEX('Form Responses'!$J:$J,ROW())&amp;""))</f>
        <v/>
      </c>
      <c r="M590" s="32">
        <f>IF(B590="","",TRIM(INDEX('Form Responses'!$K:$K,ROW())&amp;""))</f>
        <v/>
      </c>
      <c r="N590" s="32">
        <f>IF(B590="","",IF(E590&lt;&gt;"","P"&amp;E590,"N"&amp;B590))</f>
        <v/>
      </c>
      <c r="O590" s="32">
        <f>IF(N590="",0,IF(COUNTIF(N591:N$602,N590)=0,1,0))</f>
        <v/>
      </c>
      <c r="P590" s="32">
        <f>IF(AND(O590=1,E590&lt;&gt;""),E590,"")</f>
        <v/>
      </c>
      <c r="Q590" s="32">
        <f>IF(O590=1,B590,"")</f>
        <v/>
      </c>
      <c r="R590" s="32">
        <f>IF(O590&lt;&gt;1,"",IF(E590&lt;&gt;"",IFERROR(MATCH(E590,Guests!$S$6:$S$505,0)+5,IFERROR(MATCH(B590,Guests!$A$6:$A$505,0)+5,"")),IFERROR(MATCH(B590,Guests!$A$6:$A$505,0)+5,"")))</f>
        <v/>
      </c>
      <c r="S590" s="32">
        <f>IF(R590="","",TRIM(INDEX(Guests!$E$1:$E$505,R590)&amp;""))</f>
        <v/>
      </c>
      <c r="T590" s="32">
        <f>IF(R590="","",IF(S590="",1,COUNTIF(Guests!$E$6:$E$505,S590)))</f>
        <v/>
      </c>
      <c r="U590" s="32">
        <f>IF(R590="","",IF(S590="",1,IF(COUNTIF(S$1:S589,S590)=0,1,0)))</f>
        <v/>
      </c>
      <c r="V590" s="32">
        <f>IF(AND(R590&lt;&gt;"",G590="Attending",U590=1),MAX(0,H590+I590-T590),0)</f>
        <v/>
      </c>
      <c r="W590" s="32">
        <f>IF(AND(O590=1,R590=""),1,0)</f>
        <v/>
      </c>
      <c r="X590" s="32">
        <f>IF(B590="",0,H590+I590)</f>
        <v/>
      </c>
      <c r="Y590" s="32">
        <f>N(Y589)+O590</f>
        <v/>
      </c>
      <c r="Z590" s="32">
        <f>IF(O590=1,Y590,"")</f>
        <v/>
      </c>
      <c r="AA590" s="32">
        <f>IF(AND(W590=1,G590="Not sure yet"),1,0)</f>
        <v/>
      </c>
      <c r="AB590" s="32">
        <f>N(AB589)+AA590</f>
        <v/>
      </c>
      <c r="AC590" s="32">
        <f>IF(AA590=1,AB590,"")</f>
        <v/>
      </c>
      <c r="AD590" s="32">
        <f>IF(D590="","",IF(LEN(D590)=10,"+1"&amp;D590,IF(AND(LEN(D590)=11,LEFT(D590,1)="1"),"+"&amp;D590,IF(LEFT(C590,1)="+","+"&amp;D590,D590))))</f>
        <v/>
      </c>
      <c r="AE590" s="32">
        <f>IF(B590="","",PROPER(IFERROR(LEFT(B590,FIND(" ",B590)-1),B590)))</f>
        <v/>
      </c>
      <c r="AF590" s="32">
        <f>SUBSTITUTE(SUBSTITUTE(SUBSTITUTE(SUBSTITUTE(SUBSTITUTE(SUBSTITUTE(SUBSTITUTE(SUBSTITUTE(SUBSTITUTE(SUBSTITUTE(AE590,"%","%25"),"&amp;","%26"),"#","%23"),"+","%2B"),"=","%3D"),"?","%3F"),CHAR(34),"%22"),CHAR(10),"%0A"),CHAR(13),"")," ","+")</f>
        <v/>
      </c>
      <c r="AG590" s="32">
        <f>IF(OR(AD590="",AE590=""),"",'Start Here'!$B$20&amp;"#p="&amp;SUBSTITUTE(AD590,"+","%2B")&amp;"&amp;n="&amp;AF590&amp;"&amp;m="&amp;SUBSTITUTE('Start Here'!$B$24,"{name}",AF590))</f>
        <v/>
      </c>
      <c r="AH590" s="32">
        <f>N(AH589)+W590</f>
        <v/>
      </c>
      <c r="AI590" s="32">
        <f>IF(W590=1,AH590,"")</f>
        <v/>
      </c>
    </row>
    <row r="591">
      <c r="A591" s="32">
        <f>IF(INDEX('Form Responses'!$A:$A,ROW())="","",INDEX('Form Responses'!$A:$A,ROW()))</f>
        <v/>
      </c>
      <c r="B591" s="32">
        <f>TRIM(INDEX('Form Responses'!$B:$B,ROW())&amp;"")</f>
        <v/>
      </c>
      <c r="C591" s="32">
        <f>IF(B591="","",TRIM(INDEX('Form Responses'!$C:$C,ROW())&amp;""))</f>
        <v/>
      </c>
      <c r="D591" s="32">
        <f>SUBSTITUTE(SUBSTITUTE(SUBSTITUTE(SUBSTITUTE(SUBSTITUTE(SUBSTITUTE(SUBSTITUTE(SUBSTITUTE(C591," ",""),"-",""),"(",""),")",""),".",""),"+",""),"/",""),CHAR(160),"")</f>
        <v/>
      </c>
      <c r="E591" s="32">
        <f>IF(LEN(D591)&gt;=10,RIGHT(D591,10),D591)</f>
        <v/>
      </c>
      <c r="F591" s="32">
        <f>IF(B591="","",TRIM(INDEX('Form Responses'!$D:$D,ROW())&amp;""))</f>
        <v/>
      </c>
      <c r="G591" s="32">
        <f>IF(B591="","",IF(LEFT(TRIM(INDEX('Form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1" s="32">
        <f>IF(B591="","",MAX(0,IFERROR(INT(--(INDEX('Form Responses'!$F:$F,ROW())&amp;"")),1)))</f>
        <v/>
      </c>
      <c r="I591" s="32">
        <f>IF(B591="","",MAX(0,IFERROR(INT(--(INDEX('Form Responses'!$G:$G,ROW())&amp;"")),0)))</f>
        <v/>
      </c>
      <c r="J591" s="32">
        <f>IF(B591="","",TRIM(INDEX('Form Responses'!$H:$H,ROW())&amp;""))</f>
        <v/>
      </c>
      <c r="K591" s="32">
        <f>IF(B591="","",TRIM(INDEX('Form Responses'!$I:$I,ROW())&amp;""))</f>
        <v/>
      </c>
      <c r="L591" s="32">
        <f>IF(B591="","",TRIM(INDEX('Form Responses'!$J:$J,ROW())&amp;""))</f>
        <v/>
      </c>
      <c r="M591" s="32">
        <f>IF(B591="","",TRIM(INDEX('Form Responses'!$K:$K,ROW())&amp;""))</f>
        <v/>
      </c>
      <c r="N591" s="32">
        <f>IF(B591="","",IF(E591&lt;&gt;"","P"&amp;E591,"N"&amp;B591))</f>
        <v/>
      </c>
      <c r="O591" s="32">
        <f>IF(N591="",0,IF(COUNTIF(N592:N$602,N591)=0,1,0))</f>
        <v/>
      </c>
      <c r="P591" s="32">
        <f>IF(AND(O591=1,E591&lt;&gt;""),E591,"")</f>
        <v/>
      </c>
      <c r="Q591" s="32">
        <f>IF(O591=1,B591,"")</f>
        <v/>
      </c>
      <c r="R591" s="32">
        <f>IF(O591&lt;&gt;1,"",IF(E591&lt;&gt;"",IFERROR(MATCH(E591,Guests!$S$6:$S$505,0)+5,IFERROR(MATCH(B591,Guests!$A$6:$A$505,0)+5,"")),IFERROR(MATCH(B591,Guests!$A$6:$A$505,0)+5,"")))</f>
        <v/>
      </c>
      <c r="S591" s="32">
        <f>IF(R591="","",TRIM(INDEX(Guests!$E$1:$E$505,R591)&amp;""))</f>
        <v/>
      </c>
      <c r="T591" s="32">
        <f>IF(R591="","",IF(S591="",1,COUNTIF(Guests!$E$6:$E$505,S591)))</f>
        <v/>
      </c>
      <c r="U591" s="32">
        <f>IF(R591="","",IF(S591="",1,IF(COUNTIF(S$1:S590,S591)=0,1,0)))</f>
        <v/>
      </c>
      <c r="V591" s="32">
        <f>IF(AND(R591&lt;&gt;"",G591="Attending",U591=1),MAX(0,H591+I591-T591),0)</f>
        <v/>
      </c>
      <c r="W591" s="32">
        <f>IF(AND(O591=1,R591=""),1,0)</f>
        <v/>
      </c>
      <c r="X591" s="32">
        <f>IF(B591="",0,H591+I591)</f>
        <v/>
      </c>
      <c r="Y591" s="32">
        <f>N(Y590)+O591</f>
        <v/>
      </c>
      <c r="Z591" s="32">
        <f>IF(O591=1,Y591,"")</f>
        <v/>
      </c>
      <c r="AA591" s="32">
        <f>IF(AND(W591=1,G591="Not sure yet"),1,0)</f>
        <v/>
      </c>
      <c r="AB591" s="32">
        <f>N(AB590)+AA591</f>
        <v/>
      </c>
      <c r="AC591" s="32">
        <f>IF(AA591=1,AB591,"")</f>
        <v/>
      </c>
      <c r="AD591" s="32">
        <f>IF(D591="","",IF(LEN(D591)=10,"+1"&amp;D591,IF(AND(LEN(D591)=11,LEFT(D591,1)="1"),"+"&amp;D591,IF(LEFT(C591,1)="+","+"&amp;D591,D591))))</f>
        <v/>
      </c>
      <c r="AE591" s="32">
        <f>IF(B591="","",PROPER(IFERROR(LEFT(B591,FIND(" ",B591)-1),B591)))</f>
        <v/>
      </c>
      <c r="AF591" s="32">
        <f>SUBSTITUTE(SUBSTITUTE(SUBSTITUTE(SUBSTITUTE(SUBSTITUTE(SUBSTITUTE(SUBSTITUTE(SUBSTITUTE(SUBSTITUTE(SUBSTITUTE(AE591,"%","%25"),"&amp;","%26"),"#","%23"),"+","%2B"),"=","%3D"),"?","%3F"),CHAR(34),"%22"),CHAR(10),"%0A"),CHAR(13),"")," ","+")</f>
        <v/>
      </c>
      <c r="AG591" s="32">
        <f>IF(OR(AD591="",AE591=""),"",'Start Here'!$B$20&amp;"#p="&amp;SUBSTITUTE(AD591,"+","%2B")&amp;"&amp;n="&amp;AF591&amp;"&amp;m="&amp;SUBSTITUTE('Start Here'!$B$24,"{name}",AF591))</f>
        <v/>
      </c>
      <c r="AH591" s="32">
        <f>N(AH590)+W591</f>
        <v/>
      </c>
      <c r="AI591" s="32">
        <f>IF(W591=1,AH591,"")</f>
        <v/>
      </c>
    </row>
    <row r="592">
      <c r="A592" s="32">
        <f>IF(INDEX('Form Responses'!$A:$A,ROW())="","",INDEX('Form Responses'!$A:$A,ROW()))</f>
        <v/>
      </c>
      <c r="B592" s="32">
        <f>TRIM(INDEX('Form Responses'!$B:$B,ROW())&amp;"")</f>
        <v/>
      </c>
      <c r="C592" s="32">
        <f>IF(B592="","",TRIM(INDEX('Form Responses'!$C:$C,ROW())&amp;""))</f>
        <v/>
      </c>
      <c r="D592" s="32">
        <f>SUBSTITUTE(SUBSTITUTE(SUBSTITUTE(SUBSTITUTE(SUBSTITUTE(SUBSTITUTE(SUBSTITUTE(SUBSTITUTE(C592," ",""),"-",""),"(",""),")",""),".",""),"+",""),"/",""),CHAR(160),"")</f>
        <v/>
      </c>
      <c r="E592" s="32">
        <f>IF(LEN(D592)&gt;=10,RIGHT(D592,10),D592)</f>
        <v/>
      </c>
      <c r="F592" s="32">
        <f>IF(B592="","",TRIM(INDEX('Form Responses'!$D:$D,ROW())&amp;""))</f>
        <v/>
      </c>
      <c r="G592" s="32">
        <f>IF(B592="","",IF(LEFT(TRIM(INDEX('Form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2" s="32">
        <f>IF(B592="","",MAX(0,IFERROR(INT(--(INDEX('Form Responses'!$F:$F,ROW())&amp;"")),1)))</f>
        <v/>
      </c>
      <c r="I592" s="32">
        <f>IF(B592="","",MAX(0,IFERROR(INT(--(INDEX('Form Responses'!$G:$G,ROW())&amp;"")),0)))</f>
        <v/>
      </c>
      <c r="J592" s="32">
        <f>IF(B592="","",TRIM(INDEX('Form Responses'!$H:$H,ROW())&amp;""))</f>
        <v/>
      </c>
      <c r="K592" s="32">
        <f>IF(B592="","",TRIM(INDEX('Form Responses'!$I:$I,ROW())&amp;""))</f>
        <v/>
      </c>
      <c r="L592" s="32">
        <f>IF(B592="","",TRIM(INDEX('Form Responses'!$J:$J,ROW())&amp;""))</f>
        <v/>
      </c>
      <c r="M592" s="32">
        <f>IF(B592="","",TRIM(INDEX('Form Responses'!$K:$K,ROW())&amp;""))</f>
        <v/>
      </c>
      <c r="N592" s="32">
        <f>IF(B592="","",IF(E592&lt;&gt;"","P"&amp;E592,"N"&amp;B592))</f>
        <v/>
      </c>
      <c r="O592" s="32">
        <f>IF(N592="",0,IF(COUNTIF(N593:N$602,N592)=0,1,0))</f>
        <v/>
      </c>
      <c r="P592" s="32">
        <f>IF(AND(O592=1,E592&lt;&gt;""),E592,"")</f>
        <v/>
      </c>
      <c r="Q592" s="32">
        <f>IF(O592=1,B592,"")</f>
        <v/>
      </c>
      <c r="R592" s="32">
        <f>IF(O592&lt;&gt;1,"",IF(E592&lt;&gt;"",IFERROR(MATCH(E592,Guests!$S$6:$S$505,0)+5,IFERROR(MATCH(B592,Guests!$A$6:$A$505,0)+5,"")),IFERROR(MATCH(B592,Guests!$A$6:$A$505,0)+5,"")))</f>
        <v/>
      </c>
      <c r="S592" s="32">
        <f>IF(R592="","",TRIM(INDEX(Guests!$E$1:$E$505,R592)&amp;""))</f>
        <v/>
      </c>
      <c r="T592" s="32">
        <f>IF(R592="","",IF(S592="",1,COUNTIF(Guests!$E$6:$E$505,S592)))</f>
        <v/>
      </c>
      <c r="U592" s="32">
        <f>IF(R592="","",IF(S592="",1,IF(COUNTIF(S$1:S591,S592)=0,1,0)))</f>
        <v/>
      </c>
      <c r="V592" s="32">
        <f>IF(AND(R592&lt;&gt;"",G592="Attending",U592=1),MAX(0,H592+I592-T592),0)</f>
        <v/>
      </c>
      <c r="W592" s="32">
        <f>IF(AND(O592=1,R592=""),1,0)</f>
        <v/>
      </c>
      <c r="X592" s="32">
        <f>IF(B592="",0,H592+I592)</f>
        <v/>
      </c>
      <c r="Y592" s="32">
        <f>N(Y591)+O592</f>
        <v/>
      </c>
      <c r="Z592" s="32">
        <f>IF(O592=1,Y592,"")</f>
        <v/>
      </c>
      <c r="AA592" s="32">
        <f>IF(AND(W592=1,G592="Not sure yet"),1,0)</f>
        <v/>
      </c>
      <c r="AB592" s="32">
        <f>N(AB591)+AA592</f>
        <v/>
      </c>
      <c r="AC592" s="32">
        <f>IF(AA592=1,AB592,"")</f>
        <v/>
      </c>
      <c r="AD592" s="32">
        <f>IF(D592="","",IF(LEN(D592)=10,"+1"&amp;D592,IF(AND(LEN(D592)=11,LEFT(D592,1)="1"),"+"&amp;D592,IF(LEFT(C592,1)="+","+"&amp;D592,D592))))</f>
        <v/>
      </c>
      <c r="AE592" s="32">
        <f>IF(B592="","",PROPER(IFERROR(LEFT(B592,FIND(" ",B592)-1),B592)))</f>
        <v/>
      </c>
      <c r="AF592" s="32">
        <f>SUBSTITUTE(SUBSTITUTE(SUBSTITUTE(SUBSTITUTE(SUBSTITUTE(SUBSTITUTE(SUBSTITUTE(SUBSTITUTE(SUBSTITUTE(SUBSTITUTE(AE592,"%","%25"),"&amp;","%26"),"#","%23"),"+","%2B"),"=","%3D"),"?","%3F"),CHAR(34),"%22"),CHAR(10),"%0A"),CHAR(13),"")," ","+")</f>
        <v/>
      </c>
      <c r="AG592" s="32">
        <f>IF(OR(AD592="",AE592=""),"",'Start Here'!$B$20&amp;"#p="&amp;SUBSTITUTE(AD592,"+","%2B")&amp;"&amp;n="&amp;AF592&amp;"&amp;m="&amp;SUBSTITUTE('Start Here'!$B$24,"{name}",AF592))</f>
        <v/>
      </c>
      <c r="AH592" s="32">
        <f>N(AH591)+W592</f>
        <v/>
      </c>
      <c r="AI592" s="32">
        <f>IF(W592=1,AH592,"")</f>
        <v/>
      </c>
    </row>
    <row r="593">
      <c r="A593" s="32">
        <f>IF(INDEX('Form Responses'!$A:$A,ROW())="","",INDEX('Form Responses'!$A:$A,ROW()))</f>
        <v/>
      </c>
      <c r="B593" s="32">
        <f>TRIM(INDEX('Form Responses'!$B:$B,ROW())&amp;"")</f>
        <v/>
      </c>
      <c r="C593" s="32">
        <f>IF(B593="","",TRIM(INDEX('Form Responses'!$C:$C,ROW())&amp;""))</f>
        <v/>
      </c>
      <c r="D593" s="32">
        <f>SUBSTITUTE(SUBSTITUTE(SUBSTITUTE(SUBSTITUTE(SUBSTITUTE(SUBSTITUTE(SUBSTITUTE(SUBSTITUTE(C593," ",""),"-",""),"(",""),")",""),".",""),"+",""),"/",""),CHAR(160),"")</f>
        <v/>
      </c>
      <c r="E593" s="32">
        <f>IF(LEN(D593)&gt;=10,RIGHT(D593,10),D593)</f>
        <v/>
      </c>
      <c r="F593" s="32">
        <f>IF(B593="","",TRIM(INDEX('Form Responses'!$D:$D,ROW())&amp;""))</f>
        <v/>
      </c>
      <c r="G593" s="32">
        <f>IF(B593="","",IF(LEFT(TRIM(INDEX('Form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3" s="32">
        <f>IF(B593="","",MAX(0,IFERROR(INT(--(INDEX('Form Responses'!$F:$F,ROW())&amp;"")),1)))</f>
        <v/>
      </c>
      <c r="I593" s="32">
        <f>IF(B593="","",MAX(0,IFERROR(INT(--(INDEX('Form Responses'!$G:$G,ROW())&amp;"")),0)))</f>
        <v/>
      </c>
      <c r="J593" s="32">
        <f>IF(B593="","",TRIM(INDEX('Form Responses'!$H:$H,ROW())&amp;""))</f>
        <v/>
      </c>
      <c r="K593" s="32">
        <f>IF(B593="","",TRIM(INDEX('Form Responses'!$I:$I,ROW())&amp;""))</f>
        <v/>
      </c>
      <c r="L593" s="32">
        <f>IF(B593="","",TRIM(INDEX('Form Responses'!$J:$J,ROW())&amp;""))</f>
        <v/>
      </c>
      <c r="M593" s="32">
        <f>IF(B593="","",TRIM(INDEX('Form Responses'!$K:$K,ROW())&amp;""))</f>
        <v/>
      </c>
      <c r="N593" s="32">
        <f>IF(B593="","",IF(E593&lt;&gt;"","P"&amp;E593,"N"&amp;B593))</f>
        <v/>
      </c>
      <c r="O593" s="32">
        <f>IF(N593="",0,IF(COUNTIF(N594:N$602,N593)=0,1,0))</f>
        <v/>
      </c>
      <c r="P593" s="32">
        <f>IF(AND(O593=1,E593&lt;&gt;""),E593,"")</f>
        <v/>
      </c>
      <c r="Q593" s="32">
        <f>IF(O593=1,B593,"")</f>
        <v/>
      </c>
      <c r="R593" s="32">
        <f>IF(O593&lt;&gt;1,"",IF(E593&lt;&gt;"",IFERROR(MATCH(E593,Guests!$S$6:$S$505,0)+5,IFERROR(MATCH(B593,Guests!$A$6:$A$505,0)+5,"")),IFERROR(MATCH(B593,Guests!$A$6:$A$505,0)+5,"")))</f>
        <v/>
      </c>
      <c r="S593" s="32">
        <f>IF(R593="","",TRIM(INDEX(Guests!$E$1:$E$505,R593)&amp;""))</f>
        <v/>
      </c>
      <c r="T593" s="32">
        <f>IF(R593="","",IF(S593="",1,COUNTIF(Guests!$E$6:$E$505,S593)))</f>
        <v/>
      </c>
      <c r="U593" s="32">
        <f>IF(R593="","",IF(S593="",1,IF(COUNTIF(S$1:S592,S593)=0,1,0)))</f>
        <v/>
      </c>
      <c r="V593" s="32">
        <f>IF(AND(R593&lt;&gt;"",G593="Attending",U593=1),MAX(0,H593+I593-T593),0)</f>
        <v/>
      </c>
      <c r="W593" s="32">
        <f>IF(AND(O593=1,R593=""),1,0)</f>
        <v/>
      </c>
      <c r="X593" s="32">
        <f>IF(B593="",0,H593+I593)</f>
        <v/>
      </c>
      <c r="Y593" s="32">
        <f>N(Y592)+O593</f>
        <v/>
      </c>
      <c r="Z593" s="32">
        <f>IF(O593=1,Y593,"")</f>
        <v/>
      </c>
      <c r="AA593" s="32">
        <f>IF(AND(W593=1,G593="Not sure yet"),1,0)</f>
        <v/>
      </c>
      <c r="AB593" s="32">
        <f>N(AB592)+AA593</f>
        <v/>
      </c>
      <c r="AC593" s="32">
        <f>IF(AA593=1,AB593,"")</f>
        <v/>
      </c>
      <c r="AD593" s="32">
        <f>IF(D593="","",IF(LEN(D593)=10,"+1"&amp;D593,IF(AND(LEN(D593)=11,LEFT(D593,1)="1"),"+"&amp;D593,IF(LEFT(C593,1)="+","+"&amp;D593,D593))))</f>
        <v/>
      </c>
      <c r="AE593" s="32">
        <f>IF(B593="","",PROPER(IFERROR(LEFT(B593,FIND(" ",B593)-1),B593)))</f>
        <v/>
      </c>
      <c r="AF593" s="32">
        <f>SUBSTITUTE(SUBSTITUTE(SUBSTITUTE(SUBSTITUTE(SUBSTITUTE(SUBSTITUTE(SUBSTITUTE(SUBSTITUTE(SUBSTITUTE(SUBSTITUTE(AE593,"%","%25"),"&amp;","%26"),"#","%23"),"+","%2B"),"=","%3D"),"?","%3F"),CHAR(34),"%22"),CHAR(10),"%0A"),CHAR(13),"")," ","+")</f>
        <v/>
      </c>
      <c r="AG593" s="32">
        <f>IF(OR(AD593="",AE593=""),"",'Start Here'!$B$20&amp;"#p="&amp;SUBSTITUTE(AD593,"+","%2B")&amp;"&amp;n="&amp;AF593&amp;"&amp;m="&amp;SUBSTITUTE('Start Here'!$B$24,"{name}",AF593))</f>
        <v/>
      </c>
      <c r="AH593" s="32">
        <f>N(AH592)+W593</f>
        <v/>
      </c>
      <c r="AI593" s="32">
        <f>IF(W593=1,AH593,"")</f>
        <v/>
      </c>
    </row>
    <row r="594">
      <c r="A594" s="32">
        <f>IF(INDEX('Form Responses'!$A:$A,ROW())="","",INDEX('Form Responses'!$A:$A,ROW()))</f>
        <v/>
      </c>
      <c r="B594" s="32">
        <f>TRIM(INDEX('Form Responses'!$B:$B,ROW())&amp;"")</f>
        <v/>
      </c>
      <c r="C594" s="32">
        <f>IF(B594="","",TRIM(INDEX('Form Responses'!$C:$C,ROW())&amp;""))</f>
        <v/>
      </c>
      <c r="D594" s="32">
        <f>SUBSTITUTE(SUBSTITUTE(SUBSTITUTE(SUBSTITUTE(SUBSTITUTE(SUBSTITUTE(SUBSTITUTE(SUBSTITUTE(C594," ",""),"-",""),"(",""),")",""),".",""),"+",""),"/",""),CHAR(160),"")</f>
        <v/>
      </c>
      <c r="E594" s="32">
        <f>IF(LEN(D594)&gt;=10,RIGHT(D594,10),D594)</f>
        <v/>
      </c>
      <c r="F594" s="32">
        <f>IF(B594="","",TRIM(INDEX('Form Responses'!$D:$D,ROW())&amp;""))</f>
        <v/>
      </c>
      <c r="G594" s="32">
        <f>IF(B594="","",IF(LEFT(TRIM(INDEX('Form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4" s="32">
        <f>IF(B594="","",MAX(0,IFERROR(INT(--(INDEX('Form Responses'!$F:$F,ROW())&amp;"")),1)))</f>
        <v/>
      </c>
      <c r="I594" s="32">
        <f>IF(B594="","",MAX(0,IFERROR(INT(--(INDEX('Form Responses'!$G:$G,ROW())&amp;"")),0)))</f>
        <v/>
      </c>
      <c r="J594" s="32">
        <f>IF(B594="","",TRIM(INDEX('Form Responses'!$H:$H,ROW())&amp;""))</f>
        <v/>
      </c>
      <c r="K594" s="32">
        <f>IF(B594="","",TRIM(INDEX('Form Responses'!$I:$I,ROW())&amp;""))</f>
        <v/>
      </c>
      <c r="L594" s="32">
        <f>IF(B594="","",TRIM(INDEX('Form Responses'!$J:$J,ROW())&amp;""))</f>
        <v/>
      </c>
      <c r="M594" s="32">
        <f>IF(B594="","",TRIM(INDEX('Form Responses'!$K:$K,ROW())&amp;""))</f>
        <v/>
      </c>
      <c r="N594" s="32">
        <f>IF(B594="","",IF(E594&lt;&gt;"","P"&amp;E594,"N"&amp;B594))</f>
        <v/>
      </c>
      <c r="O594" s="32">
        <f>IF(N594="",0,IF(COUNTIF(N595:N$602,N594)=0,1,0))</f>
        <v/>
      </c>
      <c r="P594" s="32">
        <f>IF(AND(O594=1,E594&lt;&gt;""),E594,"")</f>
        <v/>
      </c>
      <c r="Q594" s="32">
        <f>IF(O594=1,B594,"")</f>
        <v/>
      </c>
      <c r="R594" s="32">
        <f>IF(O594&lt;&gt;1,"",IF(E594&lt;&gt;"",IFERROR(MATCH(E594,Guests!$S$6:$S$505,0)+5,IFERROR(MATCH(B594,Guests!$A$6:$A$505,0)+5,"")),IFERROR(MATCH(B594,Guests!$A$6:$A$505,0)+5,"")))</f>
        <v/>
      </c>
      <c r="S594" s="32">
        <f>IF(R594="","",TRIM(INDEX(Guests!$E$1:$E$505,R594)&amp;""))</f>
        <v/>
      </c>
      <c r="T594" s="32">
        <f>IF(R594="","",IF(S594="",1,COUNTIF(Guests!$E$6:$E$505,S594)))</f>
        <v/>
      </c>
      <c r="U594" s="32">
        <f>IF(R594="","",IF(S594="",1,IF(COUNTIF(S$1:S593,S594)=0,1,0)))</f>
        <v/>
      </c>
      <c r="V594" s="32">
        <f>IF(AND(R594&lt;&gt;"",G594="Attending",U594=1),MAX(0,H594+I594-T594),0)</f>
        <v/>
      </c>
      <c r="W594" s="32">
        <f>IF(AND(O594=1,R594=""),1,0)</f>
        <v/>
      </c>
      <c r="X594" s="32">
        <f>IF(B594="",0,H594+I594)</f>
        <v/>
      </c>
      <c r="Y594" s="32">
        <f>N(Y593)+O594</f>
        <v/>
      </c>
      <c r="Z594" s="32">
        <f>IF(O594=1,Y594,"")</f>
        <v/>
      </c>
      <c r="AA594" s="32">
        <f>IF(AND(W594=1,G594="Not sure yet"),1,0)</f>
        <v/>
      </c>
      <c r="AB594" s="32">
        <f>N(AB593)+AA594</f>
        <v/>
      </c>
      <c r="AC594" s="32">
        <f>IF(AA594=1,AB594,"")</f>
        <v/>
      </c>
      <c r="AD594" s="32">
        <f>IF(D594="","",IF(LEN(D594)=10,"+1"&amp;D594,IF(AND(LEN(D594)=11,LEFT(D594,1)="1"),"+"&amp;D594,IF(LEFT(C594,1)="+","+"&amp;D594,D594))))</f>
        <v/>
      </c>
      <c r="AE594" s="32">
        <f>IF(B594="","",PROPER(IFERROR(LEFT(B594,FIND(" ",B594)-1),B594)))</f>
        <v/>
      </c>
      <c r="AF594" s="32">
        <f>SUBSTITUTE(SUBSTITUTE(SUBSTITUTE(SUBSTITUTE(SUBSTITUTE(SUBSTITUTE(SUBSTITUTE(SUBSTITUTE(SUBSTITUTE(SUBSTITUTE(AE594,"%","%25"),"&amp;","%26"),"#","%23"),"+","%2B"),"=","%3D"),"?","%3F"),CHAR(34),"%22"),CHAR(10),"%0A"),CHAR(13),"")," ","+")</f>
        <v/>
      </c>
      <c r="AG594" s="32">
        <f>IF(OR(AD594="",AE594=""),"",'Start Here'!$B$20&amp;"#p="&amp;SUBSTITUTE(AD594,"+","%2B")&amp;"&amp;n="&amp;AF594&amp;"&amp;m="&amp;SUBSTITUTE('Start Here'!$B$24,"{name}",AF594))</f>
        <v/>
      </c>
      <c r="AH594" s="32">
        <f>N(AH593)+W594</f>
        <v/>
      </c>
      <c r="AI594" s="32">
        <f>IF(W594=1,AH594,"")</f>
        <v/>
      </c>
    </row>
    <row r="595">
      <c r="A595" s="32">
        <f>IF(INDEX('Form Responses'!$A:$A,ROW())="","",INDEX('Form Responses'!$A:$A,ROW()))</f>
        <v/>
      </c>
      <c r="B595" s="32">
        <f>TRIM(INDEX('Form Responses'!$B:$B,ROW())&amp;"")</f>
        <v/>
      </c>
      <c r="C595" s="32">
        <f>IF(B595="","",TRIM(INDEX('Form Responses'!$C:$C,ROW())&amp;""))</f>
        <v/>
      </c>
      <c r="D595" s="32">
        <f>SUBSTITUTE(SUBSTITUTE(SUBSTITUTE(SUBSTITUTE(SUBSTITUTE(SUBSTITUTE(SUBSTITUTE(SUBSTITUTE(C595," ",""),"-",""),"(",""),")",""),".",""),"+",""),"/",""),CHAR(160),"")</f>
        <v/>
      </c>
      <c r="E595" s="32">
        <f>IF(LEN(D595)&gt;=10,RIGHT(D595,10),D595)</f>
        <v/>
      </c>
      <c r="F595" s="32">
        <f>IF(B595="","",TRIM(INDEX('Form Responses'!$D:$D,ROW())&amp;""))</f>
        <v/>
      </c>
      <c r="G595" s="32">
        <f>IF(B595="","",IF(LEFT(TRIM(INDEX('Form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5" s="32">
        <f>IF(B595="","",MAX(0,IFERROR(INT(--(INDEX('Form Responses'!$F:$F,ROW())&amp;"")),1)))</f>
        <v/>
      </c>
      <c r="I595" s="32">
        <f>IF(B595="","",MAX(0,IFERROR(INT(--(INDEX('Form Responses'!$G:$G,ROW())&amp;"")),0)))</f>
        <v/>
      </c>
      <c r="J595" s="32">
        <f>IF(B595="","",TRIM(INDEX('Form Responses'!$H:$H,ROW())&amp;""))</f>
        <v/>
      </c>
      <c r="K595" s="32">
        <f>IF(B595="","",TRIM(INDEX('Form Responses'!$I:$I,ROW())&amp;""))</f>
        <v/>
      </c>
      <c r="L595" s="32">
        <f>IF(B595="","",TRIM(INDEX('Form Responses'!$J:$J,ROW())&amp;""))</f>
        <v/>
      </c>
      <c r="M595" s="32">
        <f>IF(B595="","",TRIM(INDEX('Form Responses'!$K:$K,ROW())&amp;""))</f>
        <v/>
      </c>
      <c r="N595" s="32">
        <f>IF(B595="","",IF(E595&lt;&gt;"","P"&amp;E595,"N"&amp;B595))</f>
        <v/>
      </c>
      <c r="O595" s="32">
        <f>IF(N595="",0,IF(COUNTIF(N596:N$602,N595)=0,1,0))</f>
        <v/>
      </c>
      <c r="P595" s="32">
        <f>IF(AND(O595=1,E595&lt;&gt;""),E595,"")</f>
        <v/>
      </c>
      <c r="Q595" s="32">
        <f>IF(O595=1,B595,"")</f>
        <v/>
      </c>
      <c r="R595" s="32">
        <f>IF(O595&lt;&gt;1,"",IF(E595&lt;&gt;"",IFERROR(MATCH(E595,Guests!$S$6:$S$505,0)+5,IFERROR(MATCH(B595,Guests!$A$6:$A$505,0)+5,"")),IFERROR(MATCH(B595,Guests!$A$6:$A$505,0)+5,"")))</f>
        <v/>
      </c>
      <c r="S595" s="32">
        <f>IF(R595="","",TRIM(INDEX(Guests!$E$1:$E$505,R595)&amp;""))</f>
        <v/>
      </c>
      <c r="T595" s="32">
        <f>IF(R595="","",IF(S595="",1,COUNTIF(Guests!$E$6:$E$505,S595)))</f>
        <v/>
      </c>
      <c r="U595" s="32">
        <f>IF(R595="","",IF(S595="",1,IF(COUNTIF(S$1:S594,S595)=0,1,0)))</f>
        <v/>
      </c>
      <c r="V595" s="32">
        <f>IF(AND(R595&lt;&gt;"",G595="Attending",U595=1),MAX(0,H595+I595-T595),0)</f>
        <v/>
      </c>
      <c r="W595" s="32">
        <f>IF(AND(O595=1,R595=""),1,0)</f>
        <v/>
      </c>
      <c r="X595" s="32">
        <f>IF(B595="",0,H595+I595)</f>
        <v/>
      </c>
      <c r="Y595" s="32">
        <f>N(Y594)+O595</f>
        <v/>
      </c>
      <c r="Z595" s="32">
        <f>IF(O595=1,Y595,"")</f>
        <v/>
      </c>
      <c r="AA595" s="32">
        <f>IF(AND(W595=1,G595="Not sure yet"),1,0)</f>
        <v/>
      </c>
      <c r="AB595" s="32">
        <f>N(AB594)+AA595</f>
        <v/>
      </c>
      <c r="AC595" s="32">
        <f>IF(AA595=1,AB595,"")</f>
        <v/>
      </c>
      <c r="AD595" s="32">
        <f>IF(D595="","",IF(LEN(D595)=10,"+1"&amp;D595,IF(AND(LEN(D595)=11,LEFT(D595,1)="1"),"+"&amp;D595,IF(LEFT(C595,1)="+","+"&amp;D595,D595))))</f>
        <v/>
      </c>
      <c r="AE595" s="32">
        <f>IF(B595="","",PROPER(IFERROR(LEFT(B595,FIND(" ",B595)-1),B595)))</f>
        <v/>
      </c>
      <c r="AF595" s="32">
        <f>SUBSTITUTE(SUBSTITUTE(SUBSTITUTE(SUBSTITUTE(SUBSTITUTE(SUBSTITUTE(SUBSTITUTE(SUBSTITUTE(SUBSTITUTE(SUBSTITUTE(AE595,"%","%25"),"&amp;","%26"),"#","%23"),"+","%2B"),"=","%3D"),"?","%3F"),CHAR(34),"%22"),CHAR(10),"%0A"),CHAR(13),"")," ","+")</f>
        <v/>
      </c>
      <c r="AG595" s="32">
        <f>IF(OR(AD595="",AE595=""),"",'Start Here'!$B$20&amp;"#p="&amp;SUBSTITUTE(AD595,"+","%2B")&amp;"&amp;n="&amp;AF595&amp;"&amp;m="&amp;SUBSTITUTE('Start Here'!$B$24,"{name}",AF595))</f>
        <v/>
      </c>
      <c r="AH595" s="32">
        <f>N(AH594)+W595</f>
        <v/>
      </c>
      <c r="AI595" s="32">
        <f>IF(W595=1,AH595,"")</f>
        <v/>
      </c>
    </row>
    <row r="596">
      <c r="A596" s="32">
        <f>IF(INDEX('Form Responses'!$A:$A,ROW())="","",INDEX('Form Responses'!$A:$A,ROW()))</f>
        <v/>
      </c>
      <c r="B596" s="32">
        <f>TRIM(INDEX('Form Responses'!$B:$B,ROW())&amp;"")</f>
        <v/>
      </c>
      <c r="C596" s="32">
        <f>IF(B596="","",TRIM(INDEX('Form Responses'!$C:$C,ROW())&amp;""))</f>
        <v/>
      </c>
      <c r="D596" s="32">
        <f>SUBSTITUTE(SUBSTITUTE(SUBSTITUTE(SUBSTITUTE(SUBSTITUTE(SUBSTITUTE(SUBSTITUTE(SUBSTITUTE(C596," ",""),"-",""),"(",""),")",""),".",""),"+",""),"/",""),CHAR(160),"")</f>
        <v/>
      </c>
      <c r="E596" s="32">
        <f>IF(LEN(D596)&gt;=10,RIGHT(D596,10),D596)</f>
        <v/>
      </c>
      <c r="F596" s="32">
        <f>IF(B596="","",TRIM(INDEX('Form Responses'!$D:$D,ROW())&amp;""))</f>
        <v/>
      </c>
      <c r="G596" s="32">
        <f>IF(B596="","",IF(LEFT(TRIM(INDEX('Form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6" s="32">
        <f>IF(B596="","",MAX(0,IFERROR(INT(--(INDEX('Form Responses'!$F:$F,ROW())&amp;"")),1)))</f>
        <v/>
      </c>
      <c r="I596" s="32">
        <f>IF(B596="","",MAX(0,IFERROR(INT(--(INDEX('Form Responses'!$G:$G,ROW())&amp;"")),0)))</f>
        <v/>
      </c>
      <c r="J596" s="32">
        <f>IF(B596="","",TRIM(INDEX('Form Responses'!$H:$H,ROW())&amp;""))</f>
        <v/>
      </c>
      <c r="K596" s="32">
        <f>IF(B596="","",TRIM(INDEX('Form Responses'!$I:$I,ROW())&amp;""))</f>
        <v/>
      </c>
      <c r="L596" s="32">
        <f>IF(B596="","",TRIM(INDEX('Form Responses'!$J:$J,ROW())&amp;""))</f>
        <v/>
      </c>
      <c r="M596" s="32">
        <f>IF(B596="","",TRIM(INDEX('Form Responses'!$K:$K,ROW())&amp;""))</f>
        <v/>
      </c>
      <c r="N596" s="32">
        <f>IF(B596="","",IF(E596&lt;&gt;"","P"&amp;E596,"N"&amp;B596))</f>
        <v/>
      </c>
      <c r="O596" s="32">
        <f>IF(N596="",0,IF(COUNTIF(N597:N$602,N596)=0,1,0))</f>
        <v/>
      </c>
      <c r="P596" s="32">
        <f>IF(AND(O596=1,E596&lt;&gt;""),E596,"")</f>
        <v/>
      </c>
      <c r="Q596" s="32">
        <f>IF(O596=1,B596,"")</f>
        <v/>
      </c>
      <c r="R596" s="32">
        <f>IF(O596&lt;&gt;1,"",IF(E596&lt;&gt;"",IFERROR(MATCH(E596,Guests!$S$6:$S$505,0)+5,IFERROR(MATCH(B596,Guests!$A$6:$A$505,0)+5,"")),IFERROR(MATCH(B596,Guests!$A$6:$A$505,0)+5,"")))</f>
        <v/>
      </c>
      <c r="S596" s="32">
        <f>IF(R596="","",TRIM(INDEX(Guests!$E$1:$E$505,R596)&amp;""))</f>
        <v/>
      </c>
      <c r="T596" s="32">
        <f>IF(R596="","",IF(S596="",1,COUNTIF(Guests!$E$6:$E$505,S596)))</f>
        <v/>
      </c>
      <c r="U596" s="32">
        <f>IF(R596="","",IF(S596="",1,IF(COUNTIF(S$1:S595,S596)=0,1,0)))</f>
        <v/>
      </c>
      <c r="V596" s="32">
        <f>IF(AND(R596&lt;&gt;"",G596="Attending",U596=1),MAX(0,H596+I596-T596),0)</f>
        <v/>
      </c>
      <c r="W596" s="32">
        <f>IF(AND(O596=1,R596=""),1,0)</f>
        <v/>
      </c>
      <c r="X596" s="32">
        <f>IF(B596="",0,H596+I596)</f>
        <v/>
      </c>
      <c r="Y596" s="32">
        <f>N(Y595)+O596</f>
        <v/>
      </c>
      <c r="Z596" s="32">
        <f>IF(O596=1,Y596,"")</f>
        <v/>
      </c>
      <c r="AA596" s="32">
        <f>IF(AND(W596=1,G596="Not sure yet"),1,0)</f>
        <v/>
      </c>
      <c r="AB596" s="32">
        <f>N(AB595)+AA596</f>
        <v/>
      </c>
      <c r="AC596" s="32">
        <f>IF(AA596=1,AB596,"")</f>
        <v/>
      </c>
      <c r="AD596" s="32">
        <f>IF(D596="","",IF(LEN(D596)=10,"+1"&amp;D596,IF(AND(LEN(D596)=11,LEFT(D596,1)="1"),"+"&amp;D596,IF(LEFT(C596,1)="+","+"&amp;D596,D596))))</f>
        <v/>
      </c>
      <c r="AE596" s="32">
        <f>IF(B596="","",PROPER(IFERROR(LEFT(B596,FIND(" ",B596)-1),B596)))</f>
        <v/>
      </c>
      <c r="AF596" s="32">
        <f>SUBSTITUTE(SUBSTITUTE(SUBSTITUTE(SUBSTITUTE(SUBSTITUTE(SUBSTITUTE(SUBSTITUTE(SUBSTITUTE(SUBSTITUTE(SUBSTITUTE(AE596,"%","%25"),"&amp;","%26"),"#","%23"),"+","%2B"),"=","%3D"),"?","%3F"),CHAR(34),"%22"),CHAR(10),"%0A"),CHAR(13),"")," ","+")</f>
        <v/>
      </c>
      <c r="AG596" s="32">
        <f>IF(OR(AD596="",AE596=""),"",'Start Here'!$B$20&amp;"#p="&amp;SUBSTITUTE(AD596,"+","%2B")&amp;"&amp;n="&amp;AF596&amp;"&amp;m="&amp;SUBSTITUTE('Start Here'!$B$24,"{name}",AF596))</f>
        <v/>
      </c>
      <c r="AH596" s="32">
        <f>N(AH595)+W596</f>
        <v/>
      </c>
      <c r="AI596" s="32">
        <f>IF(W596=1,AH596,"")</f>
        <v/>
      </c>
    </row>
    <row r="597">
      <c r="A597" s="32">
        <f>IF(INDEX('Form Responses'!$A:$A,ROW())="","",INDEX('Form Responses'!$A:$A,ROW()))</f>
        <v/>
      </c>
      <c r="B597" s="32">
        <f>TRIM(INDEX('Form Responses'!$B:$B,ROW())&amp;"")</f>
        <v/>
      </c>
      <c r="C597" s="32">
        <f>IF(B597="","",TRIM(INDEX('Form Responses'!$C:$C,ROW())&amp;""))</f>
        <v/>
      </c>
      <c r="D597" s="32">
        <f>SUBSTITUTE(SUBSTITUTE(SUBSTITUTE(SUBSTITUTE(SUBSTITUTE(SUBSTITUTE(SUBSTITUTE(SUBSTITUTE(C597," ",""),"-",""),"(",""),")",""),".",""),"+",""),"/",""),CHAR(160),"")</f>
        <v/>
      </c>
      <c r="E597" s="32">
        <f>IF(LEN(D597)&gt;=10,RIGHT(D597,10),D597)</f>
        <v/>
      </c>
      <c r="F597" s="32">
        <f>IF(B597="","",TRIM(INDEX('Form Responses'!$D:$D,ROW())&amp;""))</f>
        <v/>
      </c>
      <c r="G597" s="32">
        <f>IF(B597="","",IF(LEFT(TRIM(INDEX('Form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7" s="32">
        <f>IF(B597="","",MAX(0,IFERROR(INT(--(INDEX('Form Responses'!$F:$F,ROW())&amp;"")),1)))</f>
        <v/>
      </c>
      <c r="I597" s="32">
        <f>IF(B597="","",MAX(0,IFERROR(INT(--(INDEX('Form Responses'!$G:$G,ROW())&amp;"")),0)))</f>
        <v/>
      </c>
      <c r="J597" s="32">
        <f>IF(B597="","",TRIM(INDEX('Form Responses'!$H:$H,ROW())&amp;""))</f>
        <v/>
      </c>
      <c r="K597" s="32">
        <f>IF(B597="","",TRIM(INDEX('Form Responses'!$I:$I,ROW())&amp;""))</f>
        <v/>
      </c>
      <c r="L597" s="32">
        <f>IF(B597="","",TRIM(INDEX('Form Responses'!$J:$J,ROW())&amp;""))</f>
        <v/>
      </c>
      <c r="M597" s="32">
        <f>IF(B597="","",TRIM(INDEX('Form Responses'!$K:$K,ROW())&amp;""))</f>
        <v/>
      </c>
      <c r="N597" s="32">
        <f>IF(B597="","",IF(E597&lt;&gt;"","P"&amp;E597,"N"&amp;B597))</f>
        <v/>
      </c>
      <c r="O597" s="32">
        <f>IF(N597="",0,IF(COUNTIF(N598:N$602,N597)=0,1,0))</f>
        <v/>
      </c>
      <c r="P597" s="32">
        <f>IF(AND(O597=1,E597&lt;&gt;""),E597,"")</f>
        <v/>
      </c>
      <c r="Q597" s="32">
        <f>IF(O597=1,B597,"")</f>
        <v/>
      </c>
      <c r="R597" s="32">
        <f>IF(O597&lt;&gt;1,"",IF(E597&lt;&gt;"",IFERROR(MATCH(E597,Guests!$S$6:$S$505,0)+5,IFERROR(MATCH(B597,Guests!$A$6:$A$505,0)+5,"")),IFERROR(MATCH(B597,Guests!$A$6:$A$505,0)+5,"")))</f>
        <v/>
      </c>
      <c r="S597" s="32">
        <f>IF(R597="","",TRIM(INDEX(Guests!$E$1:$E$505,R597)&amp;""))</f>
        <v/>
      </c>
      <c r="T597" s="32">
        <f>IF(R597="","",IF(S597="",1,COUNTIF(Guests!$E$6:$E$505,S597)))</f>
        <v/>
      </c>
      <c r="U597" s="32">
        <f>IF(R597="","",IF(S597="",1,IF(COUNTIF(S$1:S596,S597)=0,1,0)))</f>
        <v/>
      </c>
      <c r="V597" s="32">
        <f>IF(AND(R597&lt;&gt;"",G597="Attending",U597=1),MAX(0,H597+I597-T597),0)</f>
        <v/>
      </c>
      <c r="W597" s="32">
        <f>IF(AND(O597=1,R597=""),1,0)</f>
        <v/>
      </c>
      <c r="X597" s="32">
        <f>IF(B597="",0,H597+I597)</f>
        <v/>
      </c>
      <c r="Y597" s="32">
        <f>N(Y596)+O597</f>
        <v/>
      </c>
      <c r="Z597" s="32">
        <f>IF(O597=1,Y597,"")</f>
        <v/>
      </c>
      <c r="AA597" s="32">
        <f>IF(AND(W597=1,G597="Not sure yet"),1,0)</f>
        <v/>
      </c>
      <c r="AB597" s="32">
        <f>N(AB596)+AA597</f>
        <v/>
      </c>
      <c r="AC597" s="32">
        <f>IF(AA597=1,AB597,"")</f>
        <v/>
      </c>
      <c r="AD597" s="32">
        <f>IF(D597="","",IF(LEN(D597)=10,"+1"&amp;D597,IF(AND(LEN(D597)=11,LEFT(D597,1)="1"),"+"&amp;D597,IF(LEFT(C597,1)="+","+"&amp;D597,D597))))</f>
        <v/>
      </c>
      <c r="AE597" s="32">
        <f>IF(B597="","",PROPER(IFERROR(LEFT(B597,FIND(" ",B597)-1),B597)))</f>
        <v/>
      </c>
      <c r="AF597" s="32">
        <f>SUBSTITUTE(SUBSTITUTE(SUBSTITUTE(SUBSTITUTE(SUBSTITUTE(SUBSTITUTE(SUBSTITUTE(SUBSTITUTE(SUBSTITUTE(SUBSTITUTE(AE597,"%","%25"),"&amp;","%26"),"#","%23"),"+","%2B"),"=","%3D"),"?","%3F"),CHAR(34),"%22"),CHAR(10),"%0A"),CHAR(13),"")," ","+")</f>
        <v/>
      </c>
      <c r="AG597" s="32">
        <f>IF(OR(AD597="",AE597=""),"",'Start Here'!$B$20&amp;"#p="&amp;SUBSTITUTE(AD597,"+","%2B")&amp;"&amp;n="&amp;AF597&amp;"&amp;m="&amp;SUBSTITUTE('Start Here'!$B$24,"{name}",AF597))</f>
        <v/>
      </c>
      <c r="AH597" s="32">
        <f>N(AH596)+W597</f>
        <v/>
      </c>
      <c r="AI597" s="32">
        <f>IF(W597=1,AH597,"")</f>
        <v/>
      </c>
    </row>
    <row r="598">
      <c r="A598" s="32">
        <f>IF(INDEX('Form Responses'!$A:$A,ROW())="","",INDEX('Form Responses'!$A:$A,ROW()))</f>
        <v/>
      </c>
      <c r="B598" s="32">
        <f>TRIM(INDEX('Form Responses'!$B:$B,ROW())&amp;"")</f>
        <v/>
      </c>
      <c r="C598" s="32">
        <f>IF(B598="","",TRIM(INDEX('Form Responses'!$C:$C,ROW())&amp;""))</f>
        <v/>
      </c>
      <c r="D598" s="32">
        <f>SUBSTITUTE(SUBSTITUTE(SUBSTITUTE(SUBSTITUTE(SUBSTITUTE(SUBSTITUTE(SUBSTITUTE(SUBSTITUTE(C598," ",""),"-",""),"(",""),")",""),".",""),"+",""),"/",""),CHAR(160),"")</f>
        <v/>
      </c>
      <c r="E598" s="32">
        <f>IF(LEN(D598)&gt;=10,RIGHT(D598,10),D598)</f>
        <v/>
      </c>
      <c r="F598" s="32">
        <f>IF(B598="","",TRIM(INDEX('Form Responses'!$D:$D,ROW())&amp;""))</f>
        <v/>
      </c>
      <c r="G598" s="32">
        <f>IF(B598="","",IF(LEFT(TRIM(INDEX('Form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8" s="32">
        <f>IF(B598="","",MAX(0,IFERROR(INT(--(INDEX('Form Responses'!$F:$F,ROW())&amp;"")),1)))</f>
        <v/>
      </c>
      <c r="I598" s="32">
        <f>IF(B598="","",MAX(0,IFERROR(INT(--(INDEX('Form Responses'!$G:$G,ROW())&amp;"")),0)))</f>
        <v/>
      </c>
      <c r="J598" s="32">
        <f>IF(B598="","",TRIM(INDEX('Form Responses'!$H:$H,ROW())&amp;""))</f>
        <v/>
      </c>
      <c r="K598" s="32">
        <f>IF(B598="","",TRIM(INDEX('Form Responses'!$I:$I,ROW())&amp;""))</f>
        <v/>
      </c>
      <c r="L598" s="32">
        <f>IF(B598="","",TRIM(INDEX('Form Responses'!$J:$J,ROW())&amp;""))</f>
        <v/>
      </c>
      <c r="M598" s="32">
        <f>IF(B598="","",TRIM(INDEX('Form Responses'!$K:$K,ROW())&amp;""))</f>
        <v/>
      </c>
      <c r="N598" s="32">
        <f>IF(B598="","",IF(E598&lt;&gt;"","P"&amp;E598,"N"&amp;B598))</f>
        <v/>
      </c>
      <c r="O598" s="32">
        <f>IF(N598="",0,IF(COUNTIF(N599:N$602,N598)=0,1,0))</f>
        <v/>
      </c>
      <c r="P598" s="32">
        <f>IF(AND(O598=1,E598&lt;&gt;""),E598,"")</f>
        <v/>
      </c>
      <c r="Q598" s="32">
        <f>IF(O598=1,B598,"")</f>
        <v/>
      </c>
      <c r="R598" s="32">
        <f>IF(O598&lt;&gt;1,"",IF(E598&lt;&gt;"",IFERROR(MATCH(E598,Guests!$S$6:$S$505,0)+5,IFERROR(MATCH(B598,Guests!$A$6:$A$505,0)+5,"")),IFERROR(MATCH(B598,Guests!$A$6:$A$505,0)+5,"")))</f>
        <v/>
      </c>
      <c r="S598" s="32">
        <f>IF(R598="","",TRIM(INDEX(Guests!$E$1:$E$505,R598)&amp;""))</f>
        <v/>
      </c>
      <c r="T598" s="32">
        <f>IF(R598="","",IF(S598="",1,COUNTIF(Guests!$E$6:$E$505,S598)))</f>
        <v/>
      </c>
      <c r="U598" s="32">
        <f>IF(R598="","",IF(S598="",1,IF(COUNTIF(S$1:S597,S598)=0,1,0)))</f>
        <v/>
      </c>
      <c r="V598" s="32">
        <f>IF(AND(R598&lt;&gt;"",G598="Attending",U598=1),MAX(0,H598+I598-T598),0)</f>
        <v/>
      </c>
      <c r="W598" s="32">
        <f>IF(AND(O598=1,R598=""),1,0)</f>
        <v/>
      </c>
      <c r="X598" s="32">
        <f>IF(B598="",0,H598+I598)</f>
        <v/>
      </c>
      <c r="Y598" s="32">
        <f>N(Y597)+O598</f>
        <v/>
      </c>
      <c r="Z598" s="32">
        <f>IF(O598=1,Y598,"")</f>
        <v/>
      </c>
      <c r="AA598" s="32">
        <f>IF(AND(W598=1,G598="Not sure yet"),1,0)</f>
        <v/>
      </c>
      <c r="AB598" s="32">
        <f>N(AB597)+AA598</f>
        <v/>
      </c>
      <c r="AC598" s="32">
        <f>IF(AA598=1,AB598,"")</f>
        <v/>
      </c>
      <c r="AD598" s="32">
        <f>IF(D598="","",IF(LEN(D598)=10,"+1"&amp;D598,IF(AND(LEN(D598)=11,LEFT(D598,1)="1"),"+"&amp;D598,IF(LEFT(C598,1)="+","+"&amp;D598,D598))))</f>
        <v/>
      </c>
      <c r="AE598" s="32">
        <f>IF(B598="","",PROPER(IFERROR(LEFT(B598,FIND(" ",B598)-1),B598)))</f>
        <v/>
      </c>
      <c r="AF598" s="32">
        <f>SUBSTITUTE(SUBSTITUTE(SUBSTITUTE(SUBSTITUTE(SUBSTITUTE(SUBSTITUTE(SUBSTITUTE(SUBSTITUTE(SUBSTITUTE(SUBSTITUTE(AE598,"%","%25"),"&amp;","%26"),"#","%23"),"+","%2B"),"=","%3D"),"?","%3F"),CHAR(34),"%22"),CHAR(10),"%0A"),CHAR(13),"")," ","+")</f>
        <v/>
      </c>
      <c r="AG598" s="32">
        <f>IF(OR(AD598="",AE598=""),"",'Start Here'!$B$20&amp;"#p="&amp;SUBSTITUTE(AD598,"+","%2B")&amp;"&amp;n="&amp;AF598&amp;"&amp;m="&amp;SUBSTITUTE('Start Here'!$B$24,"{name}",AF598))</f>
        <v/>
      </c>
      <c r="AH598" s="32">
        <f>N(AH597)+W598</f>
        <v/>
      </c>
      <c r="AI598" s="32">
        <f>IF(W598=1,AH598,"")</f>
        <v/>
      </c>
    </row>
    <row r="599">
      <c r="A599" s="32">
        <f>IF(INDEX('Form Responses'!$A:$A,ROW())="","",INDEX('Form Responses'!$A:$A,ROW()))</f>
        <v/>
      </c>
      <c r="B599" s="32">
        <f>TRIM(INDEX('Form Responses'!$B:$B,ROW())&amp;"")</f>
        <v/>
      </c>
      <c r="C599" s="32">
        <f>IF(B599="","",TRIM(INDEX('Form Responses'!$C:$C,ROW())&amp;""))</f>
        <v/>
      </c>
      <c r="D599" s="32">
        <f>SUBSTITUTE(SUBSTITUTE(SUBSTITUTE(SUBSTITUTE(SUBSTITUTE(SUBSTITUTE(SUBSTITUTE(SUBSTITUTE(C599," ",""),"-",""),"(",""),")",""),".",""),"+",""),"/",""),CHAR(160),"")</f>
        <v/>
      </c>
      <c r="E599" s="32">
        <f>IF(LEN(D599)&gt;=10,RIGHT(D599,10),D599)</f>
        <v/>
      </c>
      <c r="F599" s="32">
        <f>IF(B599="","",TRIM(INDEX('Form Responses'!$D:$D,ROW())&amp;""))</f>
        <v/>
      </c>
      <c r="G599" s="32">
        <f>IF(B599="","",IF(LEFT(TRIM(INDEX('Form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599" s="32">
        <f>IF(B599="","",MAX(0,IFERROR(INT(--(INDEX('Form Responses'!$F:$F,ROW())&amp;"")),1)))</f>
        <v/>
      </c>
      <c r="I599" s="32">
        <f>IF(B599="","",MAX(0,IFERROR(INT(--(INDEX('Form Responses'!$G:$G,ROW())&amp;"")),0)))</f>
        <v/>
      </c>
      <c r="J599" s="32">
        <f>IF(B599="","",TRIM(INDEX('Form Responses'!$H:$H,ROW())&amp;""))</f>
        <v/>
      </c>
      <c r="K599" s="32">
        <f>IF(B599="","",TRIM(INDEX('Form Responses'!$I:$I,ROW())&amp;""))</f>
        <v/>
      </c>
      <c r="L599" s="32">
        <f>IF(B599="","",TRIM(INDEX('Form Responses'!$J:$J,ROW())&amp;""))</f>
        <v/>
      </c>
      <c r="M599" s="32">
        <f>IF(B599="","",TRIM(INDEX('Form Responses'!$K:$K,ROW())&amp;""))</f>
        <v/>
      </c>
      <c r="N599" s="32">
        <f>IF(B599="","",IF(E599&lt;&gt;"","P"&amp;E599,"N"&amp;B599))</f>
        <v/>
      </c>
      <c r="O599" s="32">
        <f>IF(N599="",0,IF(COUNTIF(N600:N$602,N599)=0,1,0))</f>
        <v/>
      </c>
      <c r="P599" s="32">
        <f>IF(AND(O599=1,E599&lt;&gt;""),E599,"")</f>
        <v/>
      </c>
      <c r="Q599" s="32">
        <f>IF(O599=1,B599,"")</f>
        <v/>
      </c>
      <c r="R599" s="32">
        <f>IF(O599&lt;&gt;1,"",IF(E599&lt;&gt;"",IFERROR(MATCH(E599,Guests!$S$6:$S$505,0)+5,IFERROR(MATCH(B599,Guests!$A$6:$A$505,0)+5,"")),IFERROR(MATCH(B599,Guests!$A$6:$A$505,0)+5,"")))</f>
        <v/>
      </c>
      <c r="S599" s="32">
        <f>IF(R599="","",TRIM(INDEX(Guests!$E$1:$E$505,R599)&amp;""))</f>
        <v/>
      </c>
      <c r="T599" s="32">
        <f>IF(R599="","",IF(S599="",1,COUNTIF(Guests!$E$6:$E$505,S599)))</f>
        <v/>
      </c>
      <c r="U599" s="32">
        <f>IF(R599="","",IF(S599="",1,IF(COUNTIF(S$1:S598,S599)=0,1,0)))</f>
        <v/>
      </c>
      <c r="V599" s="32">
        <f>IF(AND(R599&lt;&gt;"",G599="Attending",U599=1),MAX(0,H599+I599-T599),0)</f>
        <v/>
      </c>
      <c r="W599" s="32">
        <f>IF(AND(O599=1,R599=""),1,0)</f>
        <v/>
      </c>
      <c r="X599" s="32">
        <f>IF(B599="",0,H599+I599)</f>
        <v/>
      </c>
      <c r="Y599" s="32">
        <f>N(Y598)+O599</f>
        <v/>
      </c>
      <c r="Z599" s="32">
        <f>IF(O599=1,Y599,"")</f>
        <v/>
      </c>
      <c r="AA599" s="32">
        <f>IF(AND(W599=1,G599="Not sure yet"),1,0)</f>
        <v/>
      </c>
      <c r="AB599" s="32">
        <f>N(AB598)+AA599</f>
        <v/>
      </c>
      <c r="AC599" s="32">
        <f>IF(AA599=1,AB599,"")</f>
        <v/>
      </c>
      <c r="AD599" s="32">
        <f>IF(D599="","",IF(LEN(D599)=10,"+1"&amp;D599,IF(AND(LEN(D599)=11,LEFT(D599,1)="1"),"+"&amp;D599,IF(LEFT(C599,1)="+","+"&amp;D599,D599))))</f>
        <v/>
      </c>
      <c r="AE599" s="32">
        <f>IF(B599="","",PROPER(IFERROR(LEFT(B599,FIND(" ",B599)-1),B599)))</f>
        <v/>
      </c>
      <c r="AF599" s="32">
        <f>SUBSTITUTE(SUBSTITUTE(SUBSTITUTE(SUBSTITUTE(SUBSTITUTE(SUBSTITUTE(SUBSTITUTE(SUBSTITUTE(SUBSTITUTE(SUBSTITUTE(AE599,"%","%25"),"&amp;","%26"),"#","%23"),"+","%2B"),"=","%3D"),"?","%3F"),CHAR(34),"%22"),CHAR(10),"%0A"),CHAR(13),"")," ","+")</f>
        <v/>
      </c>
      <c r="AG599" s="32">
        <f>IF(OR(AD599="",AE599=""),"",'Start Here'!$B$20&amp;"#p="&amp;SUBSTITUTE(AD599,"+","%2B")&amp;"&amp;n="&amp;AF599&amp;"&amp;m="&amp;SUBSTITUTE('Start Here'!$B$24,"{name}",AF599))</f>
        <v/>
      </c>
      <c r="AH599" s="32">
        <f>N(AH598)+W599</f>
        <v/>
      </c>
      <c r="AI599" s="32">
        <f>IF(W599=1,AH599,"")</f>
        <v/>
      </c>
    </row>
    <row r="600">
      <c r="A600" s="32">
        <f>IF(INDEX('Form Responses'!$A:$A,ROW())="","",INDEX('Form Responses'!$A:$A,ROW()))</f>
        <v/>
      </c>
      <c r="B600" s="32">
        <f>TRIM(INDEX('Form Responses'!$B:$B,ROW())&amp;"")</f>
        <v/>
      </c>
      <c r="C600" s="32">
        <f>IF(B600="","",TRIM(INDEX('Form Responses'!$C:$C,ROW())&amp;""))</f>
        <v/>
      </c>
      <c r="D600" s="32">
        <f>SUBSTITUTE(SUBSTITUTE(SUBSTITUTE(SUBSTITUTE(SUBSTITUTE(SUBSTITUTE(SUBSTITUTE(SUBSTITUTE(C600," ",""),"-",""),"(",""),")",""),".",""),"+",""),"/",""),CHAR(160),"")</f>
        <v/>
      </c>
      <c r="E600" s="32">
        <f>IF(LEN(D600)&gt;=10,RIGHT(D600,10),D600)</f>
        <v/>
      </c>
      <c r="F600" s="32">
        <f>IF(B600="","",TRIM(INDEX('Form Responses'!$D:$D,ROW())&amp;""))</f>
        <v/>
      </c>
      <c r="G600" s="32">
        <f>IF(B600="","",IF(LEFT(TRIM(INDEX('Form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00" s="32">
        <f>IF(B600="","",MAX(0,IFERROR(INT(--(INDEX('Form Responses'!$F:$F,ROW())&amp;"")),1)))</f>
        <v/>
      </c>
      <c r="I600" s="32">
        <f>IF(B600="","",MAX(0,IFERROR(INT(--(INDEX('Form Responses'!$G:$G,ROW())&amp;"")),0)))</f>
        <v/>
      </c>
      <c r="J600" s="32">
        <f>IF(B600="","",TRIM(INDEX('Form Responses'!$H:$H,ROW())&amp;""))</f>
        <v/>
      </c>
      <c r="K600" s="32">
        <f>IF(B600="","",TRIM(INDEX('Form Responses'!$I:$I,ROW())&amp;""))</f>
        <v/>
      </c>
      <c r="L600" s="32">
        <f>IF(B600="","",TRIM(INDEX('Form Responses'!$J:$J,ROW())&amp;""))</f>
        <v/>
      </c>
      <c r="M600" s="32">
        <f>IF(B600="","",TRIM(INDEX('Form Responses'!$K:$K,ROW())&amp;""))</f>
        <v/>
      </c>
      <c r="N600" s="32">
        <f>IF(B600="","",IF(E600&lt;&gt;"","P"&amp;E600,"N"&amp;B600))</f>
        <v/>
      </c>
      <c r="O600" s="32">
        <f>IF(N600="",0,IF(COUNTIF(N601:N$602,N600)=0,1,0))</f>
        <v/>
      </c>
      <c r="P600" s="32">
        <f>IF(AND(O600=1,E600&lt;&gt;""),E600,"")</f>
        <v/>
      </c>
      <c r="Q600" s="32">
        <f>IF(O600=1,B600,"")</f>
        <v/>
      </c>
      <c r="R600" s="32">
        <f>IF(O600&lt;&gt;1,"",IF(E600&lt;&gt;"",IFERROR(MATCH(E600,Guests!$S$6:$S$505,0)+5,IFERROR(MATCH(B600,Guests!$A$6:$A$505,0)+5,"")),IFERROR(MATCH(B600,Guests!$A$6:$A$505,0)+5,"")))</f>
        <v/>
      </c>
      <c r="S600" s="32">
        <f>IF(R600="","",TRIM(INDEX(Guests!$E$1:$E$505,R600)&amp;""))</f>
        <v/>
      </c>
      <c r="T600" s="32">
        <f>IF(R600="","",IF(S600="",1,COUNTIF(Guests!$E$6:$E$505,S600)))</f>
        <v/>
      </c>
      <c r="U600" s="32">
        <f>IF(R600="","",IF(S600="",1,IF(COUNTIF(S$1:S599,S600)=0,1,0)))</f>
        <v/>
      </c>
      <c r="V600" s="32">
        <f>IF(AND(R600&lt;&gt;"",G600="Attending",U600=1),MAX(0,H600+I600-T600),0)</f>
        <v/>
      </c>
      <c r="W600" s="32">
        <f>IF(AND(O600=1,R600=""),1,0)</f>
        <v/>
      </c>
      <c r="X600" s="32">
        <f>IF(B600="",0,H600+I600)</f>
        <v/>
      </c>
      <c r="Y600" s="32">
        <f>N(Y599)+O600</f>
        <v/>
      </c>
      <c r="Z600" s="32">
        <f>IF(O600=1,Y600,"")</f>
        <v/>
      </c>
      <c r="AA600" s="32">
        <f>IF(AND(W600=1,G600="Not sure yet"),1,0)</f>
        <v/>
      </c>
      <c r="AB600" s="32">
        <f>N(AB599)+AA600</f>
        <v/>
      </c>
      <c r="AC600" s="32">
        <f>IF(AA600=1,AB600,"")</f>
        <v/>
      </c>
      <c r="AD600" s="32">
        <f>IF(D600="","",IF(LEN(D600)=10,"+1"&amp;D600,IF(AND(LEN(D600)=11,LEFT(D600,1)="1"),"+"&amp;D600,IF(LEFT(C600,1)="+","+"&amp;D600,D600))))</f>
        <v/>
      </c>
      <c r="AE600" s="32">
        <f>IF(B600="","",PROPER(IFERROR(LEFT(B600,FIND(" ",B600)-1),B600)))</f>
        <v/>
      </c>
      <c r="AF600" s="32">
        <f>SUBSTITUTE(SUBSTITUTE(SUBSTITUTE(SUBSTITUTE(SUBSTITUTE(SUBSTITUTE(SUBSTITUTE(SUBSTITUTE(SUBSTITUTE(SUBSTITUTE(AE600,"%","%25"),"&amp;","%26"),"#","%23"),"+","%2B"),"=","%3D"),"?","%3F"),CHAR(34),"%22"),CHAR(10),"%0A"),CHAR(13),"")," ","+")</f>
        <v/>
      </c>
      <c r="AG600" s="32">
        <f>IF(OR(AD600="",AE600=""),"",'Start Here'!$B$20&amp;"#p="&amp;SUBSTITUTE(AD600,"+","%2B")&amp;"&amp;n="&amp;AF600&amp;"&amp;m="&amp;SUBSTITUTE('Start Here'!$B$24,"{name}",AF600))</f>
        <v/>
      </c>
      <c r="AH600" s="32">
        <f>N(AH599)+W600</f>
        <v/>
      </c>
      <c r="AI600" s="32">
        <f>IF(W600=1,AH600,"")</f>
        <v/>
      </c>
    </row>
    <row r="601">
      <c r="A601" s="32">
        <f>IF(INDEX('Form Responses'!$A:$A,ROW())="","",INDEX('Form Responses'!$A:$A,ROW()))</f>
        <v/>
      </c>
      <c r="B601" s="32">
        <f>TRIM(INDEX('Form Responses'!$B:$B,ROW())&amp;"")</f>
        <v/>
      </c>
      <c r="C601" s="32">
        <f>IF(B601="","",TRIM(INDEX('Form Responses'!$C:$C,ROW())&amp;""))</f>
        <v/>
      </c>
      <c r="D601" s="32">
        <f>SUBSTITUTE(SUBSTITUTE(SUBSTITUTE(SUBSTITUTE(SUBSTITUTE(SUBSTITUTE(SUBSTITUTE(SUBSTITUTE(C601," ",""),"-",""),"(",""),")",""),".",""),"+",""),"/",""),CHAR(160),"")</f>
        <v/>
      </c>
      <c r="E601" s="32">
        <f>IF(LEN(D601)&gt;=10,RIGHT(D601,10),D601)</f>
        <v/>
      </c>
      <c r="F601" s="32">
        <f>IF(B601="","",TRIM(INDEX('Form Responses'!$D:$D,ROW())&amp;""))</f>
        <v/>
      </c>
      <c r="G601" s="32">
        <f>IF(B601="","",IF(LEFT(TRIM(INDEX('Form Responses'!$E:$E,ROW())&amp;""),3)="Yes","Attending",IF(LEFT(TRIM(INDEX('Form Responses'!$E:$E,ROW())&amp;""),3)="Not","Not sure yet",IF(LEFT(TRIM(INDEX('Form Responses'!$E:$E,ROW())&amp;""),2)="No","Declined","Not sure yet"))))</f>
        <v/>
      </c>
      <c r="H601" s="32">
        <f>IF(B601="","",MAX(0,IFERROR(INT(--(INDEX('Form Responses'!$F:$F,ROW())&amp;"")),1)))</f>
        <v/>
      </c>
      <c r="I601" s="32">
        <f>IF(B601="","",MAX(0,IFERROR(INT(--(INDEX('Form Responses'!$G:$G,ROW())&amp;"")),0)))</f>
        <v/>
      </c>
      <c r="J601" s="32">
        <f>IF(B601="","",TRIM(INDEX('Form Responses'!$H:$H,ROW())&amp;""))</f>
        <v/>
      </c>
      <c r="K601" s="32">
        <f>IF(B601="","",TRIM(INDEX('Form Responses'!$I:$I,ROW())&amp;""))</f>
        <v/>
      </c>
      <c r="L601" s="32">
        <f>IF(B601="","",TRIM(INDEX('Form Responses'!$J:$J,ROW())&amp;""))</f>
        <v/>
      </c>
      <c r="M601" s="32">
        <f>IF(B601="","",TRIM(INDEX('Form Responses'!$K:$K,ROW())&amp;""))</f>
        <v/>
      </c>
      <c r="N601" s="32">
        <f>IF(B601="","",IF(E601&lt;&gt;"","P"&amp;E601,"N"&amp;B601))</f>
        <v/>
      </c>
      <c r="O601" s="32">
        <f>IF(N601="",0,IF(COUNTIF(N602:N$602,N601)=0,1,0))</f>
        <v/>
      </c>
      <c r="P601" s="32">
        <f>IF(AND(O601=1,E601&lt;&gt;""),E601,"")</f>
        <v/>
      </c>
      <c r="Q601" s="32">
        <f>IF(O601=1,B601,"")</f>
        <v/>
      </c>
      <c r="R601" s="32">
        <f>IF(O601&lt;&gt;1,"",IF(E601&lt;&gt;"",IFERROR(MATCH(E601,Guests!$S$6:$S$505,0)+5,IFERROR(MATCH(B601,Guests!$A$6:$A$505,0)+5,"")),IFERROR(MATCH(B601,Guests!$A$6:$A$505,0)+5,"")))</f>
        <v/>
      </c>
      <c r="S601" s="32">
        <f>IF(R601="","",TRIM(INDEX(Guests!$E$1:$E$505,R601)&amp;""))</f>
        <v/>
      </c>
      <c r="T601" s="32">
        <f>IF(R601="","",IF(S601="",1,COUNTIF(Guests!$E$6:$E$505,S601)))</f>
        <v/>
      </c>
      <c r="U601" s="32">
        <f>IF(R601="","",IF(S601="",1,IF(COUNTIF(S$1:S600,S601)=0,1,0)))</f>
        <v/>
      </c>
      <c r="V601" s="32">
        <f>IF(AND(R601&lt;&gt;"",G601="Attending",U601=1),MAX(0,H601+I601-T601),0)</f>
        <v/>
      </c>
      <c r="W601" s="32">
        <f>IF(AND(O601=1,R601=""),1,0)</f>
        <v/>
      </c>
      <c r="X601" s="32">
        <f>IF(B601="",0,H601+I601)</f>
        <v/>
      </c>
      <c r="Y601" s="32">
        <f>N(Y600)+O601</f>
        <v/>
      </c>
      <c r="Z601" s="32">
        <f>IF(O601=1,Y601,"")</f>
        <v/>
      </c>
      <c r="AA601" s="32">
        <f>IF(AND(W601=1,G601="Not sure yet"),1,0)</f>
        <v/>
      </c>
      <c r="AB601" s="32">
        <f>N(AB600)+AA601</f>
        <v/>
      </c>
      <c r="AC601" s="32">
        <f>IF(AA601=1,AB601,"")</f>
        <v/>
      </c>
      <c r="AD601" s="32">
        <f>IF(D601="","",IF(LEN(D601)=10,"+1"&amp;D601,IF(AND(LEN(D601)=11,LEFT(D601,1)="1"),"+"&amp;D601,IF(LEFT(C601,1)="+","+"&amp;D601,D601))))</f>
        <v/>
      </c>
      <c r="AE601" s="32">
        <f>IF(B601="","",PROPER(IFERROR(LEFT(B601,FIND(" ",B601)-1),B601)))</f>
        <v/>
      </c>
      <c r="AF601" s="32">
        <f>SUBSTITUTE(SUBSTITUTE(SUBSTITUTE(SUBSTITUTE(SUBSTITUTE(SUBSTITUTE(SUBSTITUTE(SUBSTITUTE(SUBSTITUTE(SUBSTITUTE(AE601,"%","%25"),"&amp;","%26"),"#","%23"),"+","%2B"),"=","%3D"),"?","%3F"),CHAR(34),"%22"),CHAR(10),"%0A"),CHAR(13),"")," ","+")</f>
        <v/>
      </c>
      <c r="AG601" s="32">
        <f>IF(OR(AD601="",AE601=""),"",'Start Here'!$B$20&amp;"#p="&amp;SUBSTITUTE(AD601,"+","%2B")&amp;"&amp;n="&amp;AF601&amp;"&amp;m="&amp;SUBSTITUTE('Start Here'!$B$24,"{name}",AF601))</f>
        <v/>
      </c>
      <c r="AH601" s="32">
        <f>N(AH600)+W601</f>
        <v/>
      </c>
      <c r="AI601" s="32">
        <f>IF(W601=1,AH601,"")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2026-10-24T07:15:30Z</dcterms:created>
  <dcterms:modified xmlns:dcterms="http://purl.org/dc/terms/" xmlns:xsi="http://www.w3.org/2001/XMLSchema-instance" xsi:type="dcterms:W3CDTF">2026-10-24T07:15:32Z</dcterms:modified>
</cp:coreProperties>
</file>